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3\"/>
    </mc:Choice>
  </mc:AlternateContent>
  <xr:revisionPtr revIDLastSave="0" documentId="13_ncr:1_{EED03470-940A-461C-93BF-D21B2C469414}" xr6:coauthVersionLast="47" xr6:coauthVersionMax="47" xr10:uidLastSave="{00000000-0000-0000-0000-000000000000}"/>
  <bookViews>
    <workbookView xWindow="-14835" yWindow="-16320" windowWidth="29040" windowHeight="1584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86" i="3" l="1"/>
  <c r="E43" i="4"/>
  <c r="E91" i="4"/>
  <c r="E90" i="4"/>
  <c r="E89" i="4"/>
  <c r="E88" i="4"/>
  <c r="E83" i="4"/>
  <c r="E80" i="4"/>
  <c r="E79" i="4"/>
  <c r="G99" i="4"/>
  <c r="E75" i="4"/>
  <c r="E66" i="4"/>
  <c r="E56" i="4"/>
  <c r="E52" i="4"/>
  <c r="E51" i="4"/>
  <c r="E46" i="4"/>
  <c r="E40" i="4"/>
  <c r="E37" i="4"/>
  <c r="E36" i="4"/>
  <c r="E35" i="4"/>
  <c r="E33" i="4"/>
  <c r="E32" i="4"/>
  <c r="E13" i="4"/>
  <c r="E4" i="4"/>
  <c r="C45" i="4" l="1"/>
  <c r="E45" i="4" s="1"/>
  <c r="AM557" i="3"/>
  <c r="Z813" i="3"/>
  <c r="S40" i="4"/>
  <c r="C50" i="4"/>
  <c r="E50" i="4" s="1"/>
  <c r="C58" i="4"/>
  <c r="E58" i="4" s="1"/>
  <c r="C30" i="4"/>
  <c r="C65" i="4"/>
  <c r="E65" i="4" s="1"/>
  <c r="C41" i="4"/>
  <c r="E41" i="4" s="1"/>
  <c r="S41" i="4" l="1"/>
  <c r="S30" i="4"/>
  <c r="F30" i="4"/>
  <c r="F31" i="4" s="1"/>
  <c r="E31" i="4" s="1"/>
  <c r="AD199" i="20"/>
  <c r="S99" i="4"/>
  <c r="S91" i="4"/>
  <c r="S90" i="4"/>
  <c r="S80" i="4"/>
  <c r="S79" i="4"/>
  <c r="S66" i="4"/>
  <c r="S52" i="4"/>
  <c r="S46" i="4"/>
  <c r="S43" i="4"/>
  <c r="S37" i="4"/>
  <c r="S35" i="4"/>
  <c r="S33" i="4"/>
  <c r="S32" i="4"/>
  <c r="S31" i="4"/>
  <c r="S65" i="4"/>
  <c r="S50" i="4"/>
  <c r="C49" i="4"/>
  <c r="E49" i="4" s="1"/>
  <c r="C86" i="4"/>
  <c r="E86" i="4" s="1"/>
  <c r="S36" i="4"/>
  <c r="AA919" i="3"/>
  <c r="AA918" i="3"/>
  <c r="AD67" i="15"/>
  <c r="Y67" i="15"/>
  <c r="S86" i="4" l="1"/>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S45" i="21"/>
  <c r="T45" i="21"/>
  <c r="R53" i="21" a="1"/>
  <c r="R53" i="21" s="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c r="AO18" i="20" l="1"/>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2"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7" i="21" l="1"/>
  <c r="O26" i="21"/>
  <c r="O25" i="21"/>
  <c r="O24" i="21"/>
  <c r="P24" i="21" s="1" a="1"/>
  <c r="P24" i="21" s="1"/>
  <c r="S24" i="21" s="1"/>
  <c r="O23" i="21"/>
  <c r="P23" i="21" s="1" a="1"/>
  <c r="P23" i="21" s="1"/>
  <c r="S23" i="21" s="1"/>
  <c r="O20" i="21"/>
  <c r="P20" i="21" s="1" a="1"/>
  <c r="P20" i="21" s="1"/>
  <c r="S20"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2" i="21" a="1"/>
  <c r="P22" i="21" s="1"/>
  <c r="S22"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AD11" i="15" s="1"/>
  <c r="AD23" i="15" s="1"/>
  <c r="AD26" i="15" s="1"/>
  <c r="AD28" i="15" s="1"/>
  <c r="Q58" i="7"/>
  <c r="S53" i="7"/>
  <c r="G45" i="21"/>
  <c r="G47" i="21" s="1"/>
  <c r="E10" i="21" s="1"/>
  <c r="E11" i="21"/>
  <c r="Y26" i="15"/>
  <c r="Y28"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J1029" i="3"/>
  <c r="AJ1036" i="3"/>
  <c r="I15" i="21" s="1"/>
  <c r="BE44" i="3"/>
  <c r="F457" i="3"/>
  <c r="BA1055" i="3"/>
  <c r="BA1059" i="3" s="1"/>
  <c r="N196" i="23"/>
  <c r="N186" i="23"/>
  <c r="S58" i="7"/>
  <c r="U53" i="7"/>
  <c r="AA1056" i="3"/>
  <c r="AF551" i="20"/>
  <c r="E107" i="13"/>
  <c r="T11" i="15" s="1"/>
  <c r="T23" i="15" s="1"/>
  <c r="T26" i="15" s="1"/>
  <c r="T28" i="15" s="1"/>
  <c r="T29" i="15" s="1"/>
  <c r="AJ1045" i="3"/>
  <c r="AJ1049" i="3"/>
  <c r="AP553" i="20" s="1"/>
  <c r="AP550" i="20"/>
  <c r="K4" i="7"/>
  <c r="M4" i="7" s="1"/>
  <c r="E45" i="7"/>
  <c r="E48" i="7" s="1"/>
  <c r="G45" i="7"/>
  <c r="G49" i="7"/>
  <c r="K6" i="7"/>
  <c r="I7" i="7"/>
  <c r="I11" i="7" s="1"/>
  <c r="I37" i="7" s="1"/>
  <c r="G26" i="21"/>
  <c r="F29" i="21"/>
  <c r="G29" i="21"/>
  <c r="O22" i="7"/>
  <c r="O35" i="7" s="1"/>
  <c r="Q15" i="7"/>
  <c r="O9" i="7"/>
  <c r="Q8" i="7"/>
  <c r="Y64" i="15" l="1"/>
  <c r="Y68" i="15" s="1"/>
  <c r="Y69"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6" i="7"/>
  <c r="G80" i="21"/>
  <c r="E15" i="21" s="1"/>
  <c r="W58" i="7"/>
  <c r="Y53" i="7"/>
  <c r="T24" i="15"/>
  <c r="Y38" i="15" s="1"/>
  <c r="Y40" i="15" s="1"/>
  <c r="AP557" i="20"/>
  <c r="AP556" i="20" s="1"/>
  <c r="AP559" i="20" s="1"/>
  <c r="AF552" i="20" s="1"/>
  <c r="AF553" i="20" s="1"/>
  <c r="AK559" i="20" s="1"/>
  <c r="T818" i="20" s="1"/>
  <c r="AF818" i="20" s="1"/>
  <c r="BE81" i="3" s="1"/>
  <c r="K11" i="7"/>
  <c r="K37" i="7" s="1"/>
  <c r="K45" i="7" s="1"/>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<sst xmlns="http://schemas.openxmlformats.org/spreadsheetml/2006/main" count="4998" uniqueCount="2724">
  <si>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</si>
  <si>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</si>
  <si>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</si>
  <si>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</si>
  <si>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</si>
  <si>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</si>
  <si>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</si>
  <si>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</si>
  <si>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</si>
  <si>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</si>
  <si>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</si>
  <si>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</si>
  <si>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</si>
  <si>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</si>
  <si>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</si>
  <si>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</si>
  <si>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</si>
  <si>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</si>
  <si>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</si>
  <si>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</si>
  <si>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</si>
  <si>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</si>
  <si>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</si>
  <si>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</si>
  <si>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</si>
  <si>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</si>
  <si>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</si>
  <si>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</si>
  <si>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</si>
  <si>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</si>
  <si>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</si>
  <si>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</si>
  <si>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</si>
  <si>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</si>
  <si>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</si>
  <si>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</si>
  <si>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</si>
  <si>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</si>
  <si>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</si>
  <si>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</si>
  <si>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</si>
  <si>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</si>
  <si>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</si>
  <si>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</si>
  <si>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</si>
  <si>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</si>
  <si>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</si>
  <si>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</si>
  <si>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</si>
  <si>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</si>
  <si>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</si>
  <si>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</si>
  <si>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</si>
  <si>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</si>
  <si>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</si>
  <si>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</si>
  <si>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</si>
  <si>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</si>
  <si>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</si>
  <si>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</si>
  <si>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</si>
  <si>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</si>
  <si>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</si>
  <si>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</si>
  <si>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</si>
  <si>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</si>
  <si>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</si>
  <si>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</si>
  <si>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</si>
  <si>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</si>
  <si>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</si>
  <si>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</si>
  <si>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</si>
  <si>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</si>
  <si>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</si>
  <si>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</si>
  <si>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</si>
  <si>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</si>
  <si>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</si>
  <si>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</si>
  <si>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</si>
  <si>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</si>
  <si>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</si>
  <si>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</si>
  <si>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</si>
  <si>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</si>
  <si>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</si>
  <si>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</si>
  <si>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</si>
  <si>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</si>
  <si>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</si>
  <si>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</si>
  <si>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</si>
  <si>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</si>
  <si>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</si>
  <si>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</si>
  <si>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</si>
  <si>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</si>
  <si>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</si>
  <si>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</si>
  <si>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</si>
  <si>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</si>
  <si>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</si>
  <si>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</si>
  <si>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</si>
  <si>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</si>
  <si>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</si>
  <si>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</si>
  <si>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</si>
  <si>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</si>
  <si>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</si>
  <si>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</si>
  <si>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</si>
  <si>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</si>
  <si>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</si>
  <si>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</si>
  <si>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</si>
  <si>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</si>
  <si>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</si>
  <si>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</si>
  <si>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</si>
  <si>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</si>
  <si>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</si>
  <si>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</si>
  <si>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</si>
  <si>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</si>
  <si>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</si>
  <si>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</si>
  <si>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</si>
  <si>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</si>
  <si>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</si>
  <si>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</si>
  <si>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</si>
  <si>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</si>
  <si>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</si>
  <si>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</si>
  <si>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</si>
  <si>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</si>
  <si>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</si>
  <si>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</si>
  <si>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</si>
  <si>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</si>
  <si>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</si>
  <si>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</si>
  <si>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</si>
  <si>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</si>
  <si>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</si>
  <si>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</si>
  <si>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</si>
  <si>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</si>
  <si>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</si>
  <si>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</si>
  <si>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</si>
  <si>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</si>
  <si>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</si>
  <si>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</si>
  <si>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</si>
  <si>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</si>
  <si>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</si>
  <si>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</si>
  <si>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</si>
  <si>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</si>
  <si>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</si>
  <si>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</si>
  <si>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</si>
  <si>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</si>
  <si>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</si>
  <si>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</si>
  <si>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</si>
  <si>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</si>
  <si>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</si>
  <si>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</si>
  <si>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</si>
  <si>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</si>
  <si>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</si>
  <si>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</si>
  <si>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</si>
  <si>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</si>
  <si>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</si>
  <si>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</si>
  <si>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</si>
  <si>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</si>
  <si>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</si>
  <si>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</si>
  <si>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</si>
  <si>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</si>
  <si>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</si>
  <si>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</si>
  <si>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</si>
  <si>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</si>
  <si>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</si>
  <si>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</si>
  <si>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</si>
  <si>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</si>
  <si>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</si>
  <si>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</si>
  <si>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</si>
  <si>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</si>
  <si>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</si>
  <si>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</si>
  <si>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</si>
  <si>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</si>
  <si>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</si>
  <si>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</si>
  <si>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</si>
  <si>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</si>
  <si>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</si>
  <si>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</si>
  <si>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</si>
  <si>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</si>
  <si>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</si>
  <si>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</si>
  <si>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</si>
  <si>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</si>
  <si>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</si>
  <si>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</si>
  <si>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</si>
  <si>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</si>
  <si>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</si>
  <si>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</si>
  <si>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</si>
  <si>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</si>
  <si>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</si>
  <si>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</si>
  <si>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</si>
  <si>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</si>
  <si>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</si>
  <si>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</si>
  <si>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</si>
  <si>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</si>
  <si>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</si>
  <si>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</si>
  <si>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</si>
  <si>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</si>
  <si>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</si>
  <si>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</si>
  <si>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</si>
  <si>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</si>
  <si>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</si>
  <si>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</si>
  <si>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</si>
  <si>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</si>
  <si>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</si>
  <si>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</si>
  <si>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</si>
  <si>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</si>
  <si>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</si>
  <si>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</si>
  <si>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</si>
  <si>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</si>
  <si>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</si>
  <si>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</si>
  <si>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</si>
  <si>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</si>
  <si>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</si>
  <si>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</si>
  <si>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</si>
  <si>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</si>
  <si>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</si>
  <si>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</si>
  <si>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</si>
  <si>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</si>
  <si>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</si>
  <si>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</si>
  <si>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</si>
  <si>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</si>
  <si>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</si>
  <si>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</si>
  <si>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</si>
  <si>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</si>
  <si>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</si>
  <si>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</si>
  <si>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</si>
  <si>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</si>
  <si>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</si>
  <si>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</si>
  <si>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</si>
  <si>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</si>
  <si>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</si>
  <si>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</si>
  <si>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</si>
  <si>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</si>
  <si>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</si>
  <si>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</si>
  <si>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</si>
  <si>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</si>
  <si>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</si>
  <si>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</si>
  <si>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</si>
  <si>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</si>
  <si>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</si>
  <si>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</si>
  <si>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</si>
  <si>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</si>
  <si>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</si>
  <si>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</si>
  <si>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</si>
  <si>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</si>
  <si>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</si>
  <si>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</si>
  <si>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</si>
  <si>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</si>
  <si>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</si>
  <si>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</si>
  <si>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</si>
  <si>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</si>
  <si>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</si>
  <si>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</si>
  <si>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</si>
  <si>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</si>
  <si>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</si>
  <si>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</si>
  <si>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</si>
  <si>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</si>
  <si>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</si>
  <si>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</si>
  <si>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</si>
  <si>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</si>
  <si>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</si>
  <si>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</si>
  <si>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</si>
  <si>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</si>
  <si>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</si>
  <si>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</si>
  <si>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</si>
  <si>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</si>
  <si>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</si>
  <si>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</si>
  <si>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</si>
  <si>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</si>
  <si>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</si>
  <si>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</si>
  <si>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</si>
  <si>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</si>
  <si>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</si>
  <si>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</si>
  <si>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</si>
  <si>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</si>
  <si>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</si>
  <si>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</si>
  <si>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</si>
  <si>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</si>
  <si>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</si>
  <si>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</si>
  <si>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</si>
  <si>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</si>
  <si>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</si>
  <si>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</si>
  <si>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</si>
  <si>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</si>
  <si>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</si>
  <si>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</si>
  <si>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</si>
  <si>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</si>
  <si>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</si>
  <si>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</si>
  <si>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</si>
  <si>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</si>
  <si>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</si>
  <si>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</si>
  <si>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</si>
  <si>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</si>
  <si>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</si>
  <si>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</si>
  <si>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</si>
  <si>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</si>
  <si>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</si>
  <si>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</si>
  <si>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</si>
  <si>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</si>
  <si>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</si>
  <si>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</si>
  <si>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</si>
  <si>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</si>
  <si>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</si>
  <si>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</si>
  <si>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</si>
  <si>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</si>
  <si>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</si>
  <si>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</si>
  <si>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</si>
  <si>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</si>
  <si>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</si>
  <si>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</si>
  <si>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</si>
  <si>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</si>
  <si>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</si>
  <si>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</si>
  <si>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</si>
  <si>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</si>
  <si>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</si>
  <si>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</si>
  <si>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</si>
  <si>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</si>
  <si>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</si>
  <si>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</si>
  <si>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</si>
  <si>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</si>
  <si>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</si>
  <si>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</si>
  <si>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</si>
  <si>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</si>
  <si>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</si>
  <si>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</si>
  <si>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</si>
  <si>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</si>
  <si>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</si>
  <si>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</si>
  <si>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</si>
  <si>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</si>
  <si>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</si>
  <si>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</si>
  <si>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</si>
  <si>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</si>
  <si>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</si>
  <si>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</si>
  <si>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</si>
  <si>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</si>
  <si>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</si>
  <si>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</si>
  <si>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</si>
  <si>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</si>
  <si>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</si>
  <si>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</si>
  <si>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</si>
  <si>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</si>
  <si>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</si>
  <si>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</si>
  <si>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</si>
  <si>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</si>
  <si>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</si>
  <si>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</si>
  <si>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</si>
  <si>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</si>
  <si>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</si>
  <si>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</si>
  <si>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</si>
  <si>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</si>
  <si>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</si>
  <si>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</si>
  <si>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</si>
  <si>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</si>
  <si>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</si>
  <si>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</si>
  <si>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</si>
  <si>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</si>
  <si>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</si>
  <si>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</si>
  <si>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</si>
  <si>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</si>
  <si>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</si>
  <si>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</si>
  <si>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</si>
  <si>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</si>
  <si>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</si>
  <si>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</si>
  <si>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</si>
  <si>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</si>
  <si>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</si>
  <si>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</si>
  <si>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</si>
  <si>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</si>
  <si>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</si>
  <si>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</si>
  <si>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</si>
  <si>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</si>
  <si>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</si>
  <si>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</si>
  <si>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</si>
  <si>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</si>
  <si>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</si>
  <si>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</si>
  <si>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</si>
  <si>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</si>
  <si>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</si>
  <si>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</si>
  <si>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</si>
  <si>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</si>
  <si>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</si>
  <si>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</si>
  <si>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</si>
  <si>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</si>
  <si>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</si>
  <si>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</si>
  <si>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</si>
  <si>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</si>
  <si>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</si>
  <si>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</si>
  <si>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</si>
  <si>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</si>
  <si>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</si>
  <si>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</si>
  <si>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</si>
  <si>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</si>
  <si>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</si>
  <si>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</si>
  <si>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</si>
  <si>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</si>
  <si>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</si>
  <si>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</si>
  <si>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</si>
  <si>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</si>
  <si>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</si>
  <si>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</si>
  <si>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</si>
  <si>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</si>
  <si>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</si>
  <si>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</si>
  <si>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</si>
  <si>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</si>
  <si>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</si>
  <si>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</si>
  <si>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</si>
  <si>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</si>
  <si>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</si>
  <si>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</si>
  <si>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</si>
  <si>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</si>
  <si>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</si>
  <si>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</si>
  <si>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</si>
  <si>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</si>
  <si>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</si>
  <si>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</si>
  <si>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</si>
  <si>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</si>
  <si>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</si>
  <si>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</si>
  <si>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</si>
  <si>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</si>
  <si>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</si>
  <si>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</si>
  <si>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</si>
  <si>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</si>
  <si>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</si>
  <si>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</si>
  <si>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</si>
  <si>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</si>
  <si>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</si>
  <si>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</si>
  <si>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</si>
  <si>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</si>
  <si>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</si>
  <si>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</si>
  <si>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</si>
  <si>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</si>
  <si>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</si>
  <si>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</si>
  <si>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</si>
  <si>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</si>
  <si>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</si>
  <si>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</si>
  <si>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</si>
  <si>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</si>
  <si>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</si>
  <si>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</si>
  <si>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</si>
  <si>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</si>
  <si>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</si>
  <si>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</si>
  <si>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</si>
  <si>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</si>
  <si>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</si>
  <si>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</si>
  <si>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</si>
  <si>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</si>
  <si>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</si>
  <si>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</si>
  <si>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</si>
  <si>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</si>
  <si>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</si>
  <si>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</si>
  <si>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</si>
  <si>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</si>
  <si>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</si>
  <si>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</si>
  <si>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</si>
  <si>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</si>
  <si>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</si>
  <si>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</si>
  <si>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</si>
  <si>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</si>
  <si>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</si>
  <si>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</si>
  <si>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</si>
  <si>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</si>
  <si>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</si>
  <si>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</si>
  <si>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</si>
  <si>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</si>
  <si>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</si>
  <si>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</si>
  <si>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</si>
  <si>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</si>
  <si>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</si>
  <si>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</si>
  <si>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</si>
  <si>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</si>
  <si>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</si>
  <si>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</si>
  <si>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</si>
  <si>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</si>
  <si>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</si>
  <si>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</si>
  <si>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</si>
  <si>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</si>
  <si>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</si>
  <si>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</si>
  <si>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</si>
  <si>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</si>
  <si>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</si>
  <si>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</si>
  <si>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</si>
  <si>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</si>
  <si>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</si>
  <si>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</si>
  <si>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</si>
  <si>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</si>
  <si>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</si>
  <si>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</si>
  <si>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</si>
  <si>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</si>
  <si>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</si>
  <si>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</si>
  <si>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</si>
  <si>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</si>
  <si>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</si>
  <si>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</si>
  <si>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</si>
  <si>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</si>
  <si>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</si>
  <si>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</si>
  <si>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</si>
  <si>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</si>
  <si>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</si>
  <si>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</si>
  <si>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</si>
  <si>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</si>
  <si>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</si>
  <si>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</si>
  <si>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</si>
  <si>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</si>
  <si>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</si>
  <si>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</si>
  <si>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</si>
  <si>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</si>
  <si>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</si>
  <si>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</si>
  <si>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</si>
  <si>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</si>
  <si>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</si>
  <si>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</si>
  <si>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</si>
  <si>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</si>
  <si>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</si>
  <si>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</si>
  <si>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</si>
  <si>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</si>
  <si>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</si>
  <si>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</si>
  <si>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</si>
  <si>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</si>
  <si>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</si>
  <si>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</si>
  <si>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</si>
  <si>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</si>
  <si>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</si>
  <si>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</si>
  <si>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</si>
  <si>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</si>
  <si>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</si>
  <si>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</si>
  <si>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</si>
  <si>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</si>
  <si>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</si>
  <si>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</si>
  <si>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</si>
  <si>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</si>
  <si>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</si>
  <si>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</si>
  <si>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</si>
  <si>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</si>
  <si>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</si>
  <si>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</si>
  <si>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</si>
  <si>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</si>
  <si>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</si>
  <si>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</si>
  <si>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</si>
  <si>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</si>
  <si>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</si>
  <si>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</si>
  <si>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</si>
  <si>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</si>
  <si>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</si>
  <si>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</si>
  <si>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</si>
  <si>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</si>
  <si>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</si>
  <si>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</si>
  <si>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</si>
  <si>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</si>
  <si>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</si>
  <si>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</si>
  <si>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</si>
  <si>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</si>
  <si>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</si>
  <si>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</si>
  <si>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</si>
  <si>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</si>
  <si>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</si>
  <si>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</si>
  <si>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</si>
  <si>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</si>
  <si>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</si>
  <si>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</si>
  <si>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</si>
  <si>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</si>
  <si>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</si>
  <si>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</si>
  <si>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</si>
  <si>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</si>
  <si>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</si>
  <si>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</si>
  <si>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</si>
  <si>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</si>
  <si>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</si>
  <si>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</si>
  <si>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</si>
  <si>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</si>
  <si>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</si>
  <si>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</si>
  <si>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</si>
  <si>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</si>
  <si>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</si>
  <si>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</si>
  <si>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</si>
  <si>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</si>
  <si>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</si>
  <si>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</si>
  <si>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</si>
  <si>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</si>
  <si>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</si>
  <si>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</si>
  <si>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</si>
  <si>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</si>
  <si>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</si>
  <si>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</si>
  <si>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</si>
  <si>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</si>
  <si>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</si>
  <si>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</si>
  <si>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</si>
  <si>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</si>
  <si>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</si>
  <si>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</si>
  <si>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</si>
  <si>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</si>
  <si>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</si>
  <si>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</si>
  <si>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</si>
  <si>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</si>
  <si>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</si>
  <si>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</si>
  <si>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</si>
  <si>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</si>
  <si>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</si>
  <si>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</si>
  <si>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</si>
  <si>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</si>
  <si>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</si>
  <si>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</si>
  <si>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</si>
  <si>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</si>
  <si>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</si>
  <si>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</si>
  <si>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</si>
  <si>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</si>
  <si>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</si>
  <si>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</si>
  <si>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</si>
  <si>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</si>
  <si>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</si>
  <si>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</si>
  <si>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</si>
  <si>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</si>
  <si>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</si>
  <si>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</si>
  <si>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</si>
  <si>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</si>
  <si>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</si>
  <si>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</si>
  <si>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</si>
  <si>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</si>
  <si>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</si>
  <si>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</si>
  <si>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</si>
  <si>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</si>
  <si>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</si>
  <si>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</si>
  <si>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</si>
  <si>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</si>
  <si>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</si>
  <si>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</si>
  <si>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</si>
  <si>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</si>
  <si>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</si>
  <si>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</si>
  <si>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</si>
  <si>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</si>
  <si>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</si>
  <si>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</si>
  <si>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</si>
  <si>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</si>
  <si>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</si>
  <si>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</si>
  <si>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</si>
  <si>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</si>
  <si>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</si>
  <si>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</si>
  <si>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</si>
  <si>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</si>
  <si>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</si>
  <si>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</si>
  <si>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</si>
  <si>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</si>
  <si>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</si>
  <si>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</si>
  <si>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</si>
  <si>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</si>
  <si>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</si>
  <si>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</si>
  <si>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</si>
  <si>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</si>
  <si>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</si>
  <si>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</si>
  <si>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</si>
  <si>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</si>
  <si>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</si>
  <si>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</si>
  <si>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</si>
  <si>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</si>
  <si>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</si>
  <si>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</si>
  <si>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</si>
  <si>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</si>
  <si>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</si>
  <si>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</si>
  <si>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</si>
  <si>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</si>
  <si>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</si>
  <si>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</si>
  <si>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</si>
  <si>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</si>
  <si>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</si>
  <si>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</si>
  <si>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</si>
  <si>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</si>
  <si>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</si>
  <si>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</si>
  <si>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</si>
  <si>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</si>
  <si>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</si>
  <si>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</si>
  <si>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</si>
  <si>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</si>
  <si>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</si>
  <si>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</si>
  <si>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</si>
  <si>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</si>
  <si>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</si>
  <si>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</si>
  <si>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</si>
  <si>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</si>
  <si>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</si>
  <si>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</si>
  <si>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</si>
  <si>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</si>
  <si>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</si>
  <si>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</si>
  <si>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</si>
  <si>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</si>
  <si>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</si>
  <si>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</si>
  <si>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</si>
  <si>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</si>
  <si>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</si>
  <si>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</si>
  <si>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</si>
  <si>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</si>
  <si>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</si>
  <si>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</si>
  <si>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</si>
  <si>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</si>
  <si>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</si>
  <si>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</si>
  <si>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</si>
  <si>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</si>
  <si>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</si>
  <si>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</si>
  <si>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</si>
  <si>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</si>
  <si>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</si>
  <si>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</si>
  <si>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</si>
  <si>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</si>
  <si>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</si>
  <si>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</si>
  <si>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</si>
  <si>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</si>
  <si>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</si>
  <si>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</si>
  <si>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</si>
  <si>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</si>
  <si>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</si>
  <si>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</si>
  <si>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</si>
  <si>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</si>
  <si>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</si>
  <si>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</si>
  <si>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</si>
  <si>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</si>
  <si>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</si>
  <si>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</si>
  <si>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</si>
  <si>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</si>
  <si>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</si>
  <si>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</si>
  <si>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</si>
  <si>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</si>
  <si>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</si>
  <si>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</si>
  <si>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</si>
  <si>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</si>
  <si>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</si>
  <si>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</si>
  <si>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</si>
  <si>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</si>
  <si>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</si>
  <si>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</si>
  <si>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</si>
  <si>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</si>
  <si>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</si>
  <si>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</si>
  <si>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</si>
  <si>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</si>
  <si>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</si>
  <si>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</si>
  <si>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</si>
  <si>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</si>
  <si>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</si>
  <si>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</si>
  <si>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</si>
  <si>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</si>
  <si>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</si>
  <si>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</si>
  <si>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</si>
  <si>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</si>
  <si>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</si>
  <si>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</si>
  <si>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</si>
  <si>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</si>
  <si>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</si>
  <si>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</si>
  <si>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</si>
  <si>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</si>
  <si>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</si>
  <si>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</si>
  <si>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</si>
  <si>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</si>
  <si>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</si>
  <si>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</si>
  <si>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</si>
  <si>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</si>
  <si>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</si>
  <si>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</si>
  <si>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</si>
  <si>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</si>
  <si>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</si>
  <si>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</si>
  <si>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</si>
  <si>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</si>
  <si>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</si>
  <si>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</si>
  <si>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</si>
  <si>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</si>
  <si>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</si>
  <si>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</si>
  <si>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</si>
  <si>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</si>
  <si>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</si>
  <si>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</si>
  <si>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</si>
  <si>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</si>
  <si>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</si>
  <si>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</si>
  <si>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</si>
  <si>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</si>
  <si>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</si>
  <si>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</si>
  <si>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</si>
  <si>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</si>
  <si>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</si>
  <si>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</si>
  <si>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</si>
  <si>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</si>
  <si>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</si>
  <si>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</si>
  <si>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</si>
  <si>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</si>
  <si>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</si>
  <si>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</si>
  <si>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</si>
  <si>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</si>
  <si>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</si>
  <si>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</si>
  <si>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</si>
  <si>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</si>
  <si>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</si>
  <si>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</si>
  <si>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</si>
  <si>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</si>
  <si>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</si>
  <si>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</si>
  <si>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</si>
  <si>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</si>
  <si>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</si>
  <si>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</si>
  <si>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</si>
  <si>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</si>
  <si>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</si>
  <si>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</si>
  <si>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</si>
  <si>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</si>
  <si>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</si>
  <si>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</si>
  <si>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</si>
  <si>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</si>
  <si>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</si>
  <si>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</si>
  <si>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</si>
  <si>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</si>
  <si>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</si>
  <si>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</si>
  <si>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</si>
  <si>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</si>
  <si>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</si>
  <si>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</si>
  <si>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</si>
  <si>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</si>
  <si>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</si>
  <si>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</si>
  <si>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</si>
  <si>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</si>
  <si>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</si>
  <si>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</si>
  <si>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</si>
  <si>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</si>
  <si>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</si>
  <si>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</si>
  <si>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</si>
  <si>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</si>
  <si>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</si>
  <si>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</si>
  <si>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</si>
  <si>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</si>
  <si>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</si>
  <si>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</si>
  <si>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</si>
  <si>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</si>
  <si>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</si>
  <si>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</si>
  <si>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</si>
  <si>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</si>
  <si>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</si>
  <si>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</si>
  <si>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</si>
  <si>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</si>
  <si>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</si>
  <si>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</si>
  <si>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</si>
  <si>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</si>
  <si>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</si>
  <si>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</si>
  <si>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</si>
  <si>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</si>
  <si>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</si>
  <si>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</si>
  <si>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</si>
  <si>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</si>
  <si>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</si>
  <si>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</si>
  <si>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</si>
  <si>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</si>
  <si>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</si>
  <si>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</si>
  <si>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</si>
  <si>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</si>
  <si>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</si>
  <si>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</si>
  <si>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</si>
  <si>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</si>
  <si>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</si>
  <si>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</si>
  <si>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</si>
  <si>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</si>
  <si>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</si>
  <si>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</si>
  <si>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</si>
  <si>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</si>
  <si>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</si>
  <si>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</si>
  <si>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</si>
  <si>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</si>
  <si>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</si>
  <si>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</si>
  <si>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</si>
  <si>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</si>
  <si>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</si>
  <si>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</si>
  <si>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</si>
  <si>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</si>
  <si>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</si>
  <si>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</si>
  <si>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</si>
  <si>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</si>
  <si>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</si>
  <si>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</si>
  <si>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</si>
  <si>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</si>
  <si>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</si>
  <si>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</si>
  <si>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</si>
  <si>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</si>
  <si>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</si>
  <si>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</si>
  <si>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</si>
  <si>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</si>
  <si>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</si>
  <si>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</si>
  <si>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</si>
  <si>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</si>
  <si>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</si>
  <si>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</si>
  <si>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</si>
  <si>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</si>
  <si>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</si>
  <si>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</si>
  <si>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</si>
  <si>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</si>
  <si>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</si>
  <si>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</si>
  <si>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</si>
  <si>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</si>
  <si>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</si>
  <si>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</si>
  <si>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</si>
  <si>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</si>
  <si>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</si>
  <si>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</si>
  <si>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</si>
  <si>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</si>
  <si>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</si>
  <si>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</si>
  <si>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</si>
  <si>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</si>
  <si>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</si>
  <si>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</si>
  <si>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</si>
  <si>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</si>
  <si>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</si>
  <si>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</si>
  <si>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</si>
  <si>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</si>
  <si>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</si>
  <si>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</si>
  <si>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</si>
  <si>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</si>
  <si>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</si>
  <si>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</si>
  <si>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</si>
  <si>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</si>
  <si>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</si>
  <si>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</si>
  <si>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</si>
  <si>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</si>
  <si>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</si>
  <si>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</si>
  <si>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</si>
  <si>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</si>
  <si>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</si>
  <si>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</si>
  <si>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</si>
  <si>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</si>
  <si>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</si>
  <si>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</si>
  <si>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</si>
  <si>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</si>
  <si>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</si>
  <si>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</si>
  <si>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</si>
  <si>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</si>
  <si>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</si>
  <si>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</si>
  <si>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</si>
  <si>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</si>
  <si>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</si>
  <si>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</si>
  <si>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</si>
  <si>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</si>
  <si>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</si>
  <si>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</si>
  <si>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</si>
  <si>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</si>
  <si>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</si>
  <si>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</si>
  <si>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</si>
  <si>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</si>
  <si>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</si>
  <si>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</si>
  <si>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</si>
  <si>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</si>
  <si>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</si>
  <si>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</si>
  <si>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</si>
  <si>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</si>
  <si>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</si>
  <si>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</si>
  <si>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</si>
  <si>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</si>
  <si>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</si>
  <si>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</si>
  <si>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</si>
  <si>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</si>
  <si>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</si>
  <si>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</si>
  <si>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</si>
  <si>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</si>
  <si>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</si>
  <si>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</si>
  <si>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</si>
  <si>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</si>
  <si>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</si>
  <si>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</si>
  <si>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</si>
  <si>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</si>
  <si>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</si>
  <si>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</si>
  <si>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</si>
  <si>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</si>
  <si>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</si>
  <si>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</si>
  <si>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</si>
  <si>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</si>
  <si>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</si>
  <si>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</si>
  <si>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</si>
  <si>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</si>
  <si>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</si>
  <si>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</si>
  <si>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</si>
  <si>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</si>
  <si>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</si>
  <si>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</si>
  <si>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</si>
  <si>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</si>
  <si>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</si>
  <si>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</si>
  <si>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</si>
  <si>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</si>
  <si>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</si>
  <si>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</si>
  <si>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</si>
  <si>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</si>
  <si>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</si>
  <si>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</si>
  <si>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</si>
  <si>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</si>
  <si>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</si>
  <si>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</si>
  <si>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</si>
  <si>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</si>
  <si>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</si>
  <si>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</si>
  <si>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</si>
  <si>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</si>
  <si>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</si>
  <si>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</si>
  <si>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</si>
  <si>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</si>
  <si>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</si>
  <si>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</si>
  <si>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</si>
  <si>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</si>
  <si>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</si>
  <si>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</si>
  <si>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</si>
  <si>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</si>
  <si>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</si>
  <si>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</si>
  <si>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</si>
  <si>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</si>
  <si>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</si>
  <si>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</si>
  <si>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</si>
  <si>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</si>
  <si>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</si>
  <si>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</si>
  <si>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</si>
  <si>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</si>
  <si>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</si>
  <si>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</si>
  <si>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</si>
  <si>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</si>
  <si>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</si>
  <si>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</si>
  <si>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</si>
  <si>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</si>
  <si>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</si>
  <si>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</si>
  <si>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</si>
  <si>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</si>
  <si>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</si>
  <si>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</si>
  <si>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</si>
  <si>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</si>
  <si>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</si>
  <si>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</si>
  <si>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</si>
  <si>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</si>
  <si>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</si>
  <si>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</si>
  <si>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</si>
  <si>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</si>
  <si>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</si>
  <si>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</si>
  <si>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</si>
  <si>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</si>
  <si>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</si>
  <si>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</si>
  <si>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</si>
  <si>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</si>
  <si>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</si>
  <si>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</si>
  <si>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</si>
  <si>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</si>
  <si>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</si>
  <si>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</si>
  <si>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</si>
  <si>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</si>
  <si>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</si>
  <si>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</si>
  <si>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</si>
  <si>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</si>
  <si>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</si>
  <si>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</si>
  <si>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</si>
  <si>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</si>
  <si>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</si>
  <si>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</si>
  <si>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</si>
  <si>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</si>
  <si>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</si>
  <si>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</si>
  <si>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</si>
  <si>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</si>
  <si>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</si>
  <si>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</si>
  <si>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</si>
  <si>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</si>
  <si>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</si>
  <si>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</si>
  <si>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</si>
  <si>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</si>
  <si>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</si>
  <si>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</si>
  <si>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</si>
  <si>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</si>
  <si>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</si>
  <si>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</si>
  <si>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</si>
  <si>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</si>
  <si>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</si>
  <si>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</si>
  <si>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</si>
  <si>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</si>
  <si>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</si>
  <si>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</si>
  <si>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</si>
  <si>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</si>
  <si>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</si>
  <si>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</si>
  <si>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</si>
  <si>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</si>
  <si>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</si>
  <si>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</si>
  <si>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</si>
  <si>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</si>
  <si>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</si>
  <si>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</si>
  <si>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</si>
  <si>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</si>
  <si>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</si>
  <si>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</si>
  <si>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</si>
  <si>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</si>
  <si>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</si>
  <si>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</si>
  <si>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</si>
  <si>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</si>
  <si>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</si>
  <si>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</si>
  <si>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</si>
  <si>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</si>
  <si>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</si>
  <si>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</si>
  <si>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</si>
  <si>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</si>
  <si>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</si>
  <si>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</si>
  <si>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</si>
  <si>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</si>
  <si>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</si>
  <si>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</si>
  <si>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</si>
  <si>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</si>
  <si>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</si>
  <si>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</si>
  <si>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</si>
  <si>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</si>
  <si>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</si>
  <si>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</si>
  <si>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</si>
  <si>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</si>
  <si>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</si>
  <si>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</si>
  <si>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</si>
  <si>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</si>
  <si>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</si>
  <si>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</si>
  <si>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</si>
  <si>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</si>
  <si>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</si>
  <si>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</si>
  <si>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</si>
  <si>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</si>
  <si>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</si>
  <si>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</si>
  <si>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</si>
  <si>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</si>
  <si>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</si>
  <si>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</si>
  <si>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</si>
  <si>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</si>
  <si>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</si>
  <si>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</si>
  <si>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</si>
  <si>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</si>
  <si>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</si>
  <si>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</si>
  <si>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</si>
  <si>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</si>
  <si>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</si>
  <si>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</si>
  <si>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</si>
  <si>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</si>
  <si>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</si>
  <si>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</si>
  <si>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</si>
  <si>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</si>
  <si>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</si>
  <si>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</si>
  <si>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</si>
  <si>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</si>
  <si>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</si>
  <si>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</si>
  <si>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</si>
  <si>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</si>
  <si>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</si>
  <si>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</si>
  <si>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</si>
  <si>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</si>
  <si>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</si>
  <si>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</si>
  <si>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</si>
  <si>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</si>
  <si>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</si>
  <si>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</si>
  <si>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</si>
  <si>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</si>
  <si>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</si>
  <si>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</si>
  <si>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</si>
  <si>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</si>
  <si>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</si>
  <si>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</si>
  <si>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</si>
  <si>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</si>
  <si>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</si>
  <si>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</si>
  <si>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</si>
  <si>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</si>
  <si>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</si>
  <si>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</si>
  <si>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</si>
  <si>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</si>
  <si>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</si>
  <si>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</si>
  <si>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</si>
  <si>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</si>
  <si>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</si>
  <si>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</si>
  <si>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</si>
  <si>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</si>
  <si>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</si>
  <si>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</si>
  <si>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</si>
  <si>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</si>
  <si>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</si>
  <si>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</si>
  <si>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</si>
  <si>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</si>
  <si>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</si>
  <si>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</si>
  <si>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</si>
  <si>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</si>
  <si>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</si>
  <si>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</si>
  <si>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</si>
  <si>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</si>
  <si>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</si>
  <si>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</si>
  <si>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</si>
  <si>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</si>
  <si>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</si>
  <si>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</si>
  <si>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</si>
  <si>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</si>
  <si>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</si>
  <si>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</si>
  <si>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</si>
  <si>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</si>
  <si>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</si>
  <si>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</si>
  <si>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</si>
  <si>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</si>
  <si>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</si>
  <si>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</si>
  <si>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</si>
  <si>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</si>
  <si>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</si>
  <si>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</si>
  <si>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</si>
  <si>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</si>
  <si>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</si>
  <si>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</si>
  <si>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</si>
  <si>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</si>
  <si>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</si>
  <si>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</si>
  <si>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</si>
  <si>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</si>
  <si>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</si>
  <si>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</si>
  <si>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</si>
  <si>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</si>
  <si>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</si>
  <si>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</si>
  <si>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</si>
  <si>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</si>
  <si>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</si>
  <si>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</si>
  <si>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</si>
  <si>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</si>
  <si>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</si>
  <si>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</si>
  <si>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</si>
  <si>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</si>
  <si>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</si>
  <si>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</si>
  <si>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</si>
  <si>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</si>
  <si>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</si>
  <si>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</si>
  <si>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</si>
  <si>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</si>
  <si>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</si>
  <si>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</si>
  <si>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</si>
  <si>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</si>
  <si>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</si>
  <si>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</si>
  <si>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</si>
  <si>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</si>
  <si>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</si>
  <si>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</si>
  <si>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</si>
  <si>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</si>
  <si>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</si>
  <si>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</si>
  <si>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</si>
  <si>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</si>
  <si>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</si>
  <si>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</si>
  <si>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</si>
  <si>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</si>
  <si>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</si>
  <si>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</si>
  <si>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</si>
  <si>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</si>
  <si>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</si>
  <si>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</si>
  <si>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</si>
  <si>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</si>
  <si>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</si>
  <si>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</si>
  <si>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</si>
  <si>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</si>
  <si>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</si>
  <si>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</si>
  <si>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</si>
  <si>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</si>
  <si>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</si>
  <si>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</si>
  <si>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</si>
  <si>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</si>
  <si>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</si>
  <si>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</si>
  <si>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</si>
  <si>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</si>
  <si>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</si>
  <si>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</si>
  <si>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</si>
  <si>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</si>
  <si>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</si>
  <si>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</si>
  <si>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</si>
  <si>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</si>
  <si>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</si>
  <si>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</si>
  <si>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</si>
  <si>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</si>
  <si>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</si>
  <si>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</si>
  <si>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</si>
  <si>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</si>
  <si>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</si>
  <si>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</si>
  <si>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</si>
  <si>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</si>
  <si>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</si>
  <si>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</si>
  <si>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</si>
  <si>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</si>
  <si>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</si>
  <si>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</si>
  <si>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</si>
  <si>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</si>
  <si>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</si>
  <si>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</si>
  <si>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</si>
  <si>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</si>
  <si>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</si>
  <si>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</si>
  <si>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</si>
  <si>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</si>
  <si>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</si>
  <si>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</si>
  <si>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</si>
  <si>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</si>
  <si>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</si>
  <si>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</si>
  <si>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</si>
  <si>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</si>
  <si>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</si>
  <si>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</si>
  <si>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</si>
  <si>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</si>
  <si>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</si>
  <si>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</si>
  <si>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</si>
  <si>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</si>
  <si>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</si>
  <si>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</si>
  <si>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</si>
  <si>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</si>
  <si>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</si>
  <si>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</si>
  <si>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</si>
  <si>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</si>
  <si>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</si>
  <si>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</si>
  <si>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</si>
  <si>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</si>
  <si>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</si>
  <si>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</si>
  <si>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</si>
  <si>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</si>
  <si>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</si>
  <si>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</si>
  <si>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</si>
  <si>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</si>
  <si>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</si>
  <si>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</si>
  <si>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</si>
  <si>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</si>
  <si>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</si>
  <si>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</si>
  <si>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</si>
  <si>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</si>
  <si>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</si>
  <si>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</si>
  <si>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</si>
  <si>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</si>
  <si>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</si>
  <si>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</si>
  <si>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</si>
  <si>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</si>
  <si>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</si>
  <si>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</si>
  <si>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</si>
  <si>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</si>
  <si>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</si>
  <si>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</si>
  <si>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</si>
  <si>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</si>
  <si>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</si>
  <si>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</si>
  <si>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</si>
  <si>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</si>
  <si>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</si>
  <si>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</si>
  <si>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</si>
  <si>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</si>
  <si>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</si>
  <si>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</si>
  <si>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</si>
  <si>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</si>
  <si>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</si>
  <si>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</si>
  <si>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</si>
  <si>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</si>
  <si>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</si>
  <si>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</si>
  <si>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</si>
  <si>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</si>
  <si>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</si>
  <si>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</si>
  <si>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</si>
  <si>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</si>
  <si>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</si>
  <si>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</si>
  <si>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</si>
  <si>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</si>
  <si>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</si>
  <si>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</si>
  <si>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</si>
  <si>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</si>
  <si>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</si>
  <si>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</si>
  <si>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</si>
  <si>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</si>
  <si>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</si>
  <si>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</si>
  <si>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</si>
  <si>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</si>
  <si>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</si>
  <si>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</si>
  <si>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</si>
  <si>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</si>
  <si>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</si>
  <si>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</si>
  <si>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</si>
  <si>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</si>
  <si>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</si>
  <si>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</si>
  <si>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</si>
  <si>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</si>
  <si>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</si>
  <si>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</si>
  <si>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</si>
  <si>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</si>
  <si>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</si>
  <si>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</si>
  <si>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</si>
  <si>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</si>
  <si>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</si>
  <si>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</si>
  <si>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</si>
  <si>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</si>
  <si>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</si>
  <si>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</si>
  <si>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</si>
  <si>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</si>
  <si>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</si>
  <si>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</si>
  <si>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</si>
  <si>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</si>
  <si>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</si>
  <si>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</si>
  <si>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</si>
  <si>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</si>
  <si>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</si>
  <si>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</si>
  <si>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</si>
  <si>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</si>
  <si>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</si>
  <si>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</si>
  <si>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</si>
  <si>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</si>
  <si>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</si>
  <si>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</si>
  <si>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</si>
  <si>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</si>
  <si>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</si>
  <si>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</si>
  <si>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</si>
  <si>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</si>
  <si>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</si>
  <si>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</si>
  <si>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</si>
  <si>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</si>
  <si>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</si>
  <si>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</si>
  <si>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</si>
  <si>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</si>
  <si>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</si>
  <si>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</si>
  <si>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</si>
  <si>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</si>
  <si>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</si>
  <si>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</si>
  <si>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</si>
  <si>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</si>
  <si>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</si>
  <si>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</si>
  <si>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</si>
  <si>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</si>
  <si>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</si>
  <si>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</si>
  <si>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</si>
  <si>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</si>
  <si>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</si>
  <si>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</si>
  <si>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</si>
  <si>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</si>
  <si>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</si>
  <si>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</si>
  <si>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</si>
  <si>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</si>
  <si>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</si>
  <si>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</si>
  <si>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</si>
  <si>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</si>
  <si>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</si>
  <si>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</si>
  <si>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</si>
  <si>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</si>
  <si>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</si>
  <si>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</si>
  <si>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</si>
  <si>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</si>
  <si>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</si>
  <si>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</si>
  <si>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</si>
  <si>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</si>
  <si>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</si>
  <si>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</si>
  <si>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</si>
  <si>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</si>
  <si>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</si>
  <si>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</si>
  <si>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</si>
  <si>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</si>
  <si>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</si>
  <si>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</si>
  <si>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</si>
  <si>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</si>
  <si>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</si>
  <si>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</si>
  <si>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</si>
  <si>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</si>
  <si>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</si>
  <si>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</si>
  <si>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</si>
  <si>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</si>
  <si>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</si>
  <si>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</si>
  <si>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</si>
  <si>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</si>
  <si>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</si>
  <si>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</si>
  <si>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</si>
  <si>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</si>
  <si>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</si>
  <si>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</si>
  <si>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</si>
  <si>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</si>
  <si>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</si>
  <si>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</si>
  <si>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</si>
  <si>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</si>
  <si>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</si>
  <si>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</si>
  <si>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</si>
  <si>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</si>
  <si>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</si>
  <si>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</si>
  <si>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</si>
  <si>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</si>
  <si>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</si>
  <si>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</si>
  <si>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</si>
  <si>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</si>
  <si>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</si>
  <si>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</si>
  <si>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</si>
  <si>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</si>
  <si>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</si>
  <si>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</si>
  <si>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</si>
  <si>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</si>
  <si>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</si>
  <si>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</si>
  <si>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</si>
  <si>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</si>
  <si>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</si>
  <si>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</si>
  <si>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</si>
  <si>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</si>
  <si>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</si>
  <si>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</si>
  <si>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</si>
  <si>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</si>
  <si>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</si>
  <si>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</si>
  <si>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</si>
  <si>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</si>
  <si>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</si>
  <si>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</si>
  <si>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</si>
  <si>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</si>
  <si>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</si>
  <si>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</si>
  <si>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</si>
  <si>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</si>
  <si>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</si>
  <si>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</si>
  <si>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</si>
  <si>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</si>
  <si>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</si>
  <si>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</si>
  <si>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</si>
  <si>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</si>
  <si>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</si>
  <si>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</si>
  <si>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</si>
  <si>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</si>
  <si>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</si>
  <si>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</si>
  <si>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</si>
  <si>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</si>
  <si>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</si>
  <si>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</si>
  <si>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</si>
  <si>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</si>
  <si>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</si>
  <si>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</si>
  <si>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</si>
  <si>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</si>
  <si>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</si>
  <si>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</si>
  <si>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</si>
  <si>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</si>
  <si>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</si>
  <si>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</si>
  <si>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</si>
  <si>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</si>
  <si>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</si>
  <si>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</si>
  <si>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</si>
  <si>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</si>
  <si>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</si>
  <si>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</si>
  <si>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</si>
  <si>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</si>
  <si>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</si>
  <si>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</si>
  <si>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</si>
  <si>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</si>
  <si>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</si>
  <si>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</si>
  <si>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</si>
  <si>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</si>
  <si>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</si>
  <si>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</si>
  <si>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</si>
  <si>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</si>
  <si>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</si>
  <si>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</si>
  <si>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</si>
  <si>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</si>
  <si>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</si>
  <si>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</si>
  <si>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</si>
  <si>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</si>
  <si>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</si>
  <si>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</si>
  <si>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</si>
  <si>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</si>
  <si>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</si>
  <si>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</si>
  <si>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</si>
  <si>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</si>
  <si>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</si>
  <si>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</si>
  <si>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</si>
  <si>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</si>
  <si>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</si>
  <si>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</si>
  <si>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</si>
  <si>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</si>
  <si>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</si>
  <si>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</si>
  <si>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</si>
  <si>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</si>
  <si>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</si>
  <si>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</si>
  <si>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</si>
  <si>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</si>
  <si>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</si>
  <si>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</si>
  <si>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</si>
  <si>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</si>
  <si>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</si>
  <si>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</si>
  <si>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</si>
  <si>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</si>
  <si>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</si>
  <si>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</si>
  <si>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</si>
  <si>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</si>
  <si>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</si>
  <si>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</si>
  <si>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</si>
  <si>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</si>
  <si>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</si>
  <si>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</si>
  <si>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</si>
  <si>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</si>
  <si>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</si>
  <si>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</si>
  <si>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</si>
  <si>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</si>
  <si>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</si>
  <si>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</si>
  <si>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</si>
  <si>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</si>
  <si>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</si>
  <si>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</si>
  <si>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</si>
  <si>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</si>
  <si>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</si>
  <si>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</si>
  <si>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</si>
  <si>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</si>
  <si>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</si>
  <si>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</si>
  <si>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</si>
  <si>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</si>
  <si>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</si>
  <si>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</si>
  <si>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</si>
  <si>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</si>
  <si>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</si>
  <si>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</si>
  <si>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</si>
  <si>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</si>
  <si>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</si>
  <si>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</si>
  <si>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</si>
  <si>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</si>
  <si>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</si>
  <si>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</si>
  <si>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</si>
  <si>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</si>
  <si>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</si>
  <si>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</si>
  <si>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</si>
  <si>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</si>
  <si>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</si>
  <si>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</si>
  <si>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</si>
  <si>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</si>
  <si>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</si>
  <si>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</si>
  <si>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</si>
  <si>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</si>
  <si>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</si>
  <si>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</si>
  <si>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</si>
  <si>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</si>
  <si>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</si>
  <si>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</si>
  <si>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</si>
  <si>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</si>
  <si>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</si>
  <si>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</si>
  <si>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</si>
  <si>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</si>
  <si>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</si>
  <si>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</si>
  <si>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</si>
  <si>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</si>
  <si>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</si>
  <si>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</si>
  <si>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</si>
  <si>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</si>
  <si>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</si>
  <si>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</si>
  <si>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</si>
  <si>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</si>
  <si>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</si>
  <si>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</si>
  <si>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</si>
  <si>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</si>
  <si>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</si>
  <si>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</si>
  <si>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</si>
  <si>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</si>
  <si>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</si>
  <si>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</si>
  <si>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</si>
  <si>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</si>
  <si>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</si>
  <si>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</si>
  <si>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</si>
  <si>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</si>
  <si>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</si>
  <si>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</si>
  <si>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</si>
  <si>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</si>
  <si>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</si>
  <si>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</si>
  <si>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</si>
  <si>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</si>
  <si>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</si>
  <si>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</si>
  <si>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</si>
  <si>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</si>
  <si>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</si>
  <si>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</si>
  <si>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</si>
  <si>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</si>
  <si>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</si>
  <si>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</si>
  <si>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</si>
  <si>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</si>
  <si>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</si>
  <si>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</si>
  <si>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</si>
  <si>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</si>
  <si>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</si>
  <si>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</si>
  <si>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</si>
  <si>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</si>
  <si>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</si>
  <si>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</si>
  <si>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</si>
  <si>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</si>
  <si>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</si>
  <si>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</si>
  <si>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</si>
  <si>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</si>
  <si>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</si>
  <si>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</si>
  <si>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</si>
  <si>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</si>
  <si>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</si>
  <si>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</si>
  <si>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</si>
  <si>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</si>
  <si>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</si>
  <si>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</si>
  <si>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</si>
  <si>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</si>
  <si>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</si>
  <si>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</si>
  <si>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</si>
  <si>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</si>
  <si>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</si>
  <si>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</si>
  <si>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</si>
  <si>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</si>
  <si>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</si>
  <si>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</si>
  <si>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</si>
  <si>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</si>
  <si>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</si>
  <si>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</si>
  <si>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</si>
  <si>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</si>
  <si>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</si>
  <si>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</si>
  <si>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</si>
  <si>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</si>
  <si>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</si>
  <si>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</si>
  <si>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</si>
  <si>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</si>
  <si>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</si>
  <si>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</si>
  <si>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</si>
  <si>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</si>
  <si>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</si>
  <si>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</si>
  <si>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</si>
  <si>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</si>
  <si>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</si>
  <si>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</si>
  <si>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</si>
  <si>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</si>
  <si>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</si>
  <si>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</si>
  <si>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</si>
  <si>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</si>
  <si>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</si>
  <si>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</si>
  <si>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</si>
  <si>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</si>
  <si>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</si>
  <si>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</si>
  <si>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</si>
  <si>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</si>
  <si>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</si>
  <si>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</si>
  <si>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</si>
  <si>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</si>
  <si>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</si>
  <si>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</si>
  <si>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</si>
  <si>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</si>
  <si>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</si>
  <si>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</si>
  <si>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</si>
  <si>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</si>
  <si>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</si>
  <si>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</si>
  <si>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</si>
  <si>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</si>
  <si>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</si>
  <si>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</si>
  <si>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</si>
  <si>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</si>
  <si>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</si>
  <si>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</si>
  <si>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</si>
  <si>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</si>
  <si>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</si>
  <si>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</si>
  <si>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</si>
  <si>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</si>
  <si>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</si>
  <si>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</si>
  <si>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</si>
  <si>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</si>
  <si>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</si>
  <si>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</si>
  <si>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</si>
  <si>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</si>
  <si>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</si>
  <si>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</si>
  <si>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</si>
  <si>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</si>
  <si>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</si>
  <si>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</si>
  <si>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</si>
  <si>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</si>
  <si>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</si>
  <si>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</si>
  <si>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</si>
  <si>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</si>
  <si>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</si>
  <si>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</si>
  <si>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</si>
  <si>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</si>
  <si>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</si>
  <si>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</si>
  <si>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</si>
  <si>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</si>
  <si>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</si>
  <si>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</si>
  <si>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</si>
  <si>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</si>
  <si>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</si>
  <si>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</si>
  <si>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</si>
  <si>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</si>
  <si>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</si>
  <si>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</si>
  <si>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</si>
  <si>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</si>
  <si>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</si>
  <si>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</si>
  <si>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</si>
  <si>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</si>
  <si>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</si>
  <si>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</si>
  <si>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</si>
  <si>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</si>
  <si>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</si>
  <si>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</si>
  <si>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</si>
  <si>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</si>
  <si>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</si>
  <si>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</si>
  <si>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</si>
  <si>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</si>
  <si>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</si>
  <si>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</si>
  <si>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</si>
  <si>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</si>
  <si>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</si>
  <si>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</si>
  <si>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</si>
  <si>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</si>
  <si>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</si>
  <si>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</si>
  <si>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</si>
  <si>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</si>
  <si>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</si>
  <si>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</si>
  <si>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</si>
  <si>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</si>
  <si>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</si>
  <si>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</si>
  <si>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</si>
  <si>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</si>
  <si>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</si>
  <si>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</si>
  <si>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</si>
  <si>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</si>
  <si>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</si>
  <si>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</si>
  <si>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</si>
  <si>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</si>
  <si>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</si>
  <si>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</si>
  <si>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</si>
  <si>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</si>
  <si>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</si>
  <si>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</si>
  <si>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</si>
  <si>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</si>
  <si>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</si>
  <si>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</si>
  <si>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</si>
  <si>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</si>
  <si>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</si>
  <si>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</si>
  <si>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</si>
  <si>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</si>
  <si>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</si>
  <si>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</si>
  <si>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</si>
  <si>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</si>
  <si>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</si>
  <si>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</si>
  <si>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</si>
  <si>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</si>
  <si>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</si>
  <si>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</si>
  <si>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</si>
  <si>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</si>
  <si>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</si>
  <si>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</si>
  <si>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</si>
  <si>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</si>
  <si>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</si>
  <si>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</si>
  <si>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</si>
  <si>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</si>
  <si>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</si>
  <si>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</si>
  <si>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</si>
  <si>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</si>
  <si>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</si>
  <si>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</si>
  <si>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</si>
  <si>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</si>
  <si>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</si>
  <si>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</si>
  <si>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</si>
  <si>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</si>
  <si>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</si>
  <si>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</si>
  <si>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</si>
  <si>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</si>
  <si>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</si>
  <si>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</si>
  <si>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</si>
  <si>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</si>
  <si>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</si>
  <si>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</si>
  <si>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</si>
  <si>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</si>
  <si>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</si>
  <si>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</si>
  <si>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</si>
  <si>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</si>
  <si>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</si>
  <si>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</si>
  <si>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</si>
  <si>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</si>
  <si>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</si>
  <si>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</si>
  <si>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</si>
  <si>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</si>
  <si>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</si>
  <si>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</si>
  <si>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</si>
  <si>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</si>
  <si>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</si>
  <si>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</si>
  <si>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</si>
  <si>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</si>
  <si>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</si>
  <si>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</si>
  <si>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</si>
  <si>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</si>
  <si>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</si>
  <si>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</si>
  <si>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</si>
  <si>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</si>
  <si>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</si>
  <si>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</si>
  <si>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</si>
  <si>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</si>
  <si>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</si>
  <si>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</si>
  <si>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</si>
  <si>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</si>
  <si>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</si>
  <si>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</si>
  <si>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</si>
  <si>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</si>
  <si>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</si>
  <si>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</si>
  <si>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</si>
  <si>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</si>
  <si>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</si>
  <si>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</si>
  <si>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</si>
  <si>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</si>
  <si>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</si>
  <si>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</si>
  <si>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</si>
  <si>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</si>
  <si>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</si>
  <si>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</si>
  <si>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</si>
  <si>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</si>
  <si>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</si>
  <si>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</si>
  <si>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</si>
  <si>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</si>
  <si>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</si>
  <si>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</si>
  <si>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</si>
  <si>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</si>
  <si>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</si>
  <si>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</si>
  <si>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</si>
  <si>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</si>
  <si>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</si>
  <si>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</si>
  <si>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</si>
  <si>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</si>
  <si>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</si>
  <si>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</si>
  <si>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</si>
  <si>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</si>
  <si>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</si>
  <si>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</si>
  <si>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</si>
  <si>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</si>
  <si>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</si>
  <si>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</si>
  <si>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</si>
  <si>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</si>
  <si>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</si>
  <si>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</si>
  <si>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</si>
  <si>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</si>
  <si>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</si>
  <si>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</si>
  <si>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</si>
  <si>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</si>
  <si>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</si>
  <si>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</si>
  <si>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</si>
  <si>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</si>
  <si>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</si>
  <si>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</si>
  <si>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</si>
  <si>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</si>
  <si>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</si>
  <si>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</si>
  <si>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</si>
  <si>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</si>
  <si>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</si>
  <si>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</si>
  <si>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</si>
  <si>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</si>
  <si>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</si>
  <si>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</si>
  <si>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</si>
  <si>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</si>
  <si>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</si>
  <si>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</si>
  <si>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</si>
  <si>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</si>
  <si>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</si>
  <si>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</si>
  <si>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</si>
  <si>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</si>
  <si>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</si>
  <si>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</si>
  <si>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</si>
  <si>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</si>
  <si>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</si>
  <si>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</si>
  <si>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</si>
  <si>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</si>
  <si>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</si>
  <si>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</si>
  <si>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</si>
  <si>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</si>
  <si>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</si>
  <si>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</si>
  <si>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</si>
  <si>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</si>
  <si>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</si>
  <si>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</si>
  <si>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</si>
  <si>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</si>
  <si>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</si>
  <si>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</si>
  <si>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</si>
  <si>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</si>
  <si>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</si>
  <si>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</si>
  <si>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</si>
  <si>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</si>
  <si>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</si>
  <si>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</si>
  <si>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</si>
  <si>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</si>
  <si>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</si>
  <si>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</si>
  <si>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</si>
  <si>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</si>
  <si>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</si>
  <si>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</si>
  <si>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</si>
  <si>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</si>
  <si>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</si>
  <si>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</si>
  <si>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</si>
  <si>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</si>
  <si>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</si>
  <si>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</si>
  <si>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</si>
  <si>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</si>
  <si>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</si>
  <si>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</si>
  <si>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</si>
  <si>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</si>
  <si>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</si>
  <si>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</si>
  <si>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</si>
  <si>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</si>
  <si>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</si>
  <si>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</si>
  <si>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</si>
  <si>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</si>
  <si>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</si>
  <si>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</si>
  <si>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</si>
  <si>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</si>
  <si>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</si>
  <si>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</si>
  <si>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</si>
  <si>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</si>
  <si>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</si>
  <si>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</si>
  <si>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</si>
  <si>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</si>
  <si>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</si>
  <si>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</si>
  <si>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</si>
  <si>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</si>
  <si>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</si>
  <si>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</si>
  <si>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</si>
  <si>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</si>
  <si>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</si>
  <si>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</si>
  <si>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</si>
  <si>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</si>
  <si>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</si>
  <si>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</si>
  <si>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</si>
  <si>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Kingdom Development, Inc.</t>
  </si>
  <si>
    <t>Silver Lake Flats</t>
  </si>
  <si>
    <t>September</t>
  </si>
  <si>
    <t>William Leach</t>
  </si>
  <si>
    <t>President of Kingdom Development, Inc</t>
  </si>
  <si>
    <t>Timothy Elliott</t>
  </si>
  <si>
    <t>1200 W. 7th Street, 8th Floor</t>
  </si>
  <si>
    <t>(213) 808-8596</t>
  </si>
  <si>
    <t>(213) 808-8910</t>
  </si>
  <si>
    <t>timothy.elliott@lacity.org</t>
  </si>
  <si>
    <t>5427009007, 5427009008, 5427009009</t>
  </si>
  <si>
    <t>40%/60% Average Income</t>
  </si>
  <si>
    <t>6451 Box Springs Blvd.</t>
  </si>
  <si>
    <t>CA</t>
  </si>
  <si>
    <t>(951) 538-6244</t>
  </si>
  <si>
    <t>william@Kingdomdevelopment.net</t>
  </si>
  <si>
    <t>Managing GP</t>
  </si>
  <si>
    <t>Samuelian Group LLC</t>
  </si>
  <si>
    <t>Administrative GP</t>
  </si>
  <si>
    <t>214 Main Street #102</t>
  </si>
  <si>
    <t>El Segundo</t>
  </si>
  <si>
    <t>Shant Samuelian</t>
  </si>
  <si>
    <t>(310) 357-5095</t>
  </si>
  <si>
    <t>shant@samueliangroup.com</t>
  </si>
  <si>
    <t>(661) 733-4368</t>
  </si>
  <si>
    <t>rmontes@FNMDevelopment.com</t>
  </si>
  <si>
    <t>Richard Montes</t>
  </si>
  <si>
    <t>General Partner</t>
  </si>
  <si>
    <t>El Segundo, CA, 90245</t>
  </si>
  <si>
    <t>jhobson@hbdlegal.com</t>
  </si>
  <si>
    <t>(310) 948.9977</t>
  </si>
  <si>
    <t>Jason Hobson</t>
  </si>
  <si>
    <t>445 S Figueroa St suite 3100</t>
  </si>
  <si>
    <t>Los Angeles, CA 90071</t>
  </si>
  <si>
    <t>Hobson Bernardino + Davis LLP</t>
  </si>
  <si>
    <t>Novogradac &amp; Company LLP</t>
  </si>
  <si>
    <t>1300 114th Ave SE, Suite 240</t>
  </si>
  <si>
    <t>Bellevue, WA 98004</t>
  </si>
  <si>
    <t>Thomas Stagg</t>
  </si>
  <si>
    <t>(206) 776.0850</t>
  </si>
  <si>
    <t>Thomas.Stagg@novoco.com</t>
  </si>
  <si>
    <t>Riverside, CA, 92507</t>
  </si>
  <si>
    <t>California Municipal Finance Authority</t>
  </si>
  <si>
    <t>2111 Palomar Airport Rd, #320</t>
  </si>
  <si>
    <t>Carlsbad, CA 92011</t>
  </si>
  <si>
    <t>Anthony Stubbs</t>
  </si>
  <si>
    <t>760-930-1333</t>
  </si>
  <si>
    <t>astubbs@cmfa-ca.com</t>
  </si>
  <si>
    <t>Kevin Tsai Architecture</t>
  </si>
  <si>
    <t>1439 W Jefferson Blvd</t>
  </si>
  <si>
    <t>Los Angeles, CA, 90007</t>
  </si>
  <si>
    <t>Kevin Tsai</t>
  </si>
  <si>
    <t>(310)-486-9328</t>
  </si>
  <si>
    <t>kt@kevin-tsai.com</t>
  </si>
  <si>
    <t>Boston Financial</t>
  </si>
  <si>
    <t>8335 Sunset Blvd, Ste 203</t>
  </si>
  <si>
    <t>West Hollywood, CA 90069</t>
  </si>
  <si>
    <t>Roy Faerber</t>
  </si>
  <si>
    <t>(310) 860-4550</t>
  </si>
  <si>
    <t>Roy.Faerber@bfim.com</t>
  </si>
  <si>
    <t>Rebecca Arthur</t>
  </si>
  <si>
    <t>(816) 213.2959</t>
  </si>
  <si>
    <t>Rebecca.Arthur@novoco.com</t>
  </si>
  <si>
    <t>George Garcia</t>
  </si>
  <si>
    <t>FPI Management</t>
  </si>
  <si>
    <t>800 Iron Point Road</t>
  </si>
  <si>
    <t>Folsom, CA 95630</t>
  </si>
  <si>
    <t>(916) 358-7299</t>
  </si>
  <si>
    <t>george.garcia@fpimgt.com</t>
  </si>
  <si>
    <t>Hyperion Apartments LP</t>
  </si>
  <si>
    <t>Jason Lewis</t>
  </si>
  <si>
    <t>Manager</t>
  </si>
  <si>
    <t>250 North Clark Dr. Beverly Hills, 90211</t>
  </si>
  <si>
    <t>Other (Specify below)</t>
  </si>
  <si>
    <t>The project consists of a 6-story building that will be serviced by an elevators</t>
  </si>
  <si>
    <t>Vacant Land</t>
  </si>
  <si>
    <t>Residential (R3-1VL)</t>
  </si>
  <si>
    <t>R3-1VL</t>
  </si>
  <si>
    <t>None</t>
  </si>
  <si>
    <t>KeyBank</t>
  </si>
  <si>
    <t>Samuelian Group</t>
  </si>
  <si>
    <t>Fixed</t>
  </si>
  <si>
    <t>127 Public Square</t>
  </si>
  <si>
    <t>Cleveland, Ohio 44114</t>
  </si>
  <si>
    <t>Matthew Haas</t>
  </si>
  <si>
    <t>Loan, Tax Exempt</t>
  </si>
  <si>
    <t>Loan, Tax Exempt Recycled Bonds</t>
  </si>
  <si>
    <t>(818) 433-2701</t>
  </si>
  <si>
    <t>Tax Credit Equity</t>
  </si>
  <si>
    <t>Deferred Costs &amp; Fees</t>
  </si>
  <si>
    <t>Conventional Loan</t>
  </si>
  <si>
    <t>(Other)</t>
  </si>
  <si>
    <t>(Air Conditioning)</t>
  </si>
  <si>
    <t>(Office supplies, postage, expenses, copier, software licensing, tonere)</t>
  </si>
  <si>
    <t>(payroll tax and benefits)</t>
  </si>
  <si>
    <t>(Fire Safety, Supplies, HVAC, Tools, &amp; Appliances)</t>
  </si>
  <si>
    <t>(Employee Benefits)</t>
  </si>
  <si>
    <t>(Internet)</t>
  </si>
  <si>
    <t>Other (Bond Issuer Fees):</t>
  </si>
  <si>
    <t>Other: (Utility Costs)</t>
  </si>
  <si>
    <t>Recycled Bonds</t>
  </si>
  <si>
    <t>19974 Rhona Place</t>
  </si>
  <si>
    <t>Santa Clarita</t>
  </si>
  <si>
    <t>Provided</t>
  </si>
  <si>
    <t>Not Applicable</t>
  </si>
  <si>
    <t>F&amp;M Development Group, LLC</t>
  </si>
  <si>
    <t>310-991-1288</t>
  </si>
  <si>
    <t>HACLA</t>
  </si>
  <si>
    <t>F&amp;M Development Group LLC</t>
  </si>
  <si>
    <t>6451 Box Springs Boulevard</t>
  </si>
  <si>
    <t>825 Hyperion Avenue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</si>
</sst>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7184">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7" fillId="0" borderId="0" xfId="0" applyFont="1" applyAlignment="1">
      <alignment horizontal="left" vertical="top" wrapText="1"/>
    </xf>
    <xf numFmtId="0" fontId="105" fillId="0" borderId="0" xfId="0" applyFont="1" applyAlignment="1">
      <alignment horizontal="left" vertical="top" wrapText="1"/>
    </xf>
    <xf numFmtId="0" fontId="18" fillId="0" borderId="0" xfId="244" applyAlignment="1">
      <alignment horizontal="left" vertical="top"/>
    </xf>
    <xf numFmtId="0" fontId="46" fillId="0" borderId="0" xfId="0" applyFont="1" applyAlignment="1">
      <alignment horizontal="left" vertical="top" wrapText="1"/>
    </xf>
    <xf numFmtId="0" fontId="113" fillId="0" borderId="0" xfId="0" applyFont="1" applyAlignment="1">
      <alignment horizontal="left" wrapText="1"/>
    </xf>
    <xf numFmtId="0" fontId="17" fillId="0" borderId="0" xfId="0" applyFont="1" applyAlignment="1">
      <alignment horizontal="left" wrapText="1"/>
    </xf>
    <xf numFmtId="0" fontId="26" fillId="0" borderId="0" xfId="0" applyFont="1" applyAlignment="1">
      <alignment horizontal="left" wrapText="1"/>
    </xf>
    <xf numFmtId="0" fontId="18" fillId="0" borderId="0" xfId="244" applyAlignment="1" applyProtection="1">
      <alignment horizontal="left"/>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4" fontId="17" fillId="0" borderId="0" xfId="569" applyNumberFormat="1" applyAlignment="1">
      <alignment horizontal="left"/>
    </xf>
    <xf numFmtId="0" fontId="35" fillId="0" borderId="0" xfId="569" applyFont="1" applyAlignment="1">
      <alignment horizontal="left" vertical="top"/>
    </xf>
    <xf numFmtId="4" fontId="35" fillId="0" borderId="0" xfId="0" applyNumberFormat="1" applyFont="1" applyAlignment="1">
      <alignment horizontal="left"/>
    </xf>
    <xf numFmtId="4" fontId="17" fillId="0" borderId="0" xfId="0" applyNumberFormat="1" applyFont="1" applyAlignment="1">
      <alignment horizontal="left"/>
    </xf>
    <xf numFmtId="0" fontId="24" fillId="0" borderId="4" xfId="0" applyFont="1" applyBorder="1" applyAlignment="1">
      <alignment horizontal="left"/>
    </xf>
    <xf numFmtId="0" fontId="35" fillId="0" borderId="0" xfId="0" applyFont="1" applyAlignment="1">
      <alignment horizontal="left" vertical="top"/>
    </xf>
    <xf numFmtId="0" fontId="17" fillId="0" borderId="0" xfId="0" applyFont="1" applyAlignment="1">
      <alignment horizontal="left" vertical="top"/>
    </xf>
    <xf numFmtId="0" fontId="17" fillId="0" borderId="0" xfId="0" applyFont="1" applyAlignment="1">
      <alignment horizontal="left"/>
    </xf>
    <xf numFmtId="49" fontId="17" fillId="0" borderId="0" xfId="0" applyNumberFormat="1" applyFont="1" applyAlignment="1">
      <alignment horizontal="left" vertical="top" wrapText="1"/>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4" fontId="17" fillId="0" borderId="0" xfId="0" applyNumberFormat="1" applyFont="1" applyAlignment="1">
      <alignment horizontal="left" vertical="top" wrapText="1"/>
    </xf>
    <xf numFmtId="0" fontId="35" fillId="0" borderId="0" xfId="0" applyFont="1" applyAlignment="1">
      <alignment horizontal="left"/>
    </xf>
    <xf numFmtId="0" fontId="24" fillId="0" borderId="0" xfId="0" applyFont="1" applyAlignment="1">
      <alignmen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7" fillId="0" borderId="0" xfId="569" applyAlignment="1">
      <alignment horizontal="left"/>
    </xf>
    <xf numFmtId="0" fontId="24" fillId="0" borderId="4" xfId="569" applyFont="1" applyBorder="1" applyAlignment="1">
      <alignment horizontal="left" vertical="top"/>
    </xf>
    <xf numFmtId="0" fontId="17" fillId="0" borderId="0" xfId="569" applyAlignment="1">
      <alignment horizontal="left" vertical="top" wrapText="1"/>
    </xf>
    <xf numFmtId="0" fontId="18" fillId="0" borderId="0" xfId="244" quotePrefix="1" applyAlignment="1" applyProtection="1">
      <alignment horizontal="left"/>
    </xf>
    <xf numFmtId="0" fontId="17" fillId="0" borderId="0" xfId="569" applyAlignment="1">
      <alignment horizontal="left" vertical="top"/>
    </xf>
    <xf numFmtId="0" fontId="17" fillId="0" borderId="0" xfId="0" quotePrefix="1" applyFont="1" applyAlignment="1">
      <alignment horizontal="left" vertical="top"/>
    </xf>
    <xf numFmtId="0" fontId="35" fillId="0" borderId="0" xfId="0" applyFont="1" applyAlignment="1">
      <alignment horizontal="left" vertical="top" wrapText="1"/>
    </xf>
    <xf numFmtId="0" fontId="17" fillId="0" borderId="0" xfId="0" quotePrefix="1" applyFont="1" applyAlignment="1">
      <alignment horizontal="left" vertical="top" wrapText="1"/>
    </xf>
    <xf numFmtId="4" fontId="17" fillId="0" borderId="0" xfId="569" applyNumberFormat="1" applyAlignment="1">
      <alignment horizontal="left" vertical="top" wrapText="1"/>
    </xf>
    <xf numFmtId="0" fontId="24" fillId="0" borderId="4" xfId="569" applyFont="1" applyBorder="1" applyAlignment="1">
      <alignment horizontal="left"/>
    </xf>
    <xf numFmtId="0" fontId="35" fillId="0" borderId="0" xfId="569" applyFont="1" applyAlignment="1">
      <alignment horizontal="left"/>
    </xf>
    <xf numFmtId="0" fontId="17" fillId="0" borderId="0" xfId="1192" applyAlignment="1" applyProtection="1">
      <alignment horizontal="left" vertical="top" wrapText="1"/>
      <protection locked="0"/>
    </xf>
    <xf numFmtId="0" fontId="0" fillId="0" borderId="0" xfId="0" applyAlignment="1">
      <alignment horizontal="left" vertical="top" wrapText="1"/>
    </xf>
    <xf numFmtId="0" fontId="35" fillId="0" borderId="0" xfId="1192" applyFont="1" applyAlignment="1">
      <alignment horizontal="left" vertical="top" wrapText="1"/>
    </xf>
    <xf numFmtId="4" fontId="17" fillId="0" borderId="0" xfId="1192" applyNumberFormat="1" applyAlignment="1">
      <alignment horizontal="left" vertical="top" wrapText="1"/>
    </xf>
    <xf numFmtId="0" fontId="17" fillId="0" borderId="0" xfId="569" applyAlignment="1">
      <alignmen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0" fontId="35" fillId="0" borderId="0" xfId="569" applyFont="1" applyAlignment="1">
      <alignment horizontal="left" vertical="top" wrapText="1"/>
    </xf>
    <xf numFmtId="0" fontId="17" fillId="0" borderId="0" xfId="1192" applyAlignment="1">
      <alignment horizontal="left"/>
    </xf>
    <xf numFmtId="0" fontId="24" fillId="0" borderId="0" xfId="569" applyFont="1" applyAlignment="1">
      <alignment horizontal="center"/>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49" fontId="17" fillId="0" borderId="0" xfId="1192" applyNumberFormat="1" applyAlignment="1">
      <alignment horizontal="left" vertical="top" wrapText="1"/>
    </xf>
    <xf numFmtId="0" fontId="17" fillId="0" borderId="0" xfId="569" applyAlignment="1">
      <alignment horizontal="left" vertical="center" wrapText="1"/>
    </xf>
    <xf numFmtId="0" fontId="24" fillId="0" borderId="0" xfId="0" applyFont="1" applyAlignment="1">
      <alignment horizontal="left" vertical="top"/>
    </xf>
    <xf numFmtId="0" fontId="24" fillId="0" borderId="0" xfId="569" applyFont="1" applyAlignment="1">
      <alignment horizontal="left"/>
    </xf>
    <xf numFmtId="0" fontId="35" fillId="0" borderId="0" xfId="1192" applyFont="1" applyAlignment="1">
      <alignment horizontal="left"/>
    </xf>
    <xf numFmtId="0" fontId="17" fillId="0" borderId="27" xfId="569" applyBorder="1"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35" fillId="0" borderId="0" xfId="569" applyFont="1" applyAlignment="1">
      <alignment horizontal="center"/>
    </xf>
    <xf numFmtId="0" fontId="0" fillId="5" borderId="6" xfId="0" applyFill="1" applyBorder="1" applyAlignment="1" applyProtection="1">
      <alignment horizontal="center"/>
      <protection locked="0"/>
    </xf>
    <xf numFmtId="0" fontId="26" fillId="0" borderId="0" xfId="543" applyFont="1" applyAlignment="1">
      <alignment horizontal="center"/>
    </xf>
    <xf numFmtId="0" fontId="17" fillId="0" borderId="0" xfId="0" applyFont="1" applyAlignment="1">
      <alignment vertical="center" wrapText="1"/>
    </xf>
    <xf numFmtId="0" fontId="0" fillId="0" borderId="0" xfId="0" applyAlignment="1">
      <alignment horizontal="center"/>
    </xf>
    <xf numFmtId="0" fontId="17" fillId="0" borderId="0" xfId="543" applyAlignment="1">
      <alignment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6" fillId="5" borderId="4" xfId="0" applyNumberFormat="1" applyFont="1" applyFill="1" applyBorder="1" applyAlignment="1" applyProtection="1">
      <alignment horizontal="left"/>
      <protection locked="0"/>
    </xf>
    <xf numFmtId="0" fontId="2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0" fontId="0" fillId="0" borderId="6" xfId="0" applyBorder="1" applyAlignment="1">
      <alignment horizontal="left"/>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26"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4"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50"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wrapText="1"/>
    </xf>
    <xf numFmtId="0" fontId="17" fillId="0" borderId="0" xfId="0" applyFont="1" applyAlignment="1">
      <alignment horizontal="center" vertical="top"/>
    </xf>
    <xf numFmtId="0" fontId="26" fillId="0" borderId="0" xfId="0" applyFont="1" applyAlignment="1">
      <alignment horizontal="left" vertical="top" wrapText="1"/>
    </xf>
    <xf numFmtId="0" fontId="17" fillId="5" borderId="6" xfId="0" applyFont="1" applyFill="1" applyBorder="1" applyAlignment="1" applyProtection="1">
      <alignment horizontal="left"/>
      <protection locked="0"/>
    </xf>
    <xf numFmtId="0" fontId="26" fillId="5" borderId="6" xfId="0" applyFont="1" applyFill="1" applyBorder="1" applyAlignment="1" applyProtection="1">
      <alignment horizontal="left"/>
      <protection locked="0"/>
    </xf>
    <xf numFmtId="168" fontId="26" fillId="0" borderId="6" xfId="0" applyNumberFormat="1" applyFont="1" applyBorder="1" applyAlignment="1">
      <alignment horizontal="center"/>
    </xf>
    <xf numFmtId="0" fontId="17" fillId="5" borderId="6" xfId="0" applyFont="1" applyFill="1" applyBorder="1" applyAlignment="1" applyProtection="1">
      <alignment horizontal="left" wrapText="1"/>
      <protection locked="0"/>
    </xf>
    <xf numFmtId="0" fontId="26" fillId="5" borderId="6" xfId="0" applyFont="1" applyFill="1" applyBorder="1" applyAlignment="1" applyProtection="1">
      <alignment horizontal="left" wrapText="1"/>
      <protection locked="0"/>
    </xf>
    <xf numFmtId="0" fontId="25" fillId="0" borderId="0" xfId="0" applyFont="1" applyAlignment="1">
      <alignment horizontal="center"/>
    </xf>
    <xf numFmtId="0" fontId="23" fillId="3" borderId="0" xfId="0" applyFont="1" applyFill="1" applyAlignment="1">
      <alignment horizontal="center" vertical="center"/>
    </xf>
    <xf numFmtId="166" fontId="17" fillId="5" borderId="6" xfId="0" applyNumberFormat="1" applyFont="1" applyFill="1" applyBorder="1" applyAlignment="1" applyProtection="1">
      <alignment horizontal="left"/>
      <protection locked="0"/>
    </xf>
    <xf numFmtId="166" fontId="2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26" fillId="5" borderId="4" xfId="0" applyFont="1" applyFill="1" applyBorder="1" applyAlignment="1" applyProtection="1">
      <alignment horizontal="left"/>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4" fillId="0" borderId="11" xfId="0"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7" fillId="5" borderId="11" xfId="0" applyFont="1" applyFill="1" applyBorder="1" applyAlignment="1" applyProtection="1">
      <alignment horizontal="lef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17" fillId="5" borderId="4" xfId="0" applyFont="1" applyFill="1" applyBorder="1" applyAlignment="1" applyProtection="1">
      <alignment wrapText="1"/>
      <protection locked="0"/>
    </xf>
    <xf numFmtId="0" fontId="26" fillId="45" borderId="11" xfId="0" applyFont="1" applyFill="1" applyBorder="1" applyAlignment="1">
      <alignment horizontal="center"/>
    </xf>
    <xf numFmtId="0" fontId="17" fillId="0" borderId="11" xfId="0" applyFont="1" applyBorder="1" applyAlignment="1">
      <alignment horizontal="center"/>
    </xf>
    <xf numFmtId="0" fontId="26" fillId="2" borderId="11" xfId="0" applyFont="1" applyFill="1" applyBorder="1" applyAlignment="1">
      <alignment horizontal="center"/>
    </xf>
    <xf numFmtId="0" fontId="0" fillId="0" borderId="11" xfId="0" applyBorder="1" applyAlignment="1">
      <alignment horizontal="center"/>
    </xf>
    <xf numFmtId="0" fontId="17" fillId="0" borderId="11" xfId="543" applyBorder="1" applyAlignment="1">
      <alignment horizontal="center"/>
    </xf>
    <xf numFmtId="0" fontId="26" fillId="0" borderId="3" xfId="0" applyFont="1" applyBorder="1" applyAlignment="1">
      <alignment horizontal="center"/>
    </xf>
    <xf numFmtId="0" fontId="26" fillId="0" borderId="5" xfId="0" applyFont="1" applyBorder="1" applyAlignment="1">
      <alignment horizontal="center"/>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6" fillId="5" borderId="3" xfId="0" applyNumberFormat="1" applyFont="1" applyFill="1" applyBorder="1" applyAlignment="1" applyProtection="1">
      <alignment horizontal="left"/>
      <protection locked="0"/>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0" fontId="0" fillId="0" borderId="9" xfId="0" applyBorder="1" applyAlignment="1">
      <alignment horizontal="left"/>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168" fontId="17" fillId="0" borderId="11" xfId="543" applyNumberFormat="1" applyBorder="1" applyAlignment="1">
      <alignment horizontal="center"/>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182" fontId="25"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2"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0" fontId="24" fillId="0" borderId="6"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4" fillId="0" borderId="12" xfId="0" applyFont="1" applyBorder="1" applyAlignment="1">
      <alignment horizontal="center" wrapText="1"/>
    </xf>
    <xf numFmtId="0" fontId="24"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1" fontId="26" fillId="5" borderId="11" xfId="0" applyNumberFormat="1" applyFont="1" applyFill="1" applyBorder="1" applyAlignment="1" applyProtection="1">
      <alignment horizontal="center"/>
      <protection locked="0"/>
    </xf>
    <xf numFmtId="0" fontId="24"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6" fillId="0" borderId="11" xfId="0" applyFont="1" applyBorder="1" applyAlignment="1">
      <alignment horizontal="center" vertical="top" wrapText="1"/>
    </xf>
    <xf numFmtId="0" fontId="24" fillId="0" borderId="0" xfId="0" applyFont="1" applyAlignment="1">
      <alignment horizontal="center" vertical="center"/>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26"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7" fillId="43" borderId="11" xfId="0" applyFont="1" applyFill="1" applyBorder="1" applyAlignment="1" applyProtection="1">
      <alignment horizontal="center"/>
      <protection locked="0"/>
    </xf>
    <xf numFmtId="0" fontId="17" fillId="0" borderId="0" xfId="543" applyAlignment="1">
      <alignment horizontal="center"/>
    </xf>
    <xf numFmtId="2" fontId="17"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4" fillId="0" borderId="6" xfId="0" applyFont="1" applyBorder="1" applyAlignment="1">
      <alignment horizontal="center"/>
    </xf>
    <xf numFmtId="9" fontId="17" fillId="5" borderId="3" xfId="0" applyNumberFormat="1" applyFont="1" applyFill="1" applyBorder="1" applyAlignment="1" applyProtection="1">
      <alignment horizontal="right"/>
      <protection locked="0"/>
    </xf>
    <xf numFmtId="0" fontId="17" fillId="0" borderId="3" xfId="0" applyFont="1" applyBorder="1"/>
    <xf numFmtId="0" fontId="17" fillId="0" borderId="4" xfId="0" applyFont="1" applyBorder="1"/>
    <xf numFmtId="0" fontId="17" fillId="0" borderId="5" xfId="0" applyFont="1" applyBorder="1"/>
    <xf numFmtId="168" fontId="0" fillId="5" borderId="11" xfId="0" applyNumberFormat="1" applyFill="1" applyBorder="1" applyAlignment="1" applyProtection="1">
      <alignment horizontal="center"/>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168" fontId="0" fillId="5" borderId="11" xfId="0" applyNumberFormat="1" applyFill="1" applyBorder="1" applyProtection="1">
      <protection locked="0"/>
    </xf>
    <xf numFmtId="0" fontId="26" fillId="0" borderId="3" xfId="0" applyFont="1" applyBorder="1" applyAlignment="1">
      <alignment horizontal="left"/>
    </xf>
    <xf numFmtId="0" fontId="24" fillId="0" borderId="3" xfId="0" applyFont="1" applyBorder="1" applyAlignment="1">
      <alignment horizontal="right"/>
    </xf>
    <xf numFmtId="0" fontId="24" fillId="0" borderId="4" xfId="0" applyFont="1" applyBorder="1" applyAlignment="1">
      <alignment horizontal="right"/>
    </xf>
    <xf numFmtId="0" fontId="24" fillId="0" borderId="5" xfId="0" applyFont="1" applyBorder="1" applyAlignment="1">
      <alignment horizontal="right"/>
    </xf>
    <xf numFmtId="0" fontId="24" fillId="0" borderId="7" xfId="0" applyFont="1" applyBorder="1" applyAlignment="1">
      <alignment horizontal="center" wrapText="1"/>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1" xfId="0" applyFont="1" applyBorder="1" applyAlignment="1">
      <alignment horizontal="center" vertical="top" wrapText="1"/>
    </xf>
    <xf numFmtId="171" fontId="17"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4" fillId="0" borderId="9" xfId="0" applyFont="1" applyBorder="1" applyAlignment="1">
      <alignment horizontal="right"/>
    </xf>
    <xf numFmtId="0" fontId="24" fillId="0" borderId="6" xfId="0" applyFont="1" applyBorder="1" applyAlignment="1">
      <alignment horizontal="right"/>
    </xf>
    <xf numFmtId="0" fontId="24" fillId="0" borderId="10" xfId="0" applyFon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17" fillId="5" borderId="11" xfId="0" applyFont="1" applyFill="1" applyBorder="1" applyAlignment="1" applyProtection="1">
      <alignment horizontal="left" vertical="center" wrapText="1"/>
      <protection locked="0"/>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14" fontId="0" fillId="5" borderId="6" xfId="0" applyNumberFormat="1" applyFill="1" applyBorder="1" applyAlignment="1" applyProtection="1">
      <alignment horizontal="center"/>
      <protection locked="0"/>
    </xf>
    <xf numFmtId="0" fontId="0" fillId="0" borderId="12" xfId="0" applyBorder="1" applyAlignment="1">
      <alignment horizontal="center"/>
    </xf>
    <xf numFmtId="175" fontId="0" fillId="5" borderId="4" xfId="0" applyNumberFormat="1" applyFill="1" applyBorder="1" applyAlignment="1" applyProtection="1">
      <alignment horizontal="left" vertical="center" wrapText="1"/>
      <protection locked="0"/>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166" fontId="17" fillId="5" borderId="4" xfId="0" applyNumberFormat="1" applyFont="1" applyFill="1" applyBorder="1" applyAlignment="1" applyProtection="1">
      <alignment horizontal="left"/>
      <protection locked="0"/>
    </xf>
    <xf numFmtId="0" fontId="17" fillId="5" borderId="11" xfId="0" applyFont="1" applyFill="1" applyBorder="1" applyAlignment="1" applyProtection="1">
      <alignment vertical="center" wrapText="1"/>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4" fillId="0" borderId="11" xfId="0" applyFont="1" applyBorder="1" applyAlignment="1">
      <alignment horizontal="center" vertical="center"/>
    </xf>
    <xf numFmtId="172" fontId="24" fillId="0" borderId="11" xfId="0" applyNumberFormat="1" applyFont="1" applyBorder="1" applyAlignment="1">
      <alignment horizontal="center" vertical="center" wrapText="1"/>
    </xf>
    <xf numFmtId="0" fontId="0" fillId="43" borderId="4" xfId="0" applyFill="1" applyBorder="1" applyAlignment="1" applyProtection="1">
      <alignment horizontal="center"/>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7" fillId="0" borderId="0" xfId="543" applyNumberFormat="1" applyAlignment="1">
      <alignment horizontal="right"/>
    </xf>
    <xf numFmtId="168" fontId="0" fillId="0" borderId="11" xfId="0" applyNumberFormat="1" applyBorder="1"/>
    <xf numFmtId="0" fontId="17"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6" fillId="0" borderId="4" xfId="0" applyFont="1" applyBorder="1" applyAlignment="1">
      <alignment horizontal="center"/>
    </xf>
    <xf numFmtId="0" fontId="26" fillId="0" borderId="11" xfId="0" applyFont="1" applyBorder="1" applyAlignment="1">
      <alignment horizontal="center"/>
    </xf>
    <xf numFmtId="0" fontId="26" fillId="5" borderId="6" xfId="0" applyFont="1" applyFill="1" applyBorder="1" applyAlignment="1" applyProtection="1">
      <alignment horizontal="center"/>
      <protection locked="0"/>
    </xf>
    <xf numFmtId="0" fontId="24"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6" fillId="0" borderId="0" xfId="0" applyNumberFormat="1" applyFont="1" applyAlignment="1">
      <alignment horizontal="center" vertical="center" wrapText="1"/>
    </xf>
    <xf numFmtId="0" fontId="26" fillId="5" borderId="9" xfId="0" applyFont="1" applyFill="1" applyBorder="1" applyAlignment="1" applyProtection="1">
      <alignment horizontal="center"/>
      <protection locked="0"/>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6" fillId="5" borderId="4"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3" fontId="26" fillId="5" borderId="11" xfId="0" applyNumberFormat="1" applyFon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10" fontId="26" fillId="0" borderId="11" xfId="0" applyNumberFormat="1"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10" xfId="0" applyFont="1" applyBorder="1" applyAlignment="1">
      <alignment horizontal="center"/>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0" fontId="24" fillId="0" borderId="9" xfId="0" applyFont="1" applyBorder="1" applyAlignment="1">
      <alignment horizontal="center"/>
    </xf>
    <xf numFmtId="1" fontId="26" fillId="5" borderId="11" xfId="0" quotePrefix="1" applyNumberFormat="1" applyFont="1" applyFill="1" applyBorder="1" applyAlignment="1" applyProtection="1">
      <alignment horizontal="center"/>
      <protection locked="0"/>
    </xf>
    <xf numFmtId="0" fontId="24" fillId="0" borderId="5" xfId="0" applyFont="1" applyBorder="1" applyAlignment="1">
      <alignment horizontal="center"/>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6" fillId="5" borderId="6" xfId="271" applyNumberFormat="1" applyFill="1" applyBorder="1" applyAlignment="1" applyProtection="1">
      <alignment horizontal="left"/>
      <protection locked="0"/>
    </xf>
    <xf numFmtId="166" fontId="26"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7"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7" fillId="0" borderId="0" xfId="271" applyFont="1" applyAlignment="1">
      <alignment horizontal="left" vertical="top" wrapText="1"/>
    </xf>
    <xf numFmtId="0" fontId="17"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25"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7" fillId="5" borderId="0" xfId="244" applyFont="1" applyFill="1" applyBorder="1" applyAlignment="1" applyProtection="1">
      <alignment horizontal="left"/>
      <protection locked="0"/>
    </xf>
    <xf numFmtId="0" fontId="0" fillId="5" borderId="6" xfId="0" applyFill="1" applyBorder="1" applyProtection="1">
      <protection locked="0"/>
    </xf>
    <xf numFmtId="0" fontId="26"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0" fontId="0" fillId="5" borderId="4" xfId="0" applyFill="1" applyBorder="1" applyAlignment="1" applyProtection="1">
      <alignment horizontal="right"/>
      <protection locked="0"/>
    </xf>
    <xf numFmtId="0" fontId="26" fillId="5" borderId="11" xfId="0" applyFont="1" applyFill="1" applyBorder="1" applyAlignment="1" applyProtection="1">
      <alignment horizontal="center"/>
      <protection locked="0"/>
    </xf>
    <xf numFmtId="1" fontId="26" fillId="5" borderId="6" xfId="0" applyNumberFormat="1" applyFont="1" applyFill="1" applyBorder="1" applyAlignment="1" applyProtection="1">
      <alignment horizontal="right"/>
      <protection locked="0"/>
    </xf>
    <xf numFmtId="168" fontId="26" fillId="0" borderId="11" xfId="0" applyNumberFormat="1" applyFont="1" applyBorder="1" applyAlignment="1">
      <alignment horizontal="center"/>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17" fillId="5" borderId="0" xfId="0" applyFont="1" applyFill="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168" fontId="26" fillId="5" borderId="6" xfId="0" applyNumberFormat="1" applyFont="1" applyFill="1" applyBorder="1" applyAlignment="1" applyProtection="1">
      <alignment horizontal="right"/>
      <protection locked="0"/>
    </xf>
    <xf numFmtId="178" fontId="26" fillId="5" borderId="4" xfId="0" applyNumberFormat="1" applyFont="1" applyFill="1" applyBorder="1" applyAlignment="1" applyProtection="1">
      <alignment horizontal="right"/>
      <protection locked="0"/>
    </xf>
    <xf numFmtId="168" fontId="17" fillId="0" borderId="3"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3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7" fillId="5" borderId="4" xfId="0" applyFont="1" applyFill="1" applyBorder="1" applyAlignment="1" applyProtection="1">
      <alignment horizontal="center"/>
      <protection locked="0"/>
    </xf>
    <xf numFmtId="3" fontId="0" fillId="0" borderId="6" xfId="0" applyNumberFormat="1" applyBorder="1" applyAlignment="1">
      <alignment horizontal="right"/>
    </xf>
    <xf numFmtId="0" fontId="17" fillId="43" borderId="4" xfId="0" applyFont="1" applyFill="1" applyBorder="1" applyAlignment="1" applyProtection="1">
      <alignment horizontal="left" wrapText="1"/>
      <protection locked="0"/>
    </xf>
    <xf numFmtId="0" fontId="26" fillId="5" borderId="4" xfId="0"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2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43" borderId="10" xfId="0" applyFill="1" applyBorder="1" applyAlignment="1" applyProtection="1">
      <alignment horizontal="left"/>
      <protection locked="0"/>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9" fontId="17" fillId="0" borderId="0" xfId="543" applyNumberFormat="1" applyAlignment="1">
      <alignment horizontal="center" vertical="center"/>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6" xfId="0" applyFont="1" applyBorder="1" applyAlignment="1">
      <alignment vertical="top" wrapText="1"/>
    </xf>
    <xf numFmtId="177" fontId="26" fillId="5" borderId="6" xfId="0" applyNumberFormat="1" applyFont="1" applyFill="1" applyBorder="1" applyAlignment="1" applyProtection="1">
      <alignment horizontal="left" vertical="top" wrapText="1"/>
      <protection locked="0"/>
    </xf>
    <xf numFmtId="0" fontId="26" fillId="0" borderId="2" xfId="0" applyFont="1" applyBorder="1" applyAlignment="1">
      <alignment vertical="top" wrapText="1"/>
    </xf>
    <xf numFmtId="0" fontId="53" fillId="0" borderId="0" xfId="0" applyFont="1" applyAlignment="1">
      <alignment vertical="top" wrapText="1"/>
    </xf>
    <xf numFmtId="0" fontId="26" fillId="0" borderId="2" xfId="0" applyFont="1" applyBorder="1" applyAlignment="1">
      <alignment horizontal="left" vertical="top" wrapText="1"/>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0" xfId="8733" applyFont="1" applyFill="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3" applyFont="1" applyFill="1" applyBorder="1" applyAlignment="1" applyProtection="1">
      <alignment horizontal="center"/>
      <protection locked="0"/>
    </xf>
    <xf numFmtId="0" fontId="172" fillId="48" borderId="11" xfId="8733"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0" fontId="174" fillId="48" borderId="11"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3" applyFont="1" applyFill="1" applyBorder="1" applyAlignment="1">
      <alignment horizontal="right"/>
    </xf>
    <xf numFmtId="0" fontId="172" fillId="45" borderId="11" xfId="8733"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2" fillId="45" borderId="71" xfId="8733" applyFont="1" applyFill="1" applyBorder="1" applyAlignment="1">
      <alignment horizontal="center"/>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02" fillId="45" borderId="76"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14" fontId="172" fillId="48" borderId="11" xfId="8733" applyNumberFormat="1" applyFont="1" applyFill="1" applyBorder="1" applyAlignment="1" applyProtection="1">
      <alignment horizontal="center"/>
      <protection locked="0"/>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5" fillId="48" borderId="11" xfId="8733" applyFont="1" applyFill="1" applyBorder="1" applyAlignment="1" applyProtection="1">
      <alignment horizontal="left"/>
      <protection locked="0"/>
    </xf>
    <xf numFmtId="14" fontId="174" fillId="48" borderId="11" xfId="8733" applyNumberFormat="1" applyFont="1" applyFill="1" applyBorder="1" applyAlignment="1" applyProtection="1">
      <alignment horizontal="center"/>
      <protection locked="0"/>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6" fillId="45" borderId="67" xfId="8733" applyFont="1" applyFill="1" applyBorder="1" applyAlignment="1">
      <alignment horizontal="center"/>
    </xf>
    <xf numFmtId="0" fontId="165" fillId="45" borderId="11" xfId="8733" applyFont="1" applyFill="1" applyBorder="1" applyAlignment="1">
      <alignment horizontal="center"/>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1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1"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0" fontId="173" fillId="45" borderId="72" xfId="8733" applyFont="1" applyFill="1" applyBorder="1" applyAlignment="1">
      <alignment horizontal="center"/>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73" fillId="45" borderId="11" xfId="8733" applyFont="1" applyFill="1" applyBorder="1" applyAlignment="1">
      <alignment horizontal="center" wrapText="1"/>
    </xf>
    <xf numFmtId="0" fontId="165" fillId="45" borderId="76" xfId="8733" applyFont="1" applyFill="1" applyBorder="1" applyAlignment="1">
      <alignment horizontal="center"/>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0" fontId="173" fillId="45" borderId="7"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0" fontId="173" fillId="45" borderId="96" xfId="8733" applyFont="1" applyFill="1" applyBorder="1" applyAlignment="1">
      <alignment horizontal="left"/>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0" fontId="169" fillId="48" borderId="74"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1" fontId="177" fillId="48" borderId="70" xfId="8733" applyNumberFormat="1" applyFont="1" applyFill="1" applyBorder="1" applyAlignment="1" applyProtection="1">
      <alignment horizontal="center"/>
      <protection locked="0"/>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73" fillId="45" borderId="11" xfId="8733" applyFont="1" applyFill="1" applyBorder="1" applyAlignment="1">
      <alignment horizontal="right"/>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168" fontId="174" fillId="44" borderId="11" xfId="8734" applyNumberFormat="1" applyFont="1" applyFill="1" applyBorder="1" applyAlignment="1" applyProtection="1">
      <alignment horizontal="left"/>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168" fontId="17" fillId="0" borderId="11" xfId="569" applyNumberFormat="1" applyBorder="1" applyAlignment="1">
      <alignment horizontal="right"/>
    </xf>
    <xf numFmtId="9" fontId="17" fillId="0" borderId="15" xfId="569" applyNumberFormat="1" applyBorder="1" applyAlignment="1">
      <alignment horizontal="center"/>
    </xf>
    <xf numFmtId="168" fontId="17" fillId="0" borderId="11" xfId="569" applyNumberFormat="1" applyBorder="1" applyAlignment="1">
      <alignment horizontal="center"/>
    </xf>
    <xf numFmtId="0" fontId="17" fillId="0" borderId="11"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0" applyFont="1" applyAlignment="1">
      <alignment horizontal="left" vertical="top"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4" fillId="0" borderId="6" xfId="569" applyFont="1" applyBorder="1" applyAlignment="1">
      <alignment horizontal="center"/>
    </xf>
    <xf numFmtId="168" fontId="17" fillId="0" borderId="3" xfId="569" applyNumberForma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0" fontId="107" fillId="0" borderId="0" xfId="569" applyFont="1" applyAlignment="1">
      <alignment horizontal="left" wrapText="1"/>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0" fontId="24" fillId="0" borderId="16" xfId="271" applyFont="1" applyBorder="1" applyAlignment="1">
      <alignment horizontal="center"/>
    </xf>
    <xf numFmtId="168" fontId="17" fillId="0" borderId="4" xfId="569" applyNumberFormat="1" applyBorder="1" applyAlignment="1">
      <alignment horizontal="center"/>
    </xf>
    <xf numFmtId="168" fontId="17" fillId="0" borderId="5" xfId="569" applyNumberFormat="1" applyBorder="1" applyAlignment="1">
      <alignment horizontal="center"/>
    </xf>
    <xf numFmtId="0" fontId="24" fillId="0" borderId="11" xfId="569" applyFont="1" applyBorder="1" applyAlignment="1">
      <alignment horizontal="center"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0" fontId="53" fillId="0" borderId="0" xfId="569" applyFont="1" applyAlignment="1">
      <alignment horizontal="left"/>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9" fontId="17" fillId="0" borderId="5" xfId="569" applyNumberFormat="1" applyBorder="1" applyAlignment="1">
      <alignment horizontal="center"/>
    </xf>
    <xf numFmtId="9" fontId="17" fillId="0" borderId="11"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168" fontId="17" fillId="0" borderId="7" xfId="569" applyNumberFormat="1" applyBorder="1" applyAlignment="1">
      <alignment horizontal="center"/>
    </xf>
    <xf numFmtId="168" fontId="17" fillId="0" borderId="15"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179" fontId="24" fillId="0" borderId="0" xfId="569" applyNumberFormat="1" applyFont="1" applyAlignment="1">
      <alignment horizontal="center" wrapText="1"/>
    </xf>
    <xf numFmtId="164" fontId="24" fillId="0" borderId="0" xfId="569" applyNumberFormat="1" applyFont="1" applyAlignment="1">
      <alignment horizontal="center" wrapText="1"/>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5" fontId="122" fillId="0" borderId="60"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5" borderId="6" xfId="4496" applyFont="1" applyFill="1" applyBorder="1" applyAlignment="1" applyProtection="1">
      <alignment horizontal="center"/>
      <protection locked="0"/>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24" fillId="0" borderId="0" xfId="4495" applyFont="1" applyAlignment="1">
      <alignment horizontal="right"/>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0" fontId="24" fillId="0" borderId="0" xfId="4495" applyFont="1" applyAlignment="1">
      <alignment horizontal="center" vertical="top"/>
    </xf>
    <xf numFmtId="0" fontId="17" fillId="5" borderId="6" xfId="4495" applyFont="1" applyFill="1" applyBorder="1" applyAlignment="1" applyProtection="1">
      <alignment horizontal="left"/>
      <protection locked="0"/>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7" fillId="0" borderId="0" xfId="1192" applyAlignment="1">
      <alignment horizontal="right"/>
    </xf>
    <xf numFmtId="0" fontId="17" fillId="5" borderId="6" xfId="1192" applyFill="1" applyBorder="1" applyAlignment="1" applyProtection="1">
      <alignment horizontal="left"/>
      <protection locked="0"/>
    </xf>
    <xf numFmtId="168" fontId="17" fillId="43" borderId="6" xfId="4495" applyNumberFormat="1" applyFont="1" applyFill="1" applyBorder="1" applyAlignment="1" applyProtection="1">
      <alignment horizontal="right"/>
      <protection locked="0"/>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2" xfId="1192" applyNumberFormat="1" applyFill="1" applyBorder="1" applyAlignment="1" applyProtection="1">
      <alignment horizontal="center"/>
      <protection locked="0"/>
    </xf>
    <xf numFmtId="9" fontId="17" fillId="5" borderId="4" xfId="1192" applyNumberFormat="1" applyFill="1" applyBorder="1" applyAlignment="1" applyProtection="1">
      <alignment horizontal="left"/>
      <protection locked="0"/>
    </xf>
    <xf numFmtId="168" fontId="17" fillId="0" borderId="0" xfId="1192" applyNumberFormat="1" applyAlignment="1">
      <alignment horizontal="right"/>
    </xf>
    <xf numFmtId="1" fontId="17"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68" fontId="17" fillId="5" borderId="4" xfId="1192" applyNumberFormat="1" applyFill="1" applyBorder="1" applyAlignment="1" applyProtection="1">
      <alignment horizontal="center"/>
      <protection locked="0"/>
    </xf>
    <xf numFmtId="0" fontId="17" fillId="0" borderId="6" xfId="1192" applyBorder="1" applyAlignment="1">
      <alignment horizontal="left"/>
    </xf>
    <xf numFmtId="2" fontId="17" fillId="0" borderId="0" xfId="1192" applyNumberFormat="1" applyAlignment="1">
      <alignment horizontal="right"/>
    </xf>
    <xf numFmtId="0" fontId="25" fillId="5" borderId="6" xfId="4495" applyFont="1" applyFill="1" applyBorder="1" applyAlignment="1" applyProtection="1">
      <alignment horizontal="left"/>
      <protection locked="0"/>
    </xf>
    <xf numFmtId="0" fontId="17" fillId="0" borderId="0" xfId="4495" applyFont="1" applyAlignment="1">
      <alignment horizontal="left"/>
    </xf>
    <xf numFmtId="0" fontId="53"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center"/>
      <protection locked="0"/>
    </xf>
    <xf numFmtId="0" fontId="17" fillId="44" borderId="6" xfId="4495" applyFont="1" applyFill="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0" fontId="120" fillId="5" borderId="6" xfId="4495" applyFill="1" applyBorder="1" applyAlignment="1" applyProtection="1">
      <alignment horizontal="center"/>
      <protection locked="0"/>
    </xf>
    <xf numFmtId="0" fontId="24" fillId="0" borderId="0" xfId="4495" applyFont="1" applyAlignment="1">
      <alignment horizontal="left" vertical="top"/>
    </xf>
    <xf numFmtId="0" fontId="120" fillId="0" borderId="0" xfId="4495" applyAlignment="1" applyProtection="1">
      <alignment horizontal="center"/>
      <protection locked="0"/>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168" fontId="17" fillId="0" borderId="6" xfId="4496" applyNumberFormat="1" applyFont="1" applyBorder="1" applyAlignment="1">
      <alignment horizontal="center"/>
    </xf>
    <xf numFmtId="9" fontId="17" fillId="0" borderId="4" xfId="543" applyNumberFormat="1" applyBorder="1" applyAlignment="1">
      <alignment horizontal="center"/>
    </xf>
    <xf numFmtId="0" fontId="17" fillId="0" borderId="4" xfId="4496" applyFont="1" applyBorder="1" applyAlignment="1">
      <alignment horizontal="center"/>
    </xf>
    <xf numFmtId="0" fontId="17" fillId="0" borderId="5" xfId="4496" applyFon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165" fontId="17" fillId="0" borderId="0" xfId="1192" applyNumberFormat="1" applyAlignment="1">
      <alignment horizontal="right"/>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0" fontId="17" fillId="0" borderId="59" xfId="4495" applyFont="1" applyBorder="1" applyAlignment="1">
      <alignment horizontal="left" vertical="top" wrapText="1"/>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0" fillId="5" borderId="55"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4" fillId="0" borderId="54" xfId="4495" applyFont="1" applyBorder="1" applyAlignment="1">
      <alignment horizontal="center" vertical="top"/>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center" vertical="center" wrapText="1" shrinkToFit="1"/>
      <protection locked="0"/>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5" fillId="0" borderId="0" xfId="4495" applyFont="1" applyAlignment="1">
      <alignment horizontal="center"/>
    </xf>
    <xf numFmtId="0" fontId="17" fillId="0" borderId="0" xfId="4495" applyFont="1" applyAlignment="1">
      <alignment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24" fillId="0" borderId="0" xfId="4495" applyFont="1" applyAlignment="1">
      <alignment horizontal="left" vertical="top" wrapText="1"/>
    </xf>
    <xf numFmtId="0" fontId="17" fillId="45" borderId="11" xfId="4495" applyFont="1" applyFill="1" applyBorder="1" applyAlignment="1">
      <alignment horizontal="center"/>
    </xf>
    <xf numFmtId="0" fontId="130" fillId="0" borderId="0" xfId="4495" applyFont="1" applyAlignment="1">
      <alignment horizontal="left" vertical="center" wrapText="1"/>
    </xf>
    <xf numFmtId="0" fontId="24" fillId="0" borderId="11" xfId="4495" applyFont="1" applyBorder="1" applyAlignment="1">
      <alignment horizontal="center"/>
    </xf>
    <xf numFmtId="0" fontId="25" fillId="0" borderId="58" xfId="4495" applyFont="1" applyBorder="1" applyAlignment="1">
      <alignment horizontal="left" vertical="top" wrapText="1"/>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wrapText="1"/>
    </xf>
    <xf numFmtId="0" fontId="53" fillId="0" borderId="0" xfId="4495" applyFont="1" applyAlignment="1">
      <alignment horizontal="left" wrapText="1"/>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24" fillId="0" borderId="4" xfId="4495" applyFont="1" applyBorder="1" applyAlignment="1">
      <alignment horizontal="left"/>
    </xf>
    <xf numFmtId="0" fontId="24" fillId="0" borderId="5" xfId="4495" applyFont="1" applyBorder="1" applyAlignment="1">
      <alignment horizontal="left"/>
    </xf>
    <xf numFmtId="1" fontId="24" fillId="0" borderId="4" xfId="4495" applyNumberFormat="1"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24" fillId="0" borderId="3" xfId="4495"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1" fontId="24" fillId="0" borderId="11" xfId="4495" applyNumberFormat="1" applyFont="1" applyBorder="1" applyAlignment="1">
      <alignment horizontal="center"/>
    </xf>
    <xf numFmtId="0" fontId="17" fillId="0" borderId="4" xfId="4495" applyFont="1" applyBorder="1" applyAlignment="1">
      <alignment horizontal="left"/>
    </xf>
    <xf numFmtId="0" fontId="17" fillId="0" borderId="5" xfId="4495" applyFont="1" applyBorder="1" applyAlignment="1">
      <alignment horizontal="left"/>
    </xf>
    <xf numFmtId="1" fontId="17" fillId="46" borderId="11" xfId="4495" applyNumberFormat="1" applyFont="1" applyFill="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0" fontId="17" fillId="0" borderId="6" xfId="1192" applyBorder="1" applyAlignment="1">
      <alignment horizontal="right"/>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120" fillId="0" borderId="0" xfId="4495" applyAlignment="1">
      <alignment horizontal="center"/>
    </xf>
    <xf numFmtId="0" fontId="25" fillId="5" borderId="0" xfId="4495" applyFont="1" applyFill="1" applyAlignment="1">
      <alignment horizontal="left" vertical="top"/>
    </xf>
    <xf numFmtId="168" fontId="17" fillId="0" borderId="6" xfId="1192" applyNumberFormat="1" applyBorder="1" applyAlignment="1">
      <alignment horizontal="right"/>
    </xf>
    <xf numFmtId="0" fontId="118" fillId="0" borderId="4" xfId="1192" applyFont="1" applyBorder="1" applyAlignment="1">
      <alignment horizontal="left"/>
    </xf>
    <xf numFmtId="168" fontId="17" fillId="43" borderId="6" xfId="543" applyNumberFormat="1" applyFill="1" applyBorder="1" applyAlignment="1" applyProtection="1">
      <alignment horizontal="center"/>
      <protection locked="0"/>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9" fontId="25" fillId="5" borderId="6" xfId="4495" applyNumberFormat="1" applyFont="1" applyFill="1" applyBorder="1" applyAlignment="1">
      <alignment horizontal="left"/>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10" fontId="25" fillId="0" borderId="2" xfId="4495" applyNumberFormat="1" applyFont="1" applyBorder="1" applyAlignment="1">
      <alignment horizontal="center"/>
    </xf>
    <xf numFmtId="4" fontId="25" fillId="0" borderId="0" xfId="4495" applyNumberFormat="1" applyFont="1" applyAlignment="1">
      <alignment horizontal="center"/>
    </xf>
    <xf numFmtId="0" fontId="33" fillId="42" borderId="2" xfId="4495" applyFont="1" applyFill="1" applyBorder="1" applyAlignment="1">
      <alignment horizontal="center"/>
    </xf>
    <xf numFmtId="0" fontId="33" fillId="42" borderId="6" xfId="4495" applyFont="1" applyFill="1" applyBorder="1" applyAlignment="1">
      <alignment horizontal="center"/>
    </xf>
    <xf numFmtId="4" fontId="25" fillId="0" borderId="6" xfId="4495" applyNumberFormat="1" applyFont="1" applyBorder="1" applyAlignment="1">
      <alignment horizontal="center"/>
    </xf>
    <xf numFmtId="168" fontId="17" fillId="0" borderId="4" xfId="1192" applyNumberFormat="1" applyBorder="1" applyAlignment="1">
      <alignment horizontal="right"/>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24" fillId="0" borderId="0" xfId="4495" applyFont="1" applyAlignment="1">
      <alignment horizontal="left" wrapText="1"/>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0" fontId="142" fillId="0" borderId="0" xfId="1192" applyFont="1" applyAlignment="1">
      <alignment horizontal="center"/>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8" fillId="0" borderId="11" xfId="4499" applyNumberFormat="1" applyFont="1" applyFill="1" applyBorder="1" applyAlignment="1" applyProtection="1">
      <alignment horizontal="left" vertical="center" inden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168" fontId="98" fillId="0" borderId="13"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0" fontId="98"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17184">
    <cellStyle name="20% - Accent1" xfId="1" builtinId="30" customBuiltin="1"/>
    <cellStyle name="20% - Accent1 10" xfId="4504" xr:uid="{00000000-0005-0000-0000-000001000000}"/>
    <cellStyle name="20% - Accent1 10 2" xfId="12954" xr:uid="{434B3CD7-DC4A-459A-B6F4-AC905AE715DB}"/>
    <cellStyle name="20% - Accent1 11" xfId="8736" xr:uid="{370F7F88-99B6-49AD-B146-BCB5D7E9947C}"/>
    <cellStyle name="20% - Accent1 2" xfId="2" xr:uid="{00000000-0005-0000-0000-000002000000}"/>
    <cellStyle name="20% - Accent1 2 10" xfId="8737" xr:uid="{19BC5FA7-AF6C-4BB5-B8EA-6C306065A2C1}"/>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94442299-4579-401D-97DE-8967255DF6E3}"/>
    <cellStyle name="20% - Accent1 2 2 2 2 2 3" xfId="11298" xr:uid="{3A3BB684-1F97-480C-ADEC-BC99B7C7D26F}"/>
    <cellStyle name="20% - Accent1 2 2 2 2 3" xfId="4921" xr:uid="{00000000-0005-0000-0000-000008000000}"/>
    <cellStyle name="20% - Accent1 2 2 2 2 3 2" xfId="13371" xr:uid="{F9EC374D-50FB-455C-8F2E-97FBD026703C}"/>
    <cellStyle name="20% - Accent1 2 2 2 2 4" xfId="9153" xr:uid="{E9AEE700-9DF3-4F12-A0F6-08142AC7CA31}"/>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43E58DFD-2790-4292-8029-D02E67DC8BBB}"/>
    <cellStyle name="20% - Accent1 2 2 2 3 2 3" xfId="11711" xr:uid="{A7D6011A-F4E6-47A0-B87C-BF0F689CDC9B}"/>
    <cellStyle name="20% - Accent1 2 2 2 3 3" xfId="5334" xr:uid="{00000000-0005-0000-0000-00000C000000}"/>
    <cellStyle name="20% - Accent1 2 2 2 3 3 2" xfId="13784" xr:uid="{8E91CB36-4C21-41BD-943D-A21ED9BAAE9E}"/>
    <cellStyle name="20% - Accent1 2 2 2 3 4" xfId="9566" xr:uid="{8385A776-0A83-46EB-AE1C-7457F7746369}"/>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F1293C7C-5149-42A3-BAB5-E715728E5D9A}"/>
    <cellStyle name="20% - Accent1 2 2 2 4 2 3" xfId="12124" xr:uid="{1F8E7DF8-B2CF-49F9-A498-C978B2B86BF0}"/>
    <cellStyle name="20% - Accent1 2 2 2 4 3" xfId="5747" xr:uid="{00000000-0005-0000-0000-000010000000}"/>
    <cellStyle name="20% - Accent1 2 2 2 4 3 2" xfId="14197" xr:uid="{FE96A2E5-4597-46E6-97B3-86F4616D662D}"/>
    <cellStyle name="20% - Accent1 2 2 2 4 4" xfId="9979" xr:uid="{46FCE1D0-6388-4725-9117-F019E0D75CB2}"/>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9DE302A5-ADEF-4A7A-B81A-EF7404BA2A7D}"/>
    <cellStyle name="20% - Accent1 2 2 2 5 2 3" xfId="12537" xr:uid="{9D47F881-5FC6-4AE8-AAA2-C0DC2D5B9D3D}"/>
    <cellStyle name="20% - Accent1 2 2 2 5 3" xfId="6160" xr:uid="{00000000-0005-0000-0000-000014000000}"/>
    <cellStyle name="20% - Accent1 2 2 2 5 3 2" xfId="14610" xr:uid="{309AFD04-5EB2-42FB-9001-4FFFE50988E9}"/>
    <cellStyle name="20% - Accent1 2 2 2 5 4" xfId="10392" xr:uid="{806D90FF-0124-4F4E-8D1B-891E3AF316C1}"/>
    <cellStyle name="20% - Accent1 2 2 2 6" xfId="2267" xr:uid="{00000000-0005-0000-0000-000015000000}"/>
    <cellStyle name="20% - Accent1 2 2 2 6 2" xfId="6573" xr:uid="{00000000-0005-0000-0000-000016000000}"/>
    <cellStyle name="20% - Accent1 2 2 2 6 2 2" xfId="15023" xr:uid="{1B4B8847-A754-43EE-BCFE-B93778024675}"/>
    <cellStyle name="20% - Accent1 2 2 2 6 3" xfId="10805" xr:uid="{D6E5A525-0CB8-4281-BD0C-4FBA22AF4438}"/>
    <cellStyle name="20% - Accent1 2 2 2 7" xfId="4507" xr:uid="{00000000-0005-0000-0000-000017000000}"/>
    <cellStyle name="20% - Accent1 2 2 2 7 2" xfId="12957" xr:uid="{5ADFF32B-E9C1-4062-BF48-D64315D7F817}"/>
    <cellStyle name="20% - Accent1 2 2 2 8" xfId="8739" xr:uid="{EF0EA778-C16B-42DE-88BB-8B79D27292C9}"/>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D1D744F2-5D93-409C-9CCA-35A40C05E30B}"/>
    <cellStyle name="20% - Accent1 2 2 3 2 3" xfId="11297" xr:uid="{A5DBEB05-77F2-4C01-A663-DD5BC4CF3540}"/>
    <cellStyle name="20% - Accent1 2 2 3 3" xfId="4920" xr:uid="{00000000-0005-0000-0000-00001B000000}"/>
    <cellStyle name="20% - Accent1 2 2 3 3 2" xfId="13370" xr:uid="{F97113AB-617C-4121-B86B-FEC10869E65C}"/>
    <cellStyle name="20% - Accent1 2 2 3 4" xfId="9152" xr:uid="{CF47A27E-FB75-4E0D-8DEB-692D336094C8}"/>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D537D188-A10D-4ED9-BAF5-DB962BFB746D}"/>
    <cellStyle name="20% - Accent1 2 2 4 2 3" xfId="11710" xr:uid="{B8C8DA29-6C5D-4FB6-BD86-AD19ABE4AF9A}"/>
    <cellStyle name="20% - Accent1 2 2 4 3" xfId="5333" xr:uid="{00000000-0005-0000-0000-00001F000000}"/>
    <cellStyle name="20% - Accent1 2 2 4 3 2" xfId="13783" xr:uid="{5B4A1F4D-DF34-44C0-8203-BBFB2316845F}"/>
    <cellStyle name="20% - Accent1 2 2 4 4" xfId="9565" xr:uid="{B43FF9FE-8627-4A76-9A08-39AB5596C978}"/>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66C83081-937F-4845-B824-2BDCC35C5F0B}"/>
    <cellStyle name="20% - Accent1 2 2 5 2 3" xfId="12123" xr:uid="{40598004-7947-4C6B-97F2-EE4A1C97A08E}"/>
    <cellStyle name="20% - Accent1 2 2 5 3" xfId="5746" xr:uid="{00000000-0005-0000-0000-000023000000}"/>
    <cellStyle name="20% - Accent1 2 2 5 3 2" xfId="14196" xr:uid="{9C492D3A-8D21-4EAE-A078-A9C281172B2A}"/>
    <cellStyle name="20% - Accent1 2 2 5 4" xfId="9978" xr:uid="{A464E8A9-CD91-4FD0-9DFB-89C7FD46801D}"/>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966BFCCF-7D24-44F3-A16F-4A580178BB9B}"/>
    <cellStyle name="20% - Accent1 2 2 6 2 3" xfId="12536" xr:uid="{2FD40C88-5EA9-41C4-A3F9-96F7CDF4D5A9}"/>
    <cellStyle name="20% - Accent1 2 2 6 3" xfId="6159" xr:uid="{00000000-0005-0000-0000-000027000000}"/>
    <cellStyle name="20% - Accent1 2 2 6 3 2" xfId="14609" xr:uid="{29A95987-89EC-4716-8C06-378B7E6AC6D7}"/>
    <cellStyle name="20% - Accent1 2 2 6 4" xfId="10391" xr:uid="{C7DBA60C-7453-4E05-B777-73845D5653A4}"/>
    <cellStyle name="20% - Accent1 2 2 7" xfId="2266" xr:uid="{00000000-0005-0000-0000-000028000000}"/>
    <cellStyle name="20% - Accent1 2 2 7 2" xfId="6572" xr:uid="{00000000-0005-0000-0000-000029000000}"/>
    <cellStyle name="20% - Accent1 2 2 7 2 2" xfId="15022" xr:uid="{02532D89-3464-4EC1-A2A3-A1381B02B294}"/>
    <cellStyle name="20% - Accent1 2 2 7 3" xfId="10804" xr:uid="{920D9952-48B4-476B-B5A5-13450E854069}"/>
    <cellStyle name="20% - Accent1 2 2 8" xfId="4506" xr:uid="{00000000-0005-0000-0000-00002A000000}"/>
    <cellStyle name="20% - Accent1 2 2 8 2" xfId="12956" xr:uid="{658E325F-FC1D-4F9A-8F69-A9ECFE7C4668}"/>
    <cellStyle name="20% - Accent1 2 2 9" xfId="8738" xr:uid="{E418CA8F-17E2-4321-8297-ACABCA2807B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CFF6D7A0-DEA5-44A1-9453-B53674B39242}"/>
    <cellStyle name="20% - Accent1 2 3 2 2 3" xfId="11299" xr:uid="{28433519-5E7F-48F6-A605-ADE03831CC4F}"/>
    <cellStyle name="20% - Accent1 2 3 2 3" xfId="4922" xr:uid="{00000000-0005-0000-0000-00002F000000}"/>
    <cellStyle name="20% - Accent1 2 3 2 3 2" xfId="13372" xr:uid="{966EFA61-30B0-471A-89DD-7EBF5ADD3636}"/>
    <cellStyle name="20% - Accent1 2 3 2 4" xfId="9154" xr:uid="{F697A806-F15E-4EF7-BAF9-59B424FB219B}"/>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1D846450-3A95-4D79-84A5-8785A7A4CC68}"/>
    <cellStyle name="20% - Accent1 2 3 3 2 3" xfId="11712" xr:uid="{14A9E9BA-EA96-409B-A473-DD6C3C0120B0}"/>
    <cellStyle name="20% - Accent1 2 3 3 3" xfId="5335" xr:uid="{00000000-0005-0000-0000-000033000000}"/>
    <cellStyle name="20% - Accent1 2 3 3 3 2" xfId="13785" xr:uid="{BBCC6CAF-30D3-4787-A969-9A56C04250F3}"/>
    <cellStyle name="20% - Accent1 2 3 3 4" xfId="9567" xr:uid="{31395650-DFB5-4A2B-82A8-A3F4BB077E5A}"/>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304D608A-B9F3-4B0F-8C9D-ED009E41C65F}"/>
    <cellStyle name="20% - Accent1 2 3 4 2 3" xfId="12125" xr:uid="{DC8E355B-414A-4E65-85B0-DF3A8C13E4CA}"/>
    <cellStyle name="20% - Accent1 2 3 4 3" xfId="5748" xr:uid="{00000000-0005-0000-0000-000037000000}"/>
    <cellStyle name="20% - Accent1 2 3 4 3 2" xfId="14198" xr:uid="{EA3465AF-DD6B-4C94-B39F-29F6FE2248D2}"/>
    <cellStyle name="20% - Accent1 2 3 4 4" xfId="9980" xr:uid="{43FE667B-C7D6-4797-B954-A112E13E43FE}"/>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B75DF2B5-C3A8-4A9B-8289-BCCB3EF63E90}"/>
    <cellStyle name="20% - Accent1 2 3 5 2 3" xfId="12538" xr:uid="{3866D18B-4111-436C-92DF-D45D24FAE402}"/>
    <cellStyle name="20% - Accent1 2 3 5 3" xfId="6161" xr:uid="{00000000-0005-0000-0000-00003B000000}"/>
    <cellStyle name="20% - Accent1 2 3 5 3 2" xfId="14611" xr:uid="{5F6524D1-25CE-4937-9894-85ABA47AA3AF}"/>
    <cellStyle name="20% - Accent1 2 3 5 4" xfId="10393" xr:uid="{1E816DC0-C606-4C0E-B137-6DE5E4BB314D}"/>
    <cellStyle name="20% - Accent1 2 3 6" xfId="2268" xr:uid="{00000000-0005-0000-0000-00003C000000}"/>
    <cellStyle name="20% - Accent1 2 3 6 2" xfId="6574" xr:uid="{00000000-0005-0000-0000-00003D000000}"/>
    <cellStyle name="20% - Accent1 2 3 6 2 2" xfId="15024" xr:uid="{2041BA12-AC0B-4923-B522-7E0F4814D728}"/>
    <cellStyle name="20% - Accent1 2 3 6 3" xfId="10806" xr:uid="{ECB3CA8F-96E5-4D5D-9827-DF799B7C8D62}"/>
    <cellStyle name="20% - Accent1 2 3 7" xfId="4508" xr:uid="{00000000-0005-0000-0000-00003E000000}"/>
    <cellStyle name="20% - Accent1 2 3 7 2" xfId="12958" xr:uid="{E329D0E2-0B16-49A1-AE85-FFF46C1B0ADD}"/>
    <cellStyle name="20% - Accent1 2 3 8" xfId="8740" xr:uid="{8E6A7B1B-5CED-4A1A-BBD6-E9D98263B27C}"/>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B3A94C0E-1E07-4418-8ADF-FEBE64EF6AE0}"/>
    <cellStyle name="20% - Accent1 2 4 2 3" xfId="11296" xr:uid="{1BCC0D85-9121-4889-865C-0DF89B1419D7}"/>
    <cellStyle name="20% - Accent1 2 4 3" xfId="4919" xr:uid="{00000000-0005-0000-0000-000042000000}"/>
    <cellStyle name="20% - Accent1 2 4 3 2" xfId="13369" xr:uid="{1DAD06FB-4059-40ED-B05F-D17BA393B7CA}"/>
    <cellStyle name="20% - Accent1 2 4 4" xfId="9151" xr:uid="{693FE1D5-212B-448F-BDDA-695EB6CA522D}"/>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F2F77FFD-496B-4CB9-AA1F-CBEA71FABCB2}"/>
    <cellStyle name="20% - Accent1 2 5 2 3" xfId="11709" xr:uid="{AD2AC373-12F7-458E-9BF3-9FAAD9F4674D}"/>
    <cellStyle name="20% - Accent1 2 5 3" xfId="5332" xr:uid="{00000000-0005-0000-0000-000046000000}"/>
    <cellStyle name="20% - Accent1 2 5 3 2" xfId="13782" xr:uid="{2D745B26-5784-48DA-8461-B2B070D30888}"/>
    <cellStyle name="20% - Accent1 2 5 4" xfId="9564" xr:uid="{1B99AAC9-3C88-499D-AAEC-DC0E2221F0ED}"/>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14113A57-470B-444C-97E2-9429FE1360B3}"/>
    <cellStyle name="20% - Accent1 2 6 2 3" xfId="12122" xr:uid="{0F92891B-3697-4706-BA2E-6D2DE9877D41}"/>
    <cellStyle name="20% - Accent1 2 6 3" xfId="5745" xr:uid="{00000000-0005-0000-0000-00004A000000}"/>
    <cellStyle name="20% - Accent1 2 6 3 2" xfId="14195" xr:uid="{56DF0D6B-8A80-4B5B-AA2D-09A96DDF4595}"/>
    <cellStyle name="20% - Accent1 2 6 4" xfId="9977" xr:uid="{BF53D847-9DBD-432E-97D0-7797A28149F5}"/>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53559FF3-8609-485A-AF46-3A009CDF426F}"/>
    <cellStyle name="20% - Accent1 2 7 2 3" xfId="12535" xr:uid="{DC13736D-1CFB-485A-8B7C-B260107FACE4}"/>
    <cellStyle name="20% - Accent1 2 7 3" xfId="6158" xr:uid="{00000000-0005-0000-0000-00004E000000}"/>
    <cellStyle name="20% - Accent1 2 7 3 2" xfId="14608" xr:uid="{A0CE7CBC-FD7B-4E97-A00C-5C6AC9D1C05E}"/>
    <cellStyle name="20% - Accent1 2 7 4" xfId="10390" xr:uid="{93AD63F5-24D5-4207-8234-A3F37CDDDDFA}"/>
    <cellStyle name="20% - Accent1 2 8" xfId="2265" xr:uid="{00000000-0005-0000-0000-00004F000000}"/>
    <cellStyle name="20% - Accent1 2 8 2" xfId="6571" xr:uid="{00000000-0005-0000-0000-000050000000}"/>
    <cellStyle name="20% - Accent1 2 8 2 2" xfId="15021" xr:uid="{85733C9C-34B4-4FDB-9D33-76AC91450CAB}"/>
    <cellStyle name="20% - Accent1 2 8 3" xfId="10803" xr:uid="{976DA997-2509-438A-A1E9-230259955D0B}"/>
    <cellStyle name="20% - Accent1 2 9" xfId="4505" xr:uid="{00000000-0005-0000-0000-000051000000}"/>
    <cellStyle name="20% - Accent1 2 9 2" xfId="12955" xr:uid="{790965D4-51DA-46F6-BBFC-09178A4AF4B8}"/>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7BCC952C-E75A-4F73-8FEA-3C4D99A1B234}"/>
    <cellStyle name="20% - Accent1 3 2 2 2 3" xfId="11301" xr:uid="{2CCA90B5-2DEA-4387-A042-0396AEEFE9A9}"/>
    <cellStyle name="20% - Accent1 3 2 2 3" xfId="4924" xr:uid="{00000000-0005-0000-0000-000057000000}"/>
    <cellStyle name="20% - Accent1 3 2 2 3 2" xfId="13374" xr:uid="{54E941B3-6CA3-42D6-BFB7-10CC97B9CB37}"/>
    <cellStyle name="20% - Accent1 3 2 2 4" xfId="9156" xr:uid="{D9D3D25B-7BFC-436B-AB05-F9D69C297A9A}"/>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699475E6-9C06-4BC3-BB4E-78BD2BE3A4C2}"/>
    <cellStyle name="20% - Accent1 3 2 3 2 3" xfId="11714" xr:uid="{66CC2765-5A77-4BC3-8FAD-0BDBBBCBD93B}"/>
    <cellStyle name="20% - Accent1 3 2 3 3" xfId="5337" xr:uid="{00000000-0005-0000-0000-00005B000000}"/>
    <cellStyle name="20% - Accent1 3 2 3 3 2" xfId="13787" xr:uid="{B72C5752-9199-4418-A536-309A3B209EB9}"/>
    <cellStyle name="20% - Accent1 3 2 3 4" xfId="9569" xr:uid="{606BF54E-5E47-4998-9416-C06BE162A629}"/>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DB032DCF-7EE2-42A0-9FCC-444CB106621F}"/>
    <cellStyle name="20% - Accent1 3 2 4 2 3" xfId="12127" xr:uid="{22470386-812D-479D-A98D-FBC19447A314}"/>
    <cellStyle name="20% - Accent1 3 2 4 3" xfId="5750" xr:uid="{00000000-0005-0000-0000-00005F000000}"/>
    <cellStyle name="20% - Accent1 3 2 4 3 2" xfId="14200" xr:uid="{A741A2F0-24E2-4BF5-8D18-F100914778F9}"/>
    <cellStyle name="20% - Accent1 3 2 4 4" xfId="9982" xr:uid="{6759D74F-42B2-4C61-B849-F4C5653BBBF8}"/>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C0A086F5-9AB0-47BA-A7A3-C0948F24CAF4}"/>
    <cellStyle name="20% - Accent1 3 2 5 2 3" xfId="12540" xr:uid="{B5F1A2F3-3C66-4A09-9774-031BE74A23CF}"/>
    <cellStyle name="20% - Accent1 3 2 5 3" xfId="6163" xr:uid="{00000000-0005-0000-0000-000063000000}"/>
    <cellStyle name="20% - Accent1 3 2 5 3 2" xfId="14613" xr:uid="{644BA4A5-68BD-4929-92AD-75B4C9192D11}"/>
    <cellStyle name="20% - Accent1 3 2 5 4" xfId="10395" xr:uid="{4F9C8F02-4236-4E8D-BBD8-0DF696629E15}"/>
    <cellStyle name="20% - Accent1 3 2 6" xfId="2270" xr:uid="{00000000-0005-0000-0000-000064000000}"/>
    <cellStyle name="20% - Accent1 3 2 6 2" xfId="6576" xr:uid="{00000000-0005-0000-0000-000065000000}"/>
    <cellStyle name="20% - Accent1 3 2 6 2 2" xfId="15026" xr:uid="{E4BBB1D1-BCF9-4AEB-A90B-5C82B2683DDE}"/>
    <cellStyle name="20% - Accent1 3 2 6 3" xfId="10808" xr:uid="{560AF291-79C7-4976-9899-F31C7A1C476E}"/>
    <cellStyle name="20% - Accent1 3 2 7" xfId="4510" xr:uid="{00000000-0005-0000-0000-000066000000}"/>
    <cellStyle name="20% - Accent1 3 2 7 2" xfId="12960" xr:uid="{28BE95B6-D10E-4F7A-A418-004C126D1F48}"/>
    <cellStyle name="20% - Accent1 3 2 8" xfId="8742" xr:uid="{729019AC-8B09-48FF-A4FE-30BC370A5B6B}"/>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682A173C-FE0C-484B-8E00-8A04392D4931}"/>
    <cellStyle name="20% - Accent1 3 3 2 3" xfId="11300" xr:uid="{DCF2689E-E49B-40D1-A8ED-B4162DED015C}"/>
    <cellStyle name="20% - Accent1 3 3 3" xfId="4923" xr:uid="{00000000-0005-0000-0000-00006A000000}"/>
    <cellStyle name="20% - Accent1 3 3 3 2" xfId="13373" xr:uid="{CA7B5F80-116F-4F64-9D30-6961493C12B8}"/>
    <cellStyle name="20% - Accent1 3 3 4" xfId="9155" xr:uid="{AABE39DD-78C1-4A6B-8577-14D1F88BD7F7}"/>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A1FDDF88-45B5-442D-8E94-1A8A80B679D9}"/>
    <cellStyle name="20% - Accent1 3 4 2 3" xfId="11713" xr:uid="{46308729-38B2-4BBB-A31A-C5CA94EBBB6A}"/>
    <cellStyle name="20% - Accent1 3 4 3" xfId="5336" xr:uid="{00000000-0005-0000-0000-00006E000000}"/>
    <cellStyle name="20% - Accent1 3 4 3 2" xfId="13786" xr:uid="{7B967829-74CD-4C4B-86C9-B588FB75EC96}"/>
    <cellStyle name="20% - Accent1 3 4 4" xfId="9568" xr:uid="{15B11362-62AB-4836-BB43-018A11A75620}"/>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53C8AC58-2628-4B41-B9F5-C20C915A2AFC}"/>
    <cellStyle name="20% - Accent1 3 5 2 3" xfId="12126" xr:uid="{D95311CA-CC59-437F-9EDC-503763028658}"/>
    <cellStyle name="20% - Accent1 3 5 3" xfId="5749" xr:uid="{00000000-0005-0000-0000-000072000000}"/>
    <cellStyle name="20% - Accent1 3 5 3 2" xfId="14199" xr:uid="{E62D7B69-CBCE-4BFA-A1EA-70AC15913843}"/>
    <cellStyle name="20% - Accent1 3 5 4" xfId="9981" xr:uid="{A5CB4776-D5D3-454D-B9EB-9FE8FFAE3B60}"/>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350578E5-ACB9-41C2-A648-DFF2761F21F6}"/>
    <cellStyle name="20% - Accent1 3 6 2 3" xfId="12539" xr:uid="{9EE6FBA8-E12E-4A3D-A1FB-D7C559667093}"/>
    <cellStyle name="20% - Accent1 3 6 3" xfId="6162" xr:uid="{00000000-0005-0000-0000-000076000000}"/>
    <cellStyle name="20% - Accent1 3 6 3 2" xfId="14612" xr:uid="{DA6065B5-0B49-4F6E-B9AD-E0169026AA10}"/>
    <cellStyle name="20% - Accent1 3 6 4" xfId="10394" xr:uid="{AB4121F1-BFE6-4844-877F-53A7A41C0717}"/>
    <cellStyle name="20% - Accent1 3 7" xfId="2269" xr:uid="{00000000-0005-0000-0000-000077000000}"/>
    <cellStyle name="20% - Accent1 3 7 2" xfId="6575" xr:uid="{00000000-0005-0000-0000-000078000000}"/>
    <cellStyle name="20% - Accent1 3 7 2 2" xfId="15025" xr:uid="{0FD100B9-BE11-411F-ADF3-C6508932AF12}"/>
    <cellStyle name="20% - Accent1 3 7 3" xfId="10807" xr:uid="{71222B1F-E06E-43E2-820A-07FE673425D7}"/>
    <cellStyle name="20% - Accent1 3 8" xfId="4509" xr:uid="{00000000-0005-0000-0000-000079000000}"/>
    <cellStyle name="20% - Accent1 3 8 2" xfId="12959" xr:uid="{59244CB1-866A-4E37-8A7D-5C8A76B5D952}"/>
    <cellStyle name="20% - Accent1 3 9" xfId="8741" xr:uid="{E10B616F-6320-4381-A47D-BFA9FC78F984}"/>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74CA6787-8078-413C-BD93-51145EE28C0D}"/>
    <cellStyle name="20% - Accent1 4 2 2 3" xfId="11302" xr:uid="{F0B8BB67-F5AB-4A66-9C73-D8FC346C0866}"/>
    <cellStyle name="20% - Accent1 4 2 3" xfId="4925" xr:uid="{00000000-0005-0000-0000-00007E000000}"/>
    <cellStyle name="20% - Accent1 4 2 3 2" xfId="13375" xr:uid="{445E43EF-6CD2-497B-8386-6AC71C277C06}"/>
    <cellStyle name="20% - Accent1 4 2 4" xfId="9157" xr:uid="{443B1B57-C122-4DEF-85DF-6E7FA53C22F6}"/>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DB4933C2-58D4-48E9-A169-C59E29B17E12}"/>
    <cellStyle name="20% - Accent1 4 3 2 3" xfId="11715" xr:uid="{5F9A17F2-1174-42D5-AAB8-D7333A6C7495}"/>
    <cellStyle name="20% - Accent1 4 3 3" xfId="5338" xr:uid="{00000000-0005-0000-0000-000082000000}"/>
    <cellStyle name="20% - Accent1 4 3 3 2" xfId="13788" xr:uid="{4DBE2B80-C1CA-4116-945D-2D8F0805AB30}"/>
    <cellStyle name="20% - Accent1 4 3 4" xfId="9570" xr:uid="{DAE77784-B859-41B0-89B9-751C95A8D467}"/>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34CE0DAF-0340-4DCA-8347-89009D15B1DD}"/>
    <cellStyle name="20% - Accent1 4 4 2 3" xfId="12128" xr:uid="{D9539493-77CA-44CB-B4AF-F320C6962F66}"/>
    <cellStyle name="20% - Accent1 4 4 3" xfId="5751" xr:uid="{00000000-0005-0000-0000-000086000000}"/>
    <cellStyle name="20% - Accent1 4 4 3 2" xfId="14201" xr:uid="{C46C53DC-ECD0-4530-B304-CCC1BC3616A3}"/>
    <cellStyle name="20% - Accent1 4 4 4" xfId="9983" xr:uid="{6A465D4A-17B7-4B36-A851-5634F849F0DC}"/>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9FC505AA-4C99-4E7F-9122-D34F127A32A4}"/>
    <cellStyle name="20% - Accent1 4 5 2 3" xfId="12541" xr:uid="{B9276EE3-743C-4B1C-8810-84FC6694F337}"/>
    <cellStyle name="20% - Accent1 4 5 3" xfId="6164" xr:uid="{00000000-0005-0000-0000-00008A000000}"/>
    <cellStyle name="20% - Accent1 4 5 3 2" xfId="14614" xr:uid="{A6F01803-548B-438F-A7CF-9B68D8591831}"/>
    <cellStyle name="20% - Accent1 4 5 4" xfId="10396" xr:uid="{4C20B930-1AA7-46EE-B58D-8A46933D50B5}"/>
    <cellStyle name="20% - Accent1 4 6" xfId="2271" xr:uid="{00000000-0005-0000-0000-00008B000000}"/>
    <cellStyle name="20% - Accent1 4 6 2" xfId="6577" xr:uid="{00000000-0005-0000-0000-00008C000000}"/>
    <cellStyle name="20% - Accent1 4 6 2 2" xfId="15027" xr:uid="{6FAD99D3-1E33-497B-8D2F-729A1D0A7616}"/>
    <cellStyle name="20% - Accent1 4 6 3" xfId="10809" xr:uid="{1EBC3EB0-D3AC-4862-9A81-DAB77EB56C14}"/>
    <cellStyle name="20% - Accent1 4 7" xfId="4511" xr:uid="{00000000-0005-0000-0000-00008D000000}"/>
    <cellStyle name="20% - Accent1 4 7 2" xfId="12961" xr:uid="{524DC83E-559A-40F8-A2BB-411E01518840}"/>
    <cellStyle name="20% - Accent1 4 8" xfId="8743" xr:uid="{E8853DD7-7D98-45C0-8081-C3E2174B4ADF}"/>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9D0864D8-B8CC-431F-9311-D45C20F085EE}"/>
    <cellStyle name="20% - Accent1 5 2 3" xfId="11295" xr:uid="{F7EE5865-2506-4B97-A03F-80093469CFA9}"/>
    <cellStyle name="20% - Accent1 5 3" xfId="4918" xr:uid="{00000000-0005-0000-0000-000091000000}"/>
    <cellStyle name="20% - Accent1 5 3 2" xfId="13368" xr:uid="{5AE98084-6D87-4C15-8C9F-90BE54D5E4E9}"/>
    <cellStyle name="20% - Accent1 5 4" xfId="9150" xr:uid="{C51681A1-C33D-4B0C-A8AA-D8C7A7E54A1D}"/>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CA633F86-51D8-4AEC-9B62-1E36A9741B7F}"/>
    <cellStyle name="20% - Accent1 6 2 3" xfId="11708" xr:uid="{4267949D-CC08-4F2C-8EE0-2404A110D2EE}"/>
    <cellStyle name="20% - Accent1 6 3" xfId="5331" xr:uid="{00000000-0005-0000-0000-000095000000}"/>
    <cellStyle name="20% - Accent1 6 3 2" xfId="13781" xr:uid="{B01EEE2C-FB07-4A70-AD0C-2E8263538701}"/>
    <cellStyle name="20% - Accent1 6 4" xfId="9563" xr:uid="{15F06C20-B3AB-4A32-BBF9-D62F35AB24C9}"/>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DC2CE5BF-0CA6-4839-A25B-18F7903D2B5C}"/>
    <cellStyle name="20% - Accent1 7 2 3" xfId="12121" xr:uid="{E16461DA-ABED-43E7-93F4-39E515DE2C5F}"/>
    <cellStyle name="20% - Accent1 7 3" xfId="5744" xr:uid="{00000000-0005-0000-0000-000099000000}"/>
    <cellStyle name="20% - Accent1 7 3 2" xfId="14194" xr:uid="{AADDD5B7-F240-4732-8BE4-68F2E001FE59}"/>
    <cellStyle name="20% - Accent1 7 4" xfId="9976" xr:uid="{B3BAD9D6-92A2-426F-B041-B047069081B4}"/>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7455D3A9-FB79-45A7-879D-0BA9CC77EBC2}"/>
    <cellStyle name="20% - Accent1 8 2 3" xfId="12534" xr:uid="{D62BD1FD-8180-4DF3-B617-227C4C509043}"/>
    <cellStyle name="20% - Accent1 8 3" xfId="6157" xr:uid="{00000000-0005-0000-0000-00009D000000}"/>
    <cellStyle name="20% - Accent1 8 3 2" xfId="14607" xr:uid="{2D0A642E-9671-4397-8AA1-B64AB21520CF}"/>
    <cellStyle name="20% - Accent1 8 4" xfId="10389" xr:uid="{088F64FC-718D-4262-8D4C-D1738D6E3E24}"/>
    <cellStyle name="20% - Accent1 9" xfId="2264" xr:uid="{00000000-0005-0000-0000-00009E000000}"/>
    <cellStyle name="20% - Accent1 9 2" xfId="6570" xr:uid="{00000000-0005-0000-0000-00009F000000}"/>
    <cellStyle name="20% - Accent1 9 2 2" xfId="15020" xr:uid="{8AB17411-136E-49BB-B170-D89AFF1FE7B7}"/>
    <cellStyle name="20% - Accent1 9 3" xfId="10802" xr:uid="{6C60927E-C681-44F6-AC3C-B7F52CEAFA5E}"/>
    <cellStyle name="20% - Accent2" xfId="9" builtinId="34" customBuiltin="1"/>
    <cellStyle name="20% - Accent2 10" xfId="4512" xr:uid="{00000000-0005-0000-0000-0000A1000000}"/>
    <cellStyle name="20% - Accent2 10 2" xfId="12962" xr:uid="{4F7D517E-D7EF-4829-A4DC-0DC7EB4B5D2D}"/>
    <cellStyle name="20% - Accent2 11" xfId="8744" xr:uid="{1D17397B-4581-4313-BF52-A36550F1E5B8}"/>
    <cellStyle name="20% - Accent2 2" xfId="10" xr:uid="{00000000-0005-0000-0000-0000A2000000}"/>
    <cellStyle name="20% - Accent2 2 10" xfId="8745" xr:uid="{15559E0B-7EA9-4C6E-B7AB-9DBA33668617}"/>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DF1056F9-8484-426B-B8DF-EF5D6647B2DE}"/>
    <cellStyle name="20% - Accent2 2 2 2 2 2 3" xfId="11306" xr:uid="{04FFDEB4-8546-453D-9BA2-77626D63065C}"/>
    <cellStyle name="20% - Accent2 2 2 2 2 3" xfId="4929" xr:uid="{00000000-0005-0000-0000-0000A8000000}"/>
    <cellStyle name="20% - Accent2 2 2 2 2 3 2" xfId="13379" xr:uid="{322312C3-080F-4B0A-AD07-80D3A43F0CE2}"/>
    <cellStyle name="20% - Accent2 2 2 2 2 4" xfId="9161" xr:uid="{23121E6F-06C3-4513-BFE4-68941F90654D}"/>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10A8C9FE-2C07-4852-B096-652DDE5695AB}"/>
    <cellStyle name="20% - Accent2 2 2 2 3 2 3" xfId="11719" xr:uid="{AD41C58C-0C22-4810-A2B5-94C69619078D}"/>
    <cellStyle name="20% - Accent2 2 2 2 3 3" xfId="5342" xr:uid="{00000000-0005-0000-0000-0000AC000000}"/>
    <cellStyle name="20% - Accent2 2 2 2 3 3 2" xfId="13792" xr:uid="{2BBC78FD-B308-41BB-ACB0-C53556DEE4B5}"/>
    <cellStyle name="20% - Accent2 2 2 2 3 4" xfId="9574" xr:uid="{92D43558-D426-464C-BD6F-FAF210373A4F}"/>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B8AB0466-2CC1-4E84-85A7-903C4C617BEA}"/>
    <cellStyle name="20% - Accent2 2 2 2 4 2 3" xfId="12132" xr:uid="{359DAFE5-6B00-4ECC-864F-EA5618B4214C}"/>
    <cellStyle name="20% - Accent2 2 2 2 4 3" xfId="5755" xr:uid="{00000000-0005-0000-0000-0000B0000000}"/>
    <cellStyle name="20% - Accent2 2 2 2 4 3 2" xfId="14205" xr:uid="{1DE0A3B9-3C8B-4DD8-9A4F-3DEF9AA6524A}"/>
    <cellStyle name="20% - Accent2 2 2 2 4 4" xfId="9987" xr:uid="{BA685F4C-A54E-4EC2-93D1-433C110B1CCC}"/>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04E52E16-9EC5-4968-9E50-9CDDB02DF0FB}"/>
    <cellStyle name="20% - Accent2 2 2 2 5 2 3" xfId="12545" xr:uid="{5BFC1CE3-D564-4ABB-94D0-F2F39CE75777}"/>
    <cellStyle name="20% - Accent2 2 2 2 5 3" xfId="6168" xr:uid="{00000000-0005-0000-0000-0000B4000000}"/>
    <cellStyle name="20% - Accent2 2 2 2 5 3 2" xfId="14618" xr:uid="{9E43C73A-32B8-4A18-8C21-D45C842A0853}"/>
    <cellStyle name="20% - Accent2 2 2 2 5 4" xfId="10400" xr:uid="{13FDC685-B57C-4494-A2C9-506878C76D11}"/>
    <cellStyle name="20% - Accent2 2 2 2 6" xfId="2275" xr:uid="{00000000-0005-0000-0000-0000B5000000}"/>
    <cellStyle name="20% - Accent2 2 2 2 6 2" xfId="6581" xr:uid="{00000000-0005-0000-0000-0000B6000000}"/>
    <cellStyle name="20% - Accent2 2 2 2 6 2 2" xfId="15031" xr:uid="{323F2ECF-5C82-4D0D-A21A-11BF0601A248}"/>
    <cellStyle name="20% - Accent2 2 2 2 6 3" xfId="10813" xr:uid="{85DEE84E-4FDD-4199-AC1F-A5AF59D62FCF}"/>
    <cellStyle name="20% - Accent2 2 2 2 7" xfId="4515" xr:uid="{00000000-0005-0000-0000-0000B7000000}"/>
    <cellStyle name="20% - Accent2 2 2 2 7 2" xfId="12965" xr:uid="{316C03AB-561F-42E3-85B0-8B5860353936}"/>
    <cellStyle name="20% - Accent2 2 2 2 8" xfId="8747" xr:uid="{283E4819-CADB-4C01-B2FF-0D58F5684188}"/>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4DFDA88B-DDE3-4F90-AFA7-9D5B2E59DBE4}"/>
    <cellStyle name="20% - Accent2 2 2 3 2 3" xfId="11305" xr:uid="{E4E4B6AA-0298-46BE-A594-84BB842A1114}"/>
    <cellStyle name="20% - Accent2 2 2 3 3" xfId="4928" xr:uid="{00000000-0005-0000-0000-0000BB000000}"/>
    <cellStyle name="20% - Accent2 2 2 3 3 2" xfId="13378" xr:uid="{E67D9DE3-016D-4D59-94A8-31B081A62D07}"/>
    <cellStyle name="20% - Accent2 2 2 3 4" xfId="9160" xr:uid="{A655BD72-4FD1-4BDA-A139-D7C5FEEBBDF8}"/>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428A9CC2-135E-4FB8-9BFD-61F38A7D79F8}"/>
    <cellStyle name="20% - Accent2 2 2 4 2 3" xfId="11718" xr:uid="{B96A25E2-84B4-43AE-8116-57DEC3D770CF}"/>
    <cellStyle name="20% - Accent2 2 2 4 3" xfId="5341" xr:uid="{00000000-0005-0000-0000-0000BF000000}"/>
    <cellStyle name="20% - Accent2 2 2 4 3 2" xfId="13791" xr:uid="{3CBB63A4-3FA2-4B14-B946-2DA466531D53}"/>
    <cellStyle name="20% - Accent2 2 2 4 4" xfId="9573" xr:uid="{BFB754E9-AA4C-440D-89C7-FCD0BC97C39C}"/>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BAEF27E1-2DB2-41B5-9B02-CA6E5A538B1B}"/>
    <cellStyle name="20% - Accent2 2 2 5 2 3" xfId="12131" xr:uid="{37ACE233-335C-4F00-BDF9-B8B1742E9459}"/>
    <cellStyle name="20% - Accent2 2 2 5 3" xfId="5754" xr:uid="{00000000-0005-0000-0000-0000C3000000}"/>
    <cellStyle name="20% - Accent2 2 2 5 3 2" xfId="14204" xr:uid="{3CEBF158-0270-4815-9ECB-F65DB3B1EB3F}"/>
    <cellStyle name="20% - Accent2 2 2 5 4" xfId="9986" xr:uid="{6675C39B-04F0-4E84-8988-9FADC4DAB3F7}"/>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6608FDC7-D321-4C80-A288-EEA038947AC3}"/>
    <cellStyle name="20% - Accent2 2 2 6 2 3" xfId="12544" xr:uid="{7C928EED-2633-46DB-8FF7-BBB607BE2558}"/>
    <cellStyle name="20% - Accent2 2 2 6 3" xfId="6167" xr:uid="{00000000-0005-0000-0000-0000C7000000}"/>
    <cellStyle name="20% - Accent2 2 2 6 3 2" xfId="14617" xr:uid="{B8E26A8D-D46F-4820-82E3-8C1EB0C77446}"/>
    <cellStyle name="20% - Accent2 2 2 6 4" xfId="10399" xr:uid="{377C4115-AF7A-42A8-BAB4-45654C61D8A5}"/>
    <cellStyle name="20% - Accent2 2 2 7" xfId="2274" xr:uid="{00000000-0005-0000-0000-0000C8000000}"/>
    <cellStyle name="20% - Accent2 2 2 7 2" xfId="6580" xr:uid="{00000000-0005-0000-0000-0000C9000000}"/>
    <cellStyle name="20% - Accent2 2 2 7 2 2" xfId="15030" xr:uid="{147F09B9-E6C7-4458-B9D7-281CC6F4E61D}"/>
    <cellStyle name="20% - Accent2 2 2 7 3" xfId="10812" xr:uid="{7192D658-7929-4EBE-81AB-0DB2E7A8FE13}"/>
    <cellStyle name="20% - Accent2 2 2 8" xfId="4514" xr:uid="{00000000-0005-0000-0000-0000CA000000}"/>
    <cellStyle name="20% - Accent2 2 2 8 2" xfId="12964" xr:uid="{09CA3D91-1A88-4EED-9530-8FD5F85DB769}"/>
    <cellStyle name="20% - Accent2 2 2 9" xfId="8746" xr:uid="{31035C2A-2F0B-4B8C-B0C3-60CC610092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1BE8325B-B667-4497-B019-B5DA6017C6BB}"/>
    <cellStyle name="20% - Accent2 2 3 2 2 3" xfId="11307" xr:uid="{C3D3AE65-302C-4738-B2A2-F95BADC00612}"/>
    <cellStyle name="20% - Accent2 2 3 2 3" xfId="4930" xr:uid="{00000000-0005-0000-0000-0000CF000000}"/>
    <cellStyle name="20% - Accent2 2 3 2 3 2" xfId="13380" xr:uid="{0D149BBA-9E43-424D-AB91-209FF975CFCB}"/>
    <cellStyle name="20% - Accent2 2 3 2 4" xfId="9162" xr:uid="{3341D2DF-8D84-45AE-AB97-CF5468EEDE7E}"/>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AE699329-5FB6-4B52-A70E-3F4FA3F4B642}"/>
    <cellStyle name="20% - Accent2 2 3 3 2 3" xfId="11720" xr:uid="{5EC978BA-5ED3-486D-8DEB-62026EEE9341}"/>
    <cellStyle name="20% - Accent2 2 3 3 3" xfId="5343" xr:uid="{00000000-0005-0000-0000-0000D3000000}"/>
    <cellStyle name="20% - Accent2 2 3 3 3 2" xfId="13793" xr:uid="{9F414745-9F5E-4C3D-84C4-BC8472362677}"/>
    <cellStyle name="20% - Accent2 2 3 3 4" xfId="9575" xr:uid="{29DA44BB-01D2-4F16-8FC4-E0F0D2BB2320}"/>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60CC86C4-B39D-4209-B090-7A0D50D14DD9}"/>
    <cellStyle name="20% - Accent2 2 3 4 2 3" xfId="12133" xr:uid="{76792107-CF7C-4693-A5E6-8B09D738F7BB}"/>
    <cellStyle name="20% - Accent2 2 3 4 3" xfId="5756" xr:uid="{00000000-0005-0000-0000-0000D7000000}"/>
    <cellStyle name="20% - Accent2 2 3 4 3 2" xfId="14206" xr:uid="{425269F8-9C74-4BAB-BF96-43B5B4B54D3A}"/>
    <cellStyle name="20% - Accent2 2 3 4 4" xfId="9988" xr:uid="{3A923FFC-F74B-4A2D-8192-E1255443F36A}"/>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AE3A41AD-5D76-4F27-82E9-33A60FD6D732}"/>
    <cellStyle name="20% - Accent2 2 3 5 2 3" xfId="12546" xr:uid="{599B3A88-AF8B-4274-B157-8FED07621B11}"/>
    <cellStyle name="20% - Accent2 2 3 5 3" xfId="6169" xr:uid="{00000000-0005-0000-0000-0000DB000000}"/>
    <cellStyle name="20% - Accent2 2 3 5 3 2" xfId="14619" xr:uid="{BD900122-3B54-4F40-902C-BEF1DE1A405A}"/>
    <cellStyle name="20% - Accent2 2 3 5 4" xfId="10401" xr:uid="{92392604-C4CA-411C-931E-B29A77614F8A}"/>
    <cellStyle name="20% - Accent2 2 3 6" xfId="2276" xr:uid="{00000000-0005-0000-0000-0000DC000000}"/>
    <cellStyle name="20% - Accent2 2 3 6 2" xfId="6582" xr:uid="{00000000-0005-0000-0000-0000DD000000}"/>
    <cellStyle name="20% - Accent2 2 3 6 2 2" xfId="15032" xr:uid="{9B5DE98D-49C3-453A-846A-88FDF51ABB9B}"/>
    <cellStyle name="20% - Accent2 2 3 6 3" xfId="10814" xr:uid="{84D230D1-1DC9-4309-B36A-619BA6CF8BB3}"/>
    <cellStyle name="20% - Accent2 2 3 7" xfId="4516" xr:uid="{00000000-0005-0000-0000-0000DE000000}"/>
    <cellStyle name="20% - Accent2 2 3 7 2" xfId="12966" xr:uid="{C37E7833-E609-4906-A96C-1D4B47031AB8}"/>
    <cellStyle name="20% - Accent2 2 3 8" xfId="8748" xr:uid="{E982E340-7ED6-4EFD-8AA1-93CAF7F64D9F}"/>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7F298749-FC87-4EEF-954E-2A42BC0EED51}"/>
    <cellStyle name="20% - Accent2 2 4 2 3" xfId="11304" xr:uid="{CA1FD2C8-68A5-4036-BA27-8DD858F98375}"/>
    <cellStyle name="20% - Accent2 2 4 3" xfId="4927" xr:uid="{00000000-0005-0000-0000-0000E2000000}"/>
    <cellStyle name="20% - Accent2 2 4 3 2" xfId="13377" xr:uid="{6DA83393-0933-4832-B39D-CC9263DDB7F7}"/>
    <cellStyle name="20% - Accent2 2 4 4" xfId="9159" xr:uid="{25E60932-8383-43B3-A0A5-E123C0399668}"/>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D687A699-F6FD-4A91-A535-B787D7DA8593}"/>
    <cellStyle name="20% - Accent2 2 5 2 3" xfId="11717" xr:uid="{554F46BC-7E89-4678-98D0-040C7F0E2A51}"/>
    <cellStyle name="20% - Accent2 2 5 3" xfId="5340" xr:uid="{00000000-0005-0000-0000-0000E6000000}"/>
    <cellStyle name="20% - Accent2 2 5 3 2" xfId="13790" xr:uid="{6E7740B6-7C61-4ECC-9A89-1CF843F4A37B}"/>
    <cellStyle name="20% - Accent2 2 5 4" xfId="9572" xr:uid="{68507932-8A68-4B8A-AA76-E532A9DF4FE3}"/>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0926D0E5-4422-43C4-8CBA-C40BA767D95F}"/>
    <cellStyle name="20% - Accent2 2 6 2 3" xfId="12130" xr:uid="{5A2B8ECD-0C10-4A6A-8EAD-45E7B2619DB8}"/>
    <cellStyle name="20% - Accent2 2 6 3" xfId="5753" xr:uid="{00000000-0005-0000-0000-0000EA000000}"/>
    <cellStyle name="20% - Accent2 2 6 3 2" xfId="14203" xr:uid="{9F092F59-EE07-405C-9399-60BA95150CEA}"/>
    <cellStyle name="20% - Accent2 2 6 4" xfId="9985" xr:uid="{BCE61410-930A-448B-A25C-8EB37D96CD85}"/>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057522ED-06D3-43ED-ACB8-30F501E9EECF}"/>
    <cellStyle name="20% - Accent2 2 7 2 3" xfId="12543" xr:uid="{2B5F8C4F-330F-4B7B-9FAB-EDDA3D612575}"/>
    <cellStyle name="20% - Accent2 2 7 3" xfId="6166" xr:uid="{00000000-0005-0000-0000-0000EE000000}"/>
    <cellStyle name="20% - Accent2 2 7 3 2" xfId="14616" xr:uid="{847D32FC-7148-4EBE-9220-C7CD91F910B1}"/>
    <cellStyle name="20% - Accent2 2 7 4" xfId="10398" xr:uid="{EF8FC327-78DE-4B3E-9032-A67E4D67358F}"/>
    <cellStyle name="20% - Accent2 2 8" xfId="2273" xr:uid="{00000000-0005-0000-0000-0000EF000000}"/>
    <cellStyle name="20% - Accent2 2 8 2" xfId="6579" xr:uid="{00000000-0005-0000-0000-0000F0000000}"/>
    <cellStyle name="20% - Accent2 2 8 2 2" xfId="15029" xr:uid="{66B82576-D534-4235-97AE-43A9BC471EEF}"/>
    <cellStyle name="20% - Accent2 2 8 3" xfId="10811" xr:uid="{5C9DB575-BA78-4AE0-8A2F-43FF99CDEA9B}"/>
    <cellStyle name="20% - Accent2 2 9" xfId="4513" xr:uid="{00000000-0005-0000-0000-0000F1000000}"/>
    <cellStyle name="20% - Accent2 2 9 2" xfId="12963" xr:uid="{9A784D6A-4115-4C70-8BE8-2A3053F44AA7}"/>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662ED42E-7513-4EEF-95FB-7C3507663217}"/>
    <cellStyle name="20% - Accent2 3 2 2 2 3" xfId="11309" xr:uid="{E9A4057F-CDD4-4E1D-8244-DCEF9239513E}"/>
    <cellStyle name="20% - Accent2 3 2 2 3" xfId="4932" xr:uid="{00000000-0005-0000-0000-0000F7000000}"/>
    <cellStyle name="20% - Accent2 3 2 2 3 2" xfId="13382" xr:uid="{447A471C-E8CF-45E8-BFD0-049B0F88AAAA}"/>
    <cellStyle name="20% - Accent2 3 2 2 4" xfId="9164" xr:uid="{A0661684-ECFB-468B-9F9F-8B15EB123727}"/>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486D52F1-E44D-40CA-AC76-66559F7F5C20}"/>
    <cellStyle name="20% - Accent2 3 2 3 2 3" xfId="11722" xr:uid="{FF3DDEC5-0CAF-4BF9-A175-3AEE9797ADE5}"/>
    <cellStyle name="20% - Accent2 3 2 3 3" xfId="5345" xr:uid="{00000000-0005-0000-0000-0000FB000000}"/>
    <cellStyle name="20% - Accent2 3 2 3 3 2" xfId="13795" xr:uid="{7B3C019A-9CA1-401B-B392-EA180562D7F8}"/>
    <cellStyle name="20% - Accent2 3 2 3 4" xfId="9577" xr:uid="{43DF629C-9F1B-4F75-ADEF-442961CD0C70}"/>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204BEA0B-4ADD-4566-9232-3F428A472874}"/>
    <cellStyle name="20% - Accent2 3 2 4 2 3" xfId="12135" xr:uid="{5F3CE18A-A90C-49FC-9ADA-56CA2B34F717}"/>
    <cellStyle name="20% - Accent2 3 2 4 3" xfId="5758" xr:uid="{00000000-0005-0000-0000-0000FF000000}"/>
    <cellStyle name="20% - Accent2 3 2 4 3 2" xfId="14208" xr:uid="{2BEC2310-7E4F-4EC2-92B9-567BE0B30069}"/>
    <cellStyle name="20% - Accent2 3 2 4 4" xfId="9990" xr:uid="{AC98144C-AE3F-41B4-9CFF-FF2EFBEF1261}"/>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4B9ED81D-EC47-4F6A-ABBD-097074B4FA44}"/>
    <cellStyle name="20% - Accent2 3 2 5 2 3" xfId="12548" xr:uid="{06D724A2-4FE9-4F07-AB04-4C2ED94C59AA}"/>
    <cellStyle name="20% - Accent2 3 2 5 3" xfId="6171" xr:uid="{00000000-0005-0000-0000-000003010000}"/>
    <cellStyle name="20% - Accent2 3 2 5 3 2" xfId="14621" xr:uid="{CA94D783-F6EA-4163-A9B2-E0D00CA2FF80}"/>
    <cellStyle name="20% - Accent2 3 2 5 4" xfId="10403" xr:uid="{9A517A26-F93E-4695-A9CC-AA893FBCB74D}"/>
    <cellStyle name="20% - Accent2 3 2 6" xfId="2278" xr:uid="{00000000-0005-0000-0000-000004010000}"/>
    <cellStyle name="20% - Accent2 3 2 6 2" xfId="6584" xr:uid="{00000000-0005-0000-0000-000005010000}"/>
    <cellStyle name="20% - Accent2 3 2 6 2 2" xfId="15034" xr:uid="{6BF862B1-ACCA-4F99-8BCC-BB5CA55D494C}"/>
    <cellStyle name="20% - Accent2 3 2 6 3" xfId="10816" xr:uid="{8E11FC8F-9D63-4A2B-BBD6-0EF1E62BC274}"/>
    <cellStyle name="20% - Accent2 3 2 7" xfId="4518" xr:uid="{00000000-0005-0000-0000-000006010000}"/>
    <cellStyle name="20% - Accent2 3 2 7 2" xfId="12968" xr:uid="{2A52EC36-6913-4618-834A-9B0EF5D5125A}"/>
    <cellStyle name="20% - Accent2 3 2 8" xfId="8750" xr:uid="{76A7BF8E-B52E-47BF-8047-04C4257B83AE}"/>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9D8FA15B-113F-46DF-8A0A-E6083B6EB383}"/>
    <cellStyle name="20% - Accent2 3 3 2 3" xfId="11308" xr:uid="{4C2EBF11-9806-4FF1-87C2-96E419A758DF}"/>
    <cellStyle name="20% - Accent2 3 3 3" xfId="4931" xr:uid="{00000000-0005-0000-0000-00000A010000}"/>
    <cellStyle name="20% - Accent2 3 3 3 2" xfId="13381" xr:uid="{02EAA487-B2CF-4281-B978-80F33BE10E59}"/>
    <cellStyle name="20% - Accent2 3 3 4" xfId="9163" xr:uid="{880EC533-07E1-4AA8-9D9D-4264FAD4551C}"/>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33E3FE68-419C-4D64-91DC-8982328353D9}"/>
    <cellStyle name="20% - Accent2 3 4 2 3" xfId="11721" xr:uid="{F840BA3B-1929-4585-BFFD-2C30FC1B731A}"/>
    <cellStyle name="20% - Accent2 3 4 3" xfId="5344" xr:uid="{00000000-0005-0000-0000-00000E010000}"/>
    <cellStyle name="20% - Accent2 3 4 3 2" xfId="13794" xr:uid="{65FB72E0-2243-4D4B-9ACB-9D7902AE1471}"/>
    <cellStyle name="20% - Accent2 3 4 4" xfId="9576" xr:uid="{F9769C89-E943-42C1-B8C3-6031E7D40E93}"/>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2085557E-7969-4727-B371-29E57990B995}"/>
    <cellStyle name="20% - Accent2 3 5 2 3" xfId="12134" xr:uid="{A3F46CAF-2ACB-429C-A8DB-274199ACFBAB}"/>
    <cellStyle name="20% - Accent2 3 5 3" xfId="5757" xr:uid="{00000000-0005-0000-0000-000012010000}"/>
    <cellStyle name="20% - Accent2 3 5 3 2" xfId="14207" xr:uid="{EEF25B01-94B2-47FF-895C-9B99115DECC9}"/>
    <cellStyle name="20% - Accent2 3 5 4" xfId="9989" xr:uid="{88E9A07D-09A1-489A-82A7-7BA3296C0A41}"/>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1C8BC0DC-976A-4105-BA29-F86FF9FB431C}"/>
    <cellStyle name="20% - Accent2 3 6 2 3" xfId="12547" xr:uid="{01A302AE-6A0B-4BD8-9EF6-D9261D2E816E}"/>
    <cellStyle name="20% - Accent2 3 6 3" xfId="6170" xr:uid="{00000000-0005-0000-0000-000016010000}"/>
    <cellStyle name="20% - Accent2 3 6 3 2" xfId="14620" xr:uid="{0EF557D2-9FA1-49E4-8B16-036A8D72D779}"/>
    <cellStyle name="20% - Accent2 3 6 4" xfId="10402" xr:uid="{6578A8FB-AC80-4C0A-84AB-B610488732C5}"/>
    <cellStyle name="20% - Accent2 3 7" xfId="2277" xr:uid="{00000000-0005-0000-0000-000017010000}"/>
    <cellStyle name="20% - Accent2 3 7 2" xfId="6583" xr:uid="{00000000-0005-0000-0000-000018010000}"/>
    <cellStyle name="20% - Accent2 3 7 2 2" xfId="15033" xr:uid="{703F36B7-9DD9-4F7A-BC21-58B21ADFBD4D}"/>
    <cellStyle name="20% - Accent2 3 7 3" xfId="10815" xr:uid="{1B1BE718-4ECA-41F5-88E2-EE4735CC4E92}"/>
    <cellStyle name="20% - Accent2 3 8" xfId="4517" xr:uid="{00000000-0005-0000-0000-000019010000}"/>
    <cellStyle name="20% - Accent2 3 8 2" xfId="12967" xr:uid="{F1749AE8-B4DA-4866-A6E9-9D31B799705F}"/>
    <cellStyle name="20% - Accent2 3 9" xfId="8749" xr:uid="{6EEF78DF-F716-4163-9BF9-83654EA34F0F}"/>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2990FD99-501F-481B-BC72-7DD17C10A699}"/>
    <cellStyle name="20% - Accent2 4 2 2 3" xfId="11310" xr:uid="{36634945-7318-4997-951C-74C6311210D7}"/>
    <cellStyle name="20% - Accent2 4 2 3" xfId="4933" xr:uid="{00000000-0005-0000-0000-00001E010000}"/>
    <cellStyle name="20% - Accent2 4 2 3 2" xfId="13383" xr:uid="{5F7E776E-811A-409D-88AC-75AD404685F2}"/>
    <cellStyle name="20% - Accent2 4 2 4" xfId="9165" xr:uid="{ACD04D42-3D34-4A87-80DC-F931B1756961}"/>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A8C5FDB3-0F9E-4193-8AD5-66939086F8FC}"/>
    <cellStyle name="20% - Accent2 4 3 2 3" xfId="11723" xr:uid="{9A6BE680-C7E7-4F9C-9DCD-F2B1980D89AF}"/>
    <cellStyle name="20% - Accent2 4 3 3" xfId="5346" xr:uid="{00000000-0005-0000-0000-000022010000}"/>
    <cellStyle name="20% - Accent2 4 3 3 2" xfId="13796" xr:uid="{AD46A6C0-5D04-415A-84D0-CE5509336E27}"/>
    <cellStyle name="20% - Accent2 4 3 4" xfId="9578" xr:uid="{2036E892-D64D-4EAD-BE65-5073D44352D2}"/>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72DF5EB2-33EE-4BE9-B6A2-3A18F0489542}"/>
    <cellStyle name="20% - Accent2 4 4 2 3" xfId="12136" xr:uid="{1ACEB531-9347-4D6E-ADFA-DFD25CB51612}"/>
    <cellStyle name="20% - Accent2 4 4 3" xfId="5759" xr:uid="{00000000-0005-0000-0000-000026010000}"/>
    <cellStyle name="20% - Accent2 4 4 3 2" xfId="14209" xr:uid="{E0798C07-D455-46BA-9171-8DF1395AEF13}"/>
    <cellStyle name="20% - Accent2 4 4 4" xfId="9991" xr:uid="{818CAF5A-F33C-4B7C-B781-CF482F6841C8}"/>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7C74734C-DBDB-4433-A34A-4B985A7EF79B}"/>
    <cellStyle name="20% - Accent2 4 5 2 3" xfId="12549" xr:uid="{FADC305E-E78C-48E8-BDE3-A1047B71FD84}"/>
    <cellStyle name="20% - Accent2 4 5 3" xfId="6172" xr:uid="{00000000-0005-0000-0000-00002A010000}"/>
    <cellStyle name="20% - Accent2 4 5 3 2" xfId="14622" xr:uid="{6433A736-C7DE-447A-A2A9-3985A90B8822}"/>
    <cellStyle name="20% - Accent2 4 5 4" xfId="10404" xr:uid="{0E72870B-938B-48E7-A1EA-40969D649F44}"/>
    <cellStyle name="20% - Accent2 4 6" xfId="2279" xr:uid="{00000000-0005-0000-0000-00002B010000}"/>
    <cellStyle name="20% - Accent2 4 6 2" xfId="6585" xr:uid="{00000000-0005-0000-0000-00002C010000}"/>
    <cellStyle name="20% - Accent2 4 6 2 2" xfId="15035" xr:uid="{3772E168-1BBD-4868-B1A5-6686CC0939F8}"/>
    <cellStyle name="20% - Accent2 4 6 3" xfId="10817" xr:uid="{9A5F1A50-1484-4066-B37A-C1C0A288B56B}"/>
    <cellStyle name="20% - Accent2 4 7" xfId="4519" xr:uid="{00000000-0005-0000-0000-00002D010000}"/>
    <cellStyle name="20% - Accent2 4 7 2" xfId="12969" xr:uid="{CCBB3C68-3502-494B-B54C-F411AC7F2497}"/>
    <cellStyle name="20% - Accent2 4 8" xfId="8751" xr:uid="{08870511-739D-465A-A1C7-64B0A43469E1}"/>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50B00FF2-46B9-47E3-8542-DA2CD6E094F8}"/>
    <cellStyle name="20% - Accent2 5 2 3" xfId="11303" xr:uid="{3D85199F-A696-46D3-AE4D-8806FFFA4D97}"/>
    <cellStyle name="20% - Accent2 5 3" xfId="4926" xr:uid="{00000000-0005-0000-0000-000031010000}"/>
    <cellStyle name="20% - Accent2 5 3 2" xfId="13376" xr:uid="{6F2FF2AC-BEDC-48C1-8742-9BECCAEDFDE3}"/>
    <cellStyle name="20% - Accent2 5 4" xfId="9158" xr:uid="{7AF7742D-AD6C-4D40-966E-CD354123E8A1}"/>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C69287F9-BF07-402C-ACEF-72F719E0992F}"/>
    <cellStyle name="20% - Accent2 6 2 3" xfId="11716" xr:uid="{B131D205-6D86-49B2-8337-BC633EB978E8}"/>
    <cellStyle name="20% - Accent2 6 3" xfId="5339" xr:uid="{00000000-0005-0000-0000-000035010000}"/>
    <cellStyle name="20% - Accent2 6 3 2" xfId="13789" xr:uid="{B95FA3B6-0A0A-4933-B0C2-C88EBDD112CB}"/>
    <cellStyle name="20% - Accent2 6 4" xfId="9571" xr:uid="{F116F201-2551-4189-8B40-ECA9BCB62351}"/>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714022D5-9FE4-44FD-A17F-B742520CA1C9}"/>
    <cellStyle name="20% - Accent2 7 2 3" xfId="12129" xr:uid="{E7699672-9519-42BA-B76C-CC1866275CFB}"/>
    <cellStyle name="20% - Accent2 7 3" xfId="5752" xr:uid="{00000000-0005-0000-0000-000039010000}"/>
    <cellStyle name="20% - Accent2 7 3 2" xfId="14202" xr:uid="{3679BBA3-8159-4B19-B2FF-DBE8B6C093F2}"/>
    <cellStyle name="20% - Accent2 7 4" xfId="9984" xr:uid="{22557C0F-8884-4867-9FFA-BBE822FF0F5B}"/>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E15A466D-0320-459C-BE04-96A3B3387009}"/>
    <cellStyle name="20% - Accent2 8 2 3" xfId="12542" xr:uid="{2B398B7A-285C-441A-B023-0C1B162647B4}"/>
    <cellStyle name="20% - Accent2 8 3" xfId="6165" xr:uid="{00000000-0005-0000-0000-00003D010000}"/>
    <cellStyle name="20% - Accent2 8 3 2" xfId="14615" xr:uid="{60A81991-764B-4FB3-AAE3-991B62104A1C}"/>
    <cellStyle name="20% - Accent2 8 4" xfId="10397" xr:uid="{6720B7DA-E998-494B-ABF3-07486AFCAF8D}"/>
    <cellStyle name="20% - Accent2 9" xfId="2272" xr:uid="{00000000-0005-0000-0000-00003E010000}"/>
    <cellStyle name="20% - Accent2 9 2" xfId="6578" xr:uid="{00000000-0005-0000-0000-00003F010000}"/>
    <cellStyle name="20% - Accent2 9 2 2" xfId="15028" xr:uid="{88F61C26-847A-469B-9D1B-1475F117B257}"/>
    <cellStyle name="20% - Accent2 9 3" xfId="10810" xr:uid="{E6776ABC-99F8-49DE-9C64-0772A069D091}"/>
    <cellStyle name="20% - Accent3" xfId="17" builtinId="38" customBuiltin="1"/>
    <cellStyle name="20% - Accent3 10" xfId="4520" xr:uid="{00000000-0005-0000-0000-000041010000}"/>
    <cellStyle name="20% - Accent3 10 2" xfId="12970" xr:uid="{FB29111B-D64A-486B-899F-AFFB9F6EA358}"/>
    <cellStyle name="20% - Accent3 11" xfId="8752" xr:uid="{C3C5ABF8-6BC5-4829-8916-FD853A03CAE6}"/>
    <cellStyle name="20% - Accent3 2" xfId="18" xr:uid="{00000000-0005-0000-0000-000042010000}"/>
    <cellStyle name="20% - Accent3 2 10" xfId="8753" xr:uid="{BAD4473E-39A3-4B3E-A6AE-6E42743CA8A1}"/>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F4FBE4B7-2DB9-4742-AEA4-09861A846709}"/>
    <cellStyle name="20% - Accent3 2 2 2 2 2 3" xfId="11314" xr:uid="{72FAD78F-B5EC-4A20-A739-5D057EA5D56B}"/>
    <cellStyle name="20% - Accent3 2 2 2 2 3" xfId="4937" xr:uid="{00000000-0005-0000-0000-000048010000}"/>
    <cellStyle name="20% - Accent3 2 2 2 2 3 2" xfId="13387" xr:uid="{144ADE9B-4C14-4D7B-972F-D9C705050C44}"/>
    <cellStyle name="20% - Accent3 2 2 2 2 4" xfId="9169" xr:uid="{0A472BF4-9C46-4434-A7A5-D2C40401CC87}"/>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C7880C84-B35D-409D-BB6B-09876E8FD142}"/>
    <cellStyle name="20% - Accent3 2 2 2 3 2 3" xfId="11727" xr:uid="{8EE8F597-CA9A-4657-BC47-AFDFE9D5291E}"/>
    <cellStyle name="20% - Accent3 2 2 2 3 3" xfId="5350" xr:uid="{00000000-0005-0000-0000-00004C010000}"/>
    <cellStyle name="20% - Accent3 2 2 2 3 3 2" xfId="13800" xr:uid="{824AFEFB-56DD-4E27-B942-117C415CAA7C}"/>
    <cellStyle name="20% - Accent3 2 2 2 3 4" xfId="9582" xr:uid="{8505618A-1525-4AA0-B2E0-AB4851C935A3}"/>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F4EF40D4-920A-464B-82C2-55B7C1388434}"/>
    <cellStyle name="20% - Accent3 2 2 2 4 2 3" xfId="12140" xr:uid="{5DF183CA-0BB0-4D79-B1E0-BA89260FBF85}"/>
    <cellStyle name="20% - Accent3 2 2 2 4 3" xfId="5763" xr:uid="{00000000-0005-0000-0000-000050010000}"/>
    <cellStyle name="20% - Accent3 2 2 2 4 3 2" xfId="14213" xr:uid="{E7609E05-13BD-4819-A266-B647E177DEF8}"/>
    <cellStyle name="20% - Accent3 2 2 2 4 4" xfId="9995" xr:uid="{B7ED1536-977A-4DBE-B5BC-A64DD5B0169C}"/>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845B9821-C7BC-460A-8B23-5367A4996E3B}"/>
    <cellStyle name="20% - Accent3 2 2 2 5 2 3" xfId="12553" xr:uid="{B58E7F79-A9B3-4779-B201-20515CCB9BE6}"/>
    <cellStyle name="20% - Accent3 2 2 2 5 3" xfId="6176" xr:uid="{00000000-0005-0000-0000-000054010000}"/>
    <cellStyle name="20% - Accent3 2 2 2 5 3 2" xfId="14626" xr:uid="{C9D040A8-8CE7-4C8D-9624-8FD4FEC5B693}"/>
    <cellStyle name="20% - Accent3 2 2 2 5 4" xfId="10408" xr:uid="{D91D06EC-4CA5-41DE-BAA7-9552EC2BBBB4}"/>
    <cellStyle name="20% - Accent3 2 2 2 6" xfId="2283" xr:uid="{00000000-0005-0000-0000-000055010000}"/>
    <cellStyle name="20% - Accent3 2 2 2 6 2" xfId="6589" xr:uid="{00000000-0005-0000-0000-000056010000}"/>
    <cellStyle name="20% - Accent3 2 2 2 6 2 2" xfId="15039" xr:uid="{1ADAC55B-7020-4D71-93A4-A5E0A6AA2C6E}"/>
    <cellStyle name="20% - Accent3 2 2 2 6 3" xfId="10821" xr:uid="{30AA02CB-0B8E-4CD7-A104-BA04E78B87D0}"/>
    <cellStyle name="20% - Accent3 2 2 2 7" xfId="4523" xr:uid="{00000000-0005-0000-0000-000057010000}"/>
    <cellStyle name="20% - Accent3 2 2 2 7 2" xfId="12973" xr:uid="{37A25A4D-9EB5-4057-8C48-414B4421DB24}"/>
    <cellStyle name="20% - Accent3 2 2 2 8" xfId="8755" xr:uid="{35564E45-29EB-4B75-8ECE-52355113684E}"/>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AD4B5361-3A20-429D-8F5B-31F9311715B4}"/>
    <cellStyle name="20% - Accent3 2 2 3 2 3" xfId="11313" xr:uid="{D189CA5E-2A56-46A1-8231-B7F248CD927C}"/>
    <cellStyle name="20% - Accent3 2 2 3 3" xfId="4936" xr:uid="{00000000-0005-0000-0000-00005B010000}"/>
    <cellStyle name="20% - Accent3 2 2 3 3 2" xfId="13386" xr:uid="{E2E18D79-631B-4FA1-B8A5-EB99A1051359}"/>
    <cellStyle name="20% - Accent3 2 2 3 4" xfId="9168" xr:uid="{DEDF2BB3-E740-4C07-9431-3BFC009F2AD6}"/>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413B152F-B93B-4767-96DE-697D6D610723}"/>
    <cellStyle name="20% - Accent3 2 2 4 2 3" xfId="11726" xr:uid="{3FE13D4B-85E2-47D9-9FF3-92CD726FE400}"/>
    <cellStyle name="20% - Accent3 2 2 4 3" xfId="5349" xr:uid="{00000000-0005-0000-0000-00005F010000}"/>
    <cellStyle name="20% - Accent3 2 2 4 3 2" xfId="13799" xr:uid="{EFAB89BE-B6CB-4982-AEE4-11A247EEB700}"/>
    <cellStyle name="20% - Accent3 2 2 4 4" xfId="9581" xr:uid="{E5F5C6FF-D127-4BF6-8D8C-2C7F907D2FE2}"/>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29DFED5F-545E-40F6-9991-8354DFD6BEA0}"/>
    <cellStyle name="20% - Accent3 2 2 5 2 3" xfId="12139" xr:uid="{312C525D-939B-4CB0-9985-139D7572172E}"/>
    <cellStyle name="20% - Accent3 2 2 5 3" xfId="5762" xr:uid="{00000000-0005-0000-0000-000063010000}"/>
    <cellStyle name="20% - Accent3 2 2 5 3 2" xfId="14212" xr:uid="{B32694B7-F74D-461D-A7E2-3748C087A0D9}"/>
    <cellStyle name="20% - Accent3 2 2 5 4" xfId="9994" xr:uid="{98BDCAF4-C66D-496F-BD88-D13056FB3DA1}"/>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8C3755CD-1F9B-4A73-8928-9094DCD16B91}"/>
    <cellStyle name="20% - Accent3 2 2 6 2 3" xfId="12552" xr:uid="{3E99ADB0-0743-4AE1-9E21-A1163E8E83B4}"/>
    <cellStyle name="20% - Accent3 2 2 6 3" xfId="6175" xr:uid="{00000000-0005-0000-0000-000067010000}"/>
    <cellStyle name="20% - Accent3 2 2 6 3 2" xfId="14625" xr:uid="{CE3B4022-952E-412C-B6A4-758282675DCD}"/>
    <cellStyle name="20% - Accent3 2 2 6 4" xfId="10407" xr:uid="{3EFD43D2-B594-491F-8B57-0F5A7BBD8CEA}"/>
    <cellStyle name="20% - Accent3 2 2 7" xfId="2282" xr:uid="{00000000-0005-0000-0000-000068010000}"/>
    <cellStyle name="20% - Accent3 2 2 7 2" xfId="6588" xr:uid="{00000000-0005-0000-0000-000069010000}"/>
    <cellStyle name="20% - Accent3 2 2 7 2 2" xfId="15038" xr:uid="{3D00F1F3-45AF-4312-94C9-94C544C3B92D}"/>
    <cellStyle name="20% - Accent3 2 2 7 3" xfId="10820" xr:uid="{E821CF8B-F7AC-4955-BE84-EE3A59138E1D}"/>
    <cellStyle name="20% - Accent3 2 2 8" xfId="4522" xr:uid="{00000000-0005-0000-0000-00006A010000}"/>
    <cellStyle name="20% - Accent3 2 2 8 2" xfId="12972" xr:uid="{E5CC9204-C8B5-4A5F-9935-472508F2FE60}"/>
    <cellStyle name="20% - Accent3 2 2 9" xfId="8754" xr:uid="{1DF8310A-09D0-483F-9C1A-43F1077D246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49EDD63E-301E-4935-897B-224DC2154F67}"/>
    <cellStyle name="20% - Accent3 2 3 2 2 3" xfId="11315" xr:uid="{3B1C97B8-E3DF-4E88-AF82-4CA0282AC2E1}"/>
    <cellStyle name="20% - Accent3 2 3 2 3" xfId="4938" xr:uid="{00000000-0005-0000-0000-00006F010000}"/>
    <cellStyle name="20% - Accent3 2 3 2 3 2" xfId="13388" xr:uid="{9D5F7810-B149-48E4-BD36-D89AD10056EF}"/>
    <cellStyle name="20% - Accent3 2 3 2 4" xfId="9170" xr:uid="{5B196C59-FF2F-49F8-A4F4-39578413ED66}"/>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8BEFD6AD-7A1C-42A1-B842-5742E5986E3B}"/>
    <cellStyle name="20% - Accent3 2 3 3 2 3" xfId="11728" xr:uid="{F61063C6-2EA8-4183-845B-887187688997}"/>
    <cellStyle name="20% - Accent3 2 3 3 3" xfId="5351" xr:uid="{00000000-0005-0000-0000-000073010000}"/>
    <cellStyle name="20% - Accent3 2 3 3 3 2" xfId="13801" xr:uid="{FE59D0A8-4B1C-46F9-9077-D4EC37AD49CB}"/>
    <cellStyle name="20% - Accent3 2 3 3 4" xfId="9583" xr:uid="{41D80992-D6DD-4792-80E2-91BE0EA78BD7}"/>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553ED881-D94C-4F6A-8BAA-6E8106F12B3C}"/>
    <cellStyle name="20% - Accent3 2 3 4 2 3" xfId="12141" xr:uid="{214D49BE-95AD-432F-910B-77DDEC80B8B8}"/>
    <cellStyle name="20% - Accent3 2 3 4 3" xfId="5764" xr:uid="{00000000-0005-0000-0000-000077010000}"/>
    <cellStyle name="20% - Accent3 2 3 4 3 2" xfId="14214" xr:uid="{927169DB-EAF4-4B72-B216-4B988F9B9697}"/>
    <cellStyle name="20% - Accent3 2 3 4 4" xfId="9996" xr:uid="{EA34C5A1-AA00-462F-8748-14BE6850D055}"/>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88759702-CA93-4614-BB03-C22CC92409A1}"/>
    <cellStyle name="20% - Accent3 2 3 5 2 3" xfId="12554" xr:uid="{0BFCCB87-6420-4A1B-9A90-C6D87D492E89}"/>
    <cellStyle name="20% - Accent3 2 3 5 3" xfId="6177" xr:uid="{00000000-0005-0000-0000-00007B010000}"/>
    <cellStyle name="20% - Accent3 2 3 5 3 2" xfId="14627" xr:uid="{162C0B38-4E63-4BCB-BB7D-4C8CDB73C842}"/>
    <cellStyle name="20% - Accent3 2 3 5 4" xfId="10409" xr:uid="{FAF4B060-6879-49D9-95AE-B0120CDA813C}"/>
    <cellStyle name="20% - Accent3 2 3 6" xfId="2284" xr:uid="{00000000-0005-0000-0000-00007C010000}"/>
    <cellStyle name="20% - Accent3 2 3 6 2" xfId="6590" xr:uid="{00000000-0005-0000-0000-00007D010000}"/>
    <cellStyle name="20% - Accent3 2 3 6 2 2" xfId="15040" xr:uid="{6A78E148-649C-4A7B-896A-93B23D2B3A87}"/>
    <cellStyle name="20% - Accent3 2 3 6 3" xfId="10822" xr:uid="{C7623742-BED6-4E92-AA81-93CD911C744F}"/>
    <cellStyle name="20% - Accent3 2 3 7" xfId="4524" xr:uid="{00000000-0005-0000-0000-00007E010000}"/>
    <cellStyle name="20% - Accent3 2 3 7 2" xfId="12974" xr:uid="{BA91DC28-5405-4E20-9683-1F8F5513C0D1}"/>
    <cellStyle name="20% - Accent3 2 3 8" xfId="8756" xr:uid="{30622330-3174-4D45-A4CB-21E8C51AB4C9}"/>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026FB01A-9C4E-4442-B68C-C8A54DD6D4C6}"/>
    <cellStyle name="20% - Accent3 2 4 2 3" xfId="11312" xr:uid="{8F5B0406-1D96-493C-A59B-BC54F5214A8E}"/>
    <cellStyle name="20% - Accent3 2 4 3" xfId="4935" xr:uid="{00000000-0005-0000-0000-000082010000}"/>
    <cellStyle name="20% - Accent3 2 4 3 2" xfId="13385" xr:uid="{D650328F-3D08-425C-8571-50871B531514}"/>
    <cellStyle name="20% - Accent3 2 4 4" xfId="9167" xr:uid="{64675685-9C2D-4397-88A6-7F2751FA7FC4}"/>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0326DE2B-53C8-40AA-8553-CD32704CD8F4}"/>
    <cellStyle name="20% - Accent3 2 5 2 3" xfId="11725" xr:uid="{E770D8FC-8F18-42F7-8190-6CE2F63DF017}"/>
    <cellStyle name="20% - Accent3 2 5 3" xfId="5348" xr:uid="{00000000-0005-0000-0000-000086010000}"/>
    <cellStyle name="20% - Accent3 2 5 3 2" xfId="13798" xr:uid="{634698CC-D2B7-4A47-9AC1-E529D39FAAF8}"/>
    <cellStyle name="20% - Accent3 2 5 4" xfId="9580" xr:uid="{9461677D-BBBF-44D4-8569-630F96AA4D8A}"/>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7FA62E74-4502-460B-9673-2D13A5F77146}"/>
    <cellStyle name="20% - Accent3 2 6 2 3" xfId="12138" xr:uid="{A913989C-8867-4166-BAC0-229A301FDF86}"/>
    <cellStyle name="20% - Accent3 2 6 3" xfId="5761" xr:uid="{00000000-0005-0000-0000-00008A010000}"/>
    <cellStyle name="20% - Accent3 2 6 3 2" xfId="14211" xr:uid="{0FAFB708-B07B-4A51-BCC3-198DB3FBC816}"/>
    <cellStyle name="20% - Accent3 2 6 4" xfId="9993" xr:uid="{145C3F06-9F26-4A94-92ED-06B1AEDCDD96}"/>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301E2E65-9BD0-4D14-844B-6FE3F4734686}"/>
    <cellStyle name="20% - Accent3 2 7 2 3" xfId="12551" xr:uid="{AE7B2BEB-3D8B-454D-BB15-C4FA101A0D1F}"/>
    <cellStyle name="20% - Accent3 2 7 3" xfId="6174" xr:uid="{00000000-0005-0000-0000-00008E010000}"/>
    <cellStyle name="20% - Accent3 2 7 3 2" xfId="14624" xr:uid="{2F3F6C29-44FD-4A0D-AAAC-351AC8B6B480}"/>
    <cellStyle name="20% - Accent3 2 7 4" xfId="10406" xr:uid="{09F9EABB-1953-425C-85A7-FEE64C553C17}"/>
    <cellStyle name="20% - Accent3 2 8" xfId="2281" xr:uid="{00000000-0005-0000-0000-00008F010000}"/>
    <cellStyle name="20% - Accent3 2 8 2" xfId="6587" xr:uid="{00000000-0005-0000-0000-000090010000}"/>
    <cellStyle name="20% - Accent3 2 8 2 2" xfId="15037" xr:uid="{C127B739-8635-4ACD-BDC0-985B13540B08}"/>
    <cellStyle name="20% - Accent3 2 8 3" xfId="10819" xr:uid="{45FDDC06-D1EB-43A0-878A-ECC5EA2E68A6}"/>
    <cellStyle name="20% - Accent3 2 9" xfId="4521" xr:uid="{00000000-0005-0000-0000-000091010000}"/>
    <cellStyle name="20% - Accent3 2 9 2" xfId="12971" xr:uid="{BFE0600C-B722-43D2-A12A-C37CBD246C77}"/>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96383239-0962-4817-8364-EB65664AF4D1}"/>
    <cellStyle name="20% - Accent3 3 2 2 2 3" xfId="11317" xr:uid="{50187DDF-0AE7-46F6-A2A2-50EEABFAA26A}"/>
    <cellStyle name="20% - Accent3 3 2 2 3" xfId="4940" xr:uid="{00000000-0005-0000-0000-000097010000}"/>
    <cellStyle name="20% - Accent3 3 2 2 3 2" xfId="13390" xr:uid="{053E26CE-1761-4CFB-BB7F-79CEE1FA6455}"/>
    <cellStyle name="20% - Accent3 3 2 2 4" xfId="9172" xr:uid="{D4896AD7-0055-4D5A-93B7-405ED34A18A4}"/>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B73F4ACD-F1E3-49B5-9A94-9AE4C5FC7CD0}"/>
    <cellStyle name="20% - Accent3 3 2 3 2 3" xfId="11730" xr:uid="{D854221B-7410-4C5F-B43D-B1AB51F3BA2A}"/>
    <cellStyle name="20% - Accent3 3 2 3 3" xfId="5353" xr:uid="{00000000-0005-0000-0000-00009B010000}"/>
    <cellStyle name="20% - Accent3 3 2 3 3 2" xfId="13803" xr:uid="{5281098A-3EE2-4089-A2C3-920AAED98F91}"/>
    <cellStyle name="20% - Accent3 3 2 3 4" xfId="9585" xr:uid="{7902343F-BD7B-42C9-A5DF-8F225C2F38FD}"/>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7ED9C7C8-1992-43AD-BB61-5AB807D041E7}"/>
    <cellStyle name="20% - Accent3 3 2 4 2 3" xfId="12143" xr:uid="{442070BE-D612-4D20-A405-2A5109E56FF4}"/>
    <cellStyle name="20% - Accent3 3 2 4 3" xfId="5766" xr:uid="{00000000-0005-0000-0000-00009F010000}"/>
    <cellStyle name="20% - Accent3 3 2 4 3 2" xfId="14216" xr:uid="{16545A93-4C78-4577-AAF3-423D8DA078B3}"/>
    <cellStyle name="20% - Accent3 3 2 4 4" xfId="9998" xr:uid="{C3D6E039-74D9-4386-92B3-028027369994}"/>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457BB307-B2A5-491C-BDCA-0752628177BE}"/>
    <cellStyle name="20% - Accent3 3 2 5 2 3" xfId="12556" xr:uid="{0184FB5D-C785-4D94-B38C-29FD0678279D}"/>
    <cellStyle name="20% - Accent3 3 2 5 3" xfId="6179" xr:uid="{00000000-0005-0000-0000-0000A3010000}"/>
    <cellStyle name="20% - Accent3 3 2 5 3 2" xfId="14629" xr:uid="{1B2B08D8-E0A3-4E98-A18D-87B706CF4017}"/>
    <cellStyle name="20% - Accent3 3 2 5 4" xfId="10411" xr:uid="{EAC9E098-8601-4944-B621-ED06FD978D73}"/>
    <cellStyle name="20% - Accent3 3 2 6" xfId="2286" xr:uid="{00000000-0005-0000-0000-0000A4010000}"/>
    <cellStyle name="20% - Accent3 3 2 6 2" xfId="6592" xr:uid="{00000000-0005-0000-0000-0000A5010000}"/>
    <cellStyle name="20% - Accent3 3 2 6 2 2" xfId="15042" xr:uid="{E9447559-EC6D-4E60-A19E-BBC497DDB51D}"/>
    <cellStyle name="20% - Accent3 3 2 6 3" xfId="10824" xr:uid="{75746736-F6D3-413E-8E12-85AED976BDF8}"/>
    <cellStyle name="20% - Accent3 3 2 7" xfId="4526" xr:uid="{00000000-0005-0000-0000-0000A6010000}"/>
    <cellStyle name="20% - Accent3 3 2 7 2" xfId="12976" xr:uid="{5F85F787-073F-4D0E-89F4-059E6842781F}"/>
    <cellStyle name="20% - Accent3 3 2 8" xfId="8758" xr:uid="{75ED6DA2-1FB5-43B0-8E1F-E6D080119DCC}"/>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8A52ED79-875A-4A70-A3EE-A39F3DFA467D}"/>
    <cellStyle name="20% - Accent3 3 3 2 3" xfId="11316" xr:uid="{ABFA0CEE-7F57-46B8-B253-3877805887A8}"/>
    <cellStyle name="20% - Accent3 3 3 3" xfId="4939" xr:uid="{00000000-0005-0000-0000-0000AA010000}"/>
    <cellStyle name="20% - Accent3 3 3 3 2" xfId="13389" xr:uid="{3E93E4F8-8ED9-4593-A7E6-0FB8EF62BFAB}"/>
    <cellStyle name="20% - Accent3 3 3 4" xfId="9171" xr:uid="{DFD0D9D3-E687-4C9B-9178-F80A770F00BC}"/>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10F963A4-E6AA-4B41-89FF-8066C4DF44C5}"/>
    <cellStyle name="20% - Accent3 3 4 2 3" xfId="11729" xr:uid="{6896A8C5-3D7F-428D-9495-1067F998BF82}"/>
    <cellStyle name="20% - Accent3 3 4 3" xfId="5352" xr:uid="{00000000-0005-0000-0000-0000AE010000}"/>
    <cellStyle name="20% - Accent3 3 4 3 2" xfId="13802" xr:uid="{6D69F2C3-3F40-4E52-9F8C-F39870F1445A}"/>
    <cellStyle name="20% - Accent3 3 4 4" xfId="9584" xr:uid="{626B18CA-44B7-4522-A812-337D059BD670}"/>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74B97CC2-D584-4F50-BFDD-A9DE663576DC}"/>
    <cellStyle name="20% - Accent3 3 5 2 3" xfId="12142" xr:uid="{3D434795-07E3-4772-A7B9-9FF386238384}"/>
    <cellStyle name="20% - Accent3 3 5 3" xfId="5765" xr:uid="{00000000-0005-0000-0000-0000B2010000}"/>
    <cellStyle name="20% - Accent3 3 5 3 2" xfId="14215" xr:uid="{E21DEAD6-D442-4207-906D-BF2E05948C37}"/>
    <cellStyle name="20% - Accent3 3 5 4" xfId="9997" xr:uid="{32FE83B8-5E26-4BF8-9E3E-E681C04669C4}"/>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14408693-2857-49BD-ACF9-BC09C53951F9}"/>
    <cellStyle name="20% - Accent3 3 6 2 3" xfId="12555" xr:uid="{00866F14-FC6E-4765-A80F-FCE101EA2916}"/>
    <cellStyle name="20% - Accent3 3 6 3" xfId="6178" xr:uid="{00000000-0005-0000-0000-0000B6010000}"/>
    <cellStyle name="20% - Accent3 3 6 3 2" xfId="14628" xr:uid="{AF00459E-2874-4952-AE5C-6EB830593FEE}"/>
    <cellStyle name="20% - Accent3 3 6 4" xfId="10410" xr:uid="{473654D2-F4B2-4F98-8E2E-4DC11CF74D05}"/>
    <cellStyle name="20% - Accent3 3 7" xfId="2285" xr:uid="{00000000-0005-0000-0000-0000B7010000}"/>
    <cellStyle name="20% - Accent3 3 7 2" xfId="6591" xr:uid="{00000000-0005-0000-0000-0000B8010000}"/>
    <cellStyle name="20% - Accent3 3 7 2 2" xfId="15041" xr:uid="{33CB3382-7A80-4622-8154-B68B7E1BF941}"/>
    <cellStyle name="20% - Accent3 3 7 3" xfId="10823" xr:uid="{E20E93A1-EF58-4961-B6C4-20CC65CE18AA}"/>
    <cellStyle name="20% - Accent3 3 8" xfId="4525" xr:uid="{00000000-0005-0000-0000-0000B9010000}"/>
    <cellStyle name="20% - Accent3 3 8 2" xfId="12975" xr:uid="{3496E261-1E79-43C2-9D77-1ACF87A1D4A7}"/>
    <cellStyle name="20% - Accent3 3 9" xfId="8757" xr:uid="{87A6DACE-8576-41BD-A1EC-8F23798EDBFC}"/>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6A5E2752-7E9B-442E-972C-57FAC40F9969}"/>
    <cellStyle name="20% - Accent3 4 2 2 3" xfId="11318" xr:uid="{AFD668CA-11E5-4435-8759-25554C0E79CA}"/>
    <cellStyle name="20% - Accent3 4 2 3" xfId="4941" xr:uid="{00000000-0005-0000-0000-0000BE010000}"/>
    <cellStyle name="20% - Accent3 4 2 3 2" xfId="13391" xr:uid="{66925DF5-4804-4D7B-8AED-A05EAE3D3F79}"/>
    <cellStyle name="20% - Accent3 4 2 4" xfId="9173" xr:uid="{11AB94EA-C985-44C5-A374-B37A75654B90}"/>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D946AC0E-A76C-4009-9DDF-62F3F57DE5CC}"/>
    <cellStyle name="20% - Accent3 4 3 2 3" xfId="11731" xr:uid="{64AAECA5-A5F8-446A-8378-0E5B7B4B2C90}"/>
    <cellStyle name="20% - Accent3 4 3 3" xfId="5354" xr:uid="{00000000-0005-0000-0000-0000C2010000}"/>
    <cellStyle name="20% - Accent3 4 3 3 2" xfId="13804" xr:uid="{C9CF3A7E-A7FC-4BA6-9F02-466D74B87A1A}"/>
    <cellStyle name="20% - Accent3 4 3 4" xfId="9586" xr:uid="{CC081016-9711-4D76-AAAA-128216653D1B}"/>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7C52B219-1BB2-47B5-A0C6-3A7A30E57B92}"/>
    <cellStyle name="20% - Accent3 4 4 2 3" xfId="12144" xr:uid="{1504DA01-01B7-4970-A2B4-9E21206D2DE4}"/>
    <cellStyle name="20% - Accent3 4 4 3" xfId="5767" xr:uid="{00000000-0005-0000-0000-0000C6010000}"/>
    <cellStyle name="20% - Accent3 4 4 3 2" xfId="14217" xr:uid="{C0C5C3D9-0716-4FD6-B772-D44508E91D4A}"/>
    <cellStyle name="20% - Accent3 4 4 4" xfId="9999" xr:uid="{5F28DBDA-2BE1-47F3-BFAB-D3E62281516A}"/>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8AE76B64-E6D8-4DB3-8AE5-2AA7EC3FD2BD}"/>
    <cellStyle name="20% - Accent3 4 5 2 3" xfId="12557" xr:uid="{8505762B-FEBD-4761-9AF2-B472EE1992F6}"/>
    <cellStyle name="20% - Accent3 4 5 3" xfId="6180" xr:uid="{00000000-0005-0000-0000-0000CA010000}"/>
    <cellStyle name="20% - Accent3 4 5 3 2" xfId="14630" xr:uid="{47B41E5E-4353-4946-BCEA-0DDAB7B9DD1B}"/>
    <cellStyle name="20% - Accent3 4 5 4" xfId="10412" xr:uid="{151586C3-237F-4B2E-857C-CE7518F555DF}"/>
    <cellStyle name="20% - Accent3 4 6" xfId="2287" xr:uid="{00000000-0005-0000-0000-0000CB010000}"/>
    <cellStyle name="20% - Accent3 4 6 2" xfId="6593" xr:uid="{00000000-0005-0000-0000-0000CC010000}"/>
    <cellStyle name="20% - Accent3 4 6 2 2" xfId="15043" xr:uid="{7695BC61-DE6A-4822-B3FD-FC55167C56F6}"/>
    <cellStyle name="20% - Accent3 4 6 3" xfId="10825" xr:uid="{BA5EEE66-D15A-43C4-86A9-D31366C2E091}"/>
    <cellStyle name="20% - Accent3 4 7" xfId="4527" xr:uid="{00000000-0005-0000-0000-0000CD010000}"/>
    <cellStyle name="20% - Accent3 4 7 2" xfId="12977" xr:uid="{EF944451-53E5-40E5-8EAD-F1C2D820F77C}"/>
    <cellStyle name="20% - Accent3 4 8" xfId="8759" xr:uid="{B2282C0B-BB74-41DC-B92A-3E0637D23F3B}"/>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E60DF284-20D1-4FC2-81B5-9A8972676B95}"/>
    <cellStyle name="20% - Accent3 5 2 3" xfId="11311" xr:uid="{EB46EFD7-90CA-4C85-B42A-763997806914}"/>
    <cellStyle name="20% - Accent3 5 3" xfId="4934" xr:uid="{00000000-0005-0000-0000-0000D1010000}"/>
    <cellStyle name="20% - Accent3 5 3 2" xfId="13384" xr:uid="{94276FCF-3FFB-4576-907A-8E91B6B55B50}"/>
    <cellStyle name="20% - Accent3 5 4" xfId="9166" xr:uid="{47A69DDF-3CEB-46EB-AD81-981D51D0E6EA}"/>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A0720E33-B2A3-4E24-A150-DEB87B144159}"/>
    <cellStyle name="20% - Accent3 6 2 3" xfId="11724" xr:uid="{569427F3-144E-492F-92F7-3B026BA7ACA7}"/>
    <cellStyle name="20% - Accent3 6 3" xfId="5347" xr:uid="{00000000-0005-0000-0000-0000D5010000}"/>
    <cellStyle name="20% - Accent3 6 3 2" xfId="13797" xr:uid="{609AC864-B63B-41D4-8049-6E1928924E57}"/>
    <cellStyle name="20% - Accent3 6 4" xfId="9579" xr:uid="{A82B77E7-AE2F-4693-8DEF-CD922B787845}"/>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BB8B6FA7-E1EC-4F03-BC28-0CD71B03609B}"/>
    <cellStyle name="20% - Accent3 7 2 3" xfId="12137" xr:uid="{AA73CF59-BC7E-4244-8EF0-9C1C1E431803}"/>
    <cellStyle name="20% - Accent3 7 3" xfId="5760" xr:uid="{00000000-0005-0000-0000-0000D9010000}"/>
    <cellStyle name="20% - Accent3 7 3 2" xfId="14210" xr:uid="{7F4CE633-A146-4355-B136-A026F29C6C36}"/>
    <cellStyle name="20% - Accent3 7 4" xfId="9992" xr:uid="{C25662C9-0FDE-4D35-AEE2-886B1047FCA6}"/>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85EC08A7-CC5C-44E1-BA78-9FF5572B94FF}"/>
    <cellStyle name="20% - Accent3 8 2 3" xfId="12550" xr:uid="{9F619EF2-72F5-41F2-A787-6D6678AA9FFA}"/>
    <cellStyle name="20% - Accent3 8 3" xfId="6173" xr:uid="{00000000-0005-0000-0000-0000DD010000}"/>
    <cellStyle name="20% - Accent3 8 3 2" xfId="14623" xr:uid="{6183FC3F-BF68-4496-9821-5854E49547C6}"/>
    <cellStyle name="20% - Accent3 8 4" xfId="10405" xr:uid="{EC12FD05-F6B3-4723-A00A-F5ED431A67FA}"/>
    <cellStyle name="20% - Accent3 9" xfId="2280" xr:uid="{00000000-0005-0000-0000-0000DE010000}"/>
    <cellStyle name="20% - Accent3 9 2" xfId="6586" xr:uid="{00000000-0005-0000-0000-0000DF010000}"/>
    <cellStyle name="20% - Accent3 9 2 2" xfId="15036" xr:uid="{A56BF9DC-71F8-49D3-AECC-8254AD01AF2A}"/>
    <cellStyle name="20% - Accent3 9 3" xfId="10818" xr:uid="{F3F594F8-9A35-4F09-8533-2CDA1AE9FDF4}"/>
    <cellStyle name="20% - Accent4" xfId="25" builtinId="42" customBuiltin="1"/>
    <cellStyle name="20% - Accent4 10" xfId="4528" xr:uid="{00000000-0005-0000-0000-0000E1010000}"/>
    <cellStyle name="20% - Accent4 10 2" xfId="12978" xr:uid="{8DDA581E-D7AC-4D77-92E9-9E1B60B2C72C}"/>
    <cellStyle name="20% - Accent4 11" xfId="8760" xr:uid="{8C03D37F-4311-4B7B-8C56-B4812BDF37B8}"/>
    <cellStyle name="20% - Accent4 2" xfId="26" xr:uid="{00000000-0005-0000-0000-0000E2010000}"/>
    <cellStyle name="20% - Accent4 2 10" xfId="8761" xr:uid="{B563A78D-C90D-453C-86DF-7E5941213B3D}"/>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BE0E273A-D8EA-4E05-B3EB-4DC053D9F4AC}"/>
    <cellStyle name="20% - Accent4 2 2 2 2 2 3" xfId="11322" xr:uid="{0D97AB85-A56A-4E84-849A-4379C00CC759}"/>
    <cellStyle name="20% - Accent4 2 2 2 2 3" xfId="4945" xr:uid="{00000000-0005-0000-0000-0000E8010000}"/>
    <cellStyle name="20% - Accent4 2 2 2 2 3 2" xfId="13395" xr:uid="{0DF9326F-B92E-4301-B0B8-F24ADB2EA568}"/>
    <cellStyle name="20% - Accent4 2 2 2 2 4" xfId="9177" xr:uid="{FAB60FD6-057A-410B-A337-98858938D44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F6696EA4-2B60-4AC6-91B3-0AF06B62B0CC}"/>
    <cellStyle name="20% - Accent4 2 2 2 3 2 3" xfId="11735" xr:uid="{CC351913-C5FE-47AE-B24B-77846DBE5263}"/>
    <cellStyle name="20% - Accent4 2 2 2 3 3" xfId="5358" xr:uid="{00000000-0005-0000-0000-0000EC010000}"/>
    <cellStyle name="20% - Accent4 2 2 2 3 3 2" xfId="13808" xr:uid="{6F7D5EE3-4E37-4C33-9517-85286A8F60E4}"/>
    <cellStyle name="20% - Accent4 2 2 2 3 4" xfId="9590" xr:uid="{7DE52F57-4C3E-46E7-A53A-A39BA3F239C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4D6AD784-78F2-4459-B521-9A4E39CA7ABA}"/>
    <cellStyle name="20% - Accent4 2 2 2 4 2 3" xfId="12148" xr:uid="{8081F2A9-EE28-44A3-B96E-E4C674FB5C44}"/>
    <cellStyle name="20% - Accent4 2 2 2 4 3" xfId="5771" xr:uid="{00000000-0005-0000-0000-0000F0010000}"/>
    <cellStyle name="20% - Accent4 2 2 2 4 3 2" xfId="14221" xr:uid="{8058D12D-D019-478A-9E34-716AA6EA444A}"/>
    <cellStyle name="20% - Accent4 2 2 2 4 4" xfId="10003" xr:uid="{68608762-9138-4A59-809D-32DC4911DAF1}"/>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96E49999-BAAC-4D38-9137-050469B29FBB}"/>
    <cellStyle name="20% - Accent4 2 2 2 5 2 3" xfId="12561" xr:uid="{166C1189-CA55-4C55-9746-DF80696BAF0F}"/>
    <cellStyle name="20% - Accent4 2 2 2 5 3" xfId="6184" xr:uid="{00000000-0005-0000-0000-0000F4010000}"/>
    <cellStyle name="20% - Accent4 2 2 2 5 3 2" xfId="14634" xr:uid="{D34B9A37-70CE-4B86-A3EA-595BE2C1C2FA}"/>
    <cellStyle name="20% - Accent4 2 2 2 5 4" xfId="10416" xr:uid="{0F6A0E52-3C50-4D62-9A3C-26B399D164EA}"/>
    <cellStyle name="20% - Accent4 2 2 2 6" xfId="2291" xr:uid="{00000000-0005-0000-0000-0000F5010000}"/>
    <cellStyle name="20% - Accent4 2 2 2 6 2" xfId="6597" xr:uid="{00000000-0005-0000-0000-0000F6010000}"/>
    <cellStyle name="20% - Accent4 2 2 2 6 2 2" xfId="15047" xr:uid="{04496B8C-6922-4F01-9B9F-BCC6F7F5EE25}"/>
    <cellStyle name="20% - Accent4 2 2 2 6 3" xfId="10829" xr:uid="{BAC46E60-CA87-43D8-97F3-EC6BA896DB1A}"/>
    <cellStyle name="20% - Accent4 2 2 2 7" xfId="4531" xr:uid="{00000000-0005-0000-0000-0000F7010000}"/>
    <cellStyle name="20% - Accent4 2 2 2 7 2" xfId="12981" xr:uid="{83F81AB4-F94F-4D84-B611-ED33024ADC94}"/>
    <cellStyle name="20% - Accent4 2 2 2 8" xfId="8763" xr:uid="{A955300C-05A4-438A-8188-061E5F77DE16}"/>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5E1009A2-1284-4EFD-B461-146EA8A4BEF7}"/>
    <cellStyle name="20% - Accent4 2 2 3 2 3" xfId="11321" xr:uid="{444B77AC-DEB6-4030-B78F-8EF29E58F7F8}"/>
    <cellStyle name="20% - Accent4 2 2 3 3" xfId="4944" xr:uid="{00000000-0005-0000-0000-0000FB010000}"/>
    <cellStyle name="20% - Accent4 2 2 3 3 2" xfId="13394" xr:uid="{89CE59FE-6A1E-4E63-A7AD-1B6138874C32}"/>
    <cellStyle name="20% - Accent4 2 2 3 4" xfId="9176" xr:uid="{C53EEC83-61AA-4773-B49C-C185A4336AF4}"/>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E0AAC1A6-B341-4C26-92D0-F48515767A40}"/>
    <cellStyle name="20% - Accent4 2 2 4 2 3" xfId="11734" xr:uid="{E2BEE9A0-ED96-49DA-8D86-F3DC5D422524}"/>
    <cellStyle name="20% - Accent4 2 2 4 3" xfId="5357" xr:uid="{00000000-0005-0000-0000-0000FF010000}"/>
    <cellStyle name="20% - Accent4 2 2 4 3 2" xfId="13807" xr:uid="{50EF64BD-754F-496D-906D-DB5AB2AACC6C}"/>
    <cellStyle name="20% - Accent4 2 2 4 4" xfId="9589" xr:uid="{D235D596-C56D-45DC-9E35-2ACF9ECED402}"/>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94718106-E0D9-4DBB-8DFC-CFC85353FBFB}"/>
    <cellStyle name="20% - Accent4 2 2 5 2 3" xfId="12147" xr:uid="{01105FB6-9214-4D2A-A31B-4F205B6ECCB1}"/>
    <cellStyle name="20% - Accent4 2 2 5 3" xfId="5770" xr:uid="{00000000-0005-0000-0000-000003020000}"/>
    <cellStyle name="20% - Accent4 2 2 5 3 2" xfId="14220" xr:uid="{3E04AEFE-3070-4F3D-89B4-5B1C6859245B}"/>
    <cellStyle name="20% - Accent4 2 2 5 4" xfId="10002" xr:uid="{6F791F05-3CCF-4140-AADB-A7C2B08C3696}"/>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7C7AE510-C54E-4F13-8D85-1E5CC783F617}"/>
    <cellStyle name="20% - Accent4 2 2 6 2 3" xfId="12560" xr:uid="{6FDE6E2E-7B55-4FA8-BF2A-11DD4B53D435}"/>
    <cellStyle name="20% - Accent4 2 2 6 3" xfId="6183" xr:uid="{00000000-0005-0000-0000-000007020000}"/>
    <cellStyle name="20% - Accent4 2 2 6 3 2" xfId="14633" xr:uid="{8D83FCDC-D067-4EB1-974A-3E4B30979025}"/>
    <cellStyle name="20% - Accent4 2 2 6 4" xfId="10415" xr:uid="{8788FE87-C297-458E-913C-5DBCB3EF6AA7}"/>
    <cellStyle name="20% - Accent4 2 2 7" xfId="2290" xr:uid="{00000000-0005-0000-0000-000008020000}"/>
    <cellStyle name="20% - Accent4 2 2 7 2" xfId="6596" xr:uid="{00000000-0005-0000-0000-000009020000}"/>
    <cellStyle name="20% - Accent4 2 2 7 2 2" xfId="15046" xr:uid="{0868C0A9-4FD5-4A22-8495-DB4E54F817AC}"/>
    <cellStyle name="20% - Accent4 2 2 7 3" xfId="10828" xr:uid="{EEA193BC-5357-41E3-9EF5-7B980BF7EE81}"/>
    <cellStyle name="20% - Accent4 2 2 8" xfId="4530" xr:uid="{00000000-0005-0000-0000-00000A020000}"/>
    <cellStyle name="20% - Accent4 2 2 8 2" xfId="12980" xr:uid="{85D4E421-9EBF-4ED5-8DB9-CD6BC7CC649A}"/>
    <cellStyle name="20% - Accent4 2 2 9" xfId="8762" xr:uid="{E0A269EF-7C4C-407D-A855-0D9037C50D6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C3CBFEAA-6CD8-4F91-8A83-DFC79E267EE1}"/>
    <cellStyle name="20% - Accent4 2 3 2 2 3" xfId="11323" xr:uid="{210E140C-2ED0-44B4-81BA-107B9911D602}"/>
    <cellStyle name="20% - Accent4 2 3 2 3" xfId="4946" xr:uid="{00000000-0005-0000-0000-00000F020000}"/>
    <cellStyle name="20% - Accent4 2 3 2 3 2" xfId="13396" xr:uid="{16E93BC7-4D7D-46D9-B401-E6B2B0170798}"/>
    <cellStyle name="20% - Accent4 2 3 2 4" xfId="9178" xr:uid="{DB483F73-4FF7-49C8-9BEB-FB550BF97887}"/>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D72EC4DA-6BBE-4D02-B3D3-8DBDF1BA031F}"/>
    <cellStyle name="20% - Accent4 2 3 3 2 3" xfId="11736" xr:uid="{9556EB2E-5796-4407-B719-B255E2C5169F}"/>
    <cellStyle name="20% - Accent4 2 3 3 3" xfId="5359" xr:uid="{00000000-0005-0000-0000-000013020000}"/>
    <cellStyle name="20% - Accent4 2 3 3 3 2" xfId="13809" xr:uid="{6DA02616-C2EB-4EB8-A3CB-06220E7BBF3B}"/>
    <cellStyle name="20% - Accent4 2 3 3 4" xfId="9591" xr:uid="{9107DFFC-FCA1-4F14-B353-F1D82A3802DA}"/>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6A454F1B-0CC8-40B6-B010-EA6922FF1782}"/>
    <cellStyle name="20% - Accent4 2 3 4 2 3" xfId="12149" xr:uid="{FF9C0190-E773-489B-82FD-825DFCD444CA}"/>
    <cellStyle name="20% - Accent4 2 3 4 3" xfId="5772" xr:uid="{00000000-0005-0000-0000-000017020000}"/>
    <cellStyle name="20% - Accent4 2 3 4 3 2" xfId="14222" xr:uid="{252D3E57-4F07-40AD-86A0-6F02C4C73982}"/>
    <cellStyle name="20% - Accent4 2 3 4 4" xfId="10004" xr:uid="{DED99A97-BC34-4B74-812C-5E4B0751FDB4}"/>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6DA3F7F3-B0C2-4642-83A2-EDC66AACDE37}"/>
    <cellStyle name="20% - Accent4 2 3 5 2 3" xfId="12562" xr:uid="{8AC61FFA-9D5B-4748-9231-C129094D3A08}"/>
    <cellStyle name="20% - Accent4 2 3 5 3" xfId="6185" xr:uid="{00000000-0005-0000-0000-00001B020000}"/>
    <cellStyle name="20% - Accent4 2 3 5 3 2" xfId="14635" xr:uid="{5FA1D8E6-845C-42FA-890D-B422CEC19947}"/>
    <cellStyle name="20% - Accent4 2 3 5 4" xfId="10417" xr:uid="{FDE4A400-4625-4EDC-9F82-C40F9221B761}"/>
    <cellStyle name="20% - Accent4 2 3 6" xfId="2292" xr:uid="{00000000-0005-0000-0000-00001C020000}"/>
    <cellStyle name="20% - Accent4 2 3 6 2" xfId="6598" xr:uid="{00000000-0005-0000-0000-00001D020000}"/>
    <cellStyle name="20% - Accent4 2 3 6 2 2" xfId="15048" xr:uid="{C7AF4A3E-9636-43F0-B4A7-E3FE35027CD8}"/>
    <cellStyle name="20% - Accent4 2 3 6 3" xfId="10830" xr:uid="{E6494A05-A27A-4D75-84D9-6B8C9176A2BA}"/>
    <cellStyle name="20% - Accent4 2 3 7" xfId="4532" xr:uid="{00000000-0005-0000-0000-00001E020000}"/>
    <cellStyle name="20% - Accent4 2 3 7 2" xfId="12982" xr:uid="{590A2A79-1F60-4E1E-9D62-94B6E3A6EC0A}"/>
    <cellStyle name="20% - Accent4 2 3 8" xfId="8764" xr:uid="{16020DC7-6AC6-4C9A-B7F1-3DF4D8353C59}"/>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CC573CB4-315F-4D96-862D-A82E177DDD61}"/>
    <cellStyle name="20% - Accent4 2 4 2 3" xfId="11320" xr:uid="{9BFD1CB2-D5CE-4EF4-BDDD-17098D95026A}"/>
    <cellStyle name="20% - Accent4 2 4 3" xfId="4943" xr:uid="{00000000-0005-0000-0000-000022020000}"/>
    <cellStyle name="20% - Accent4 2 4 3 2" xfId="13393" xr:uid="{92A0BC5D-DCCA-4381-A6E7-8E7BEF6944B4}"/>
    <cellStyle name="20% - Accent4 2 4 4" xfId="9175" xr:uid="{07EE81EF-A605-445B-BE4F-A247A1F1274F}"/>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4247F09D-7530-4B37-B5EE-A01D146ADBB6}"/>
    <cellStyle name="20% - Accent4 2 5 2 3" xfId="11733" xr:uid="{7AEDD20A-513E-4380-B7DA-E390F6F6B28C}"/>
    <cellStyle name="20% - Accent4 2 5 3" xfId="5356" xr:uid="{00000000-0005-0000-0000-000026020000}"/>
    <cellStyle name="20% - Accent4 2 5 3 2" xfId="13806" xr:uid="{5BB06B30-630A-4B63-A64B-792959CF513A}"/>
    <cellStyle name="20% - Accent4 2 5 4" xfId="9588" xr:uid="{8B7F2A6B-620F-4242-8126-FDAF5A1F1668}"/>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75673FA6-2E3F-47AA-8BE2-ABFDADF768B9}"/>
    <cellStyle name="20% - Accent4 2 6 2 3" xfId="12146" xr:uid="{7BBA134C-1F94-4D55-A388-2EE04B3D5E66}"/>
    <cellStyle name="20% - Accent4 2 6 3" xfId="5769" xr:uid="{00000000-0005-0000-0000-00002A020000}"/>
    <cellStyle name="20% - Accent4 2 6 3 2" xfId="14219" xr:uid="{1F992CB1-81A0-4487-A967-942B511890C3}"/>
    <cellStyle name="20% - Accent4 2 6 4" xfId="10001" xr:uid="{F8D433E0-5E39-4C76-91AA-C60022EADFA0}"/>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8FF88571-4A04-4A84-B085-109EBEEB227A}"/>
    <cellStyle name="20% - Accent4 2 7 2 3" xfId="12559" xr:uid="{359017D4-1D58-435A-9303-FAF64D7A1F4F}"/>
    <cellStyle name="20% - Accent4 2 7 3" xfId="6182" xr:uid="{00000000-0005-0000-0000-00002E020000}"/>
    <cellStyle name="20% - Accent4 2 7 3 2" xfId="14632" xr:uid="{FF693187-28F3-42BA-B80C-12CD7F3576E2}"/>
    <cellStyle name="20% - Accent4 2 7 4" xfId="10414" xr:uid="{E41CB303-4D04-4C9C-A663-272812794F19}"/>
    <cellStyle name="20% - Accent4 2 8" xfId="2289" xr:uid="{00000000-0005-0000-0000-00002F020000}"/>
    <cellStyle name="20% - Accent4 2 8 2" xfId="6595" xr:uid="{00000000-0005-0000-0000-000030020000}"/>
    <cellStyle name="20% - Accent4 2 8 2 2" xfId="15045" xr:uid="{EC5A0E35-3063-4452-AD18-39FC0BAED873}"/>
    <cellStyle name="20% - Accent4 2 8 3" xfId="10827" xr:uid="{4C87105F-3633-4DE2-BDF1-95047DED6DB0}"/>
    <cellStyle name="20% - Accent4 2 9" xfId="4529" xr:uid="{00000000-0005-0000-0000-000031020000}"/>
    <cellStyle name="20% - Accent4 2 9 2" xfId="12979" xr:uid="{8AE98CE7-FF85-4485-A8EF-06F9434FB6F8}"/>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17940CF0-B6A6-4A0A-A1B6-B29F4036F9A3}"/>
    <cellStyle name="20% - Accent4 3 2 2 2 3" xfId="11325" xr:uid="{22D1D8E9-F145-4028-9DE4-AC553FB41196}"/>
    <cellStyle name="20% - Accent4 3 2 2 3" xfId="4948" xr:uid="{00000000-0005-0000-0000-000037020000}"/>
    <cellStyle name="20% - Accent4 3 2 2 3 2" xfId="13398" xr:uid="{DAF9BDE1-8BDF-43C6-85EB-282F1F66008A}"/>
    <cellStyle name="20% - Accent4 3 2 2 4" xfId="9180" xr:uid="{F3C5860F-5FF6-47EB-9952-5E61DBC881F0}"/>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5778B038-E06D-4055-BB7F-E7A8E23AB68A}"/>
    <cellStyle name="20% - Accent4 3 2 3 2 3" xfId="11738" xr:uid="{BC33061C-FC5A-47D2-A2BC-1CE1F012CECE}"/>
    <cellStyle name="20% - Accent4 3 2 3 3" xfId="5361" xr:uid="{00000000-0005-0000-0000-00003B020000}"/>
    <cellStyle name="20% - Accent4 3 2 3 3 2" xfId="13811" xr:uid="{6C8C892A-5B70-4825-9C85-F6CB62D78023}"/>
    <cellStyle name="20% - Accent4 3 2 3 4" xfId="9593" xr:uid="{D989036B-010C-43B2-AC04-EAB6E5F6D969}"/>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4AE06714-F892-47FB-99A9-2C351AB4BC59}"/>
    <cellStyle name="20% - Accent4 3 2 4 2 3" xfId="12151" xr:uid="{96E53CE1-E878-4370-9E64-7C23B992F216}"/>
    <cellStyle name="20% - Accent4 3 2 4 3" xfId="5774" xr:uid="{00000000-0005-0000-0000-00003F020000}"/>
    <cellStyle name="20% - Accent4 3 2 4 3 2" xfId="14224" xr:uid="{FAD11173-E22A-47F0-8AFA-956C4BF83CD9}"/>
    <cellStyle name="20% - Accent4 3 2 4 4" xfId="10006" xr:uid="{12C3EB72-ADFA-4CD5-98A0-A877C702B432}"/>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C836666F-F5ED-46E8-87B3-83D115CFBA46}"/>
    <cellStyle name="20% - Accent4 3 2 5 2 3" xfId="12564" xr:uid="{D7870204-D651-41F8-AEF0-9EB24BF5089C}"/>
    <cellStyle name="20% - Accent4 3 2 5 3" xfId="6187" xr:uid="{00000000-0005-0000-0000-000043020000}"/>
    <cellStyle name="20% - Accent4 3 2 5 3 2" xfId="14637" xr:uid="{6BB0C139-1F1B-4C72-9251-588D3EF29089}"/>
    <cellStyle name="20% - Accent4 3 2 5 4" xfId="10419" xr:uid="{8B9A20E8-B900-488E-86C2-552474B58E66}"/>
    <cellStyle name="20% - Accent4 3 2 6" xfId="2294" xr:uid="{00000000-0005-0000-0000-000044020000}"/>
    <cellStyle name="20% - Accent4 3 2 6 2" xfId="6600" xr:uid="{00000000-0005-0000-0000-000045020000}"/>
    <cellStyle name="20% - Accent4 3 2 6 2 2" xfId="15050" xr:uid="{F6AB50E3-CA52-4F78-8A0E-0FD9DB12E306}"/>
    <cellStyle name="20% - Accent4 3 2 6 3" xfId="10832" xr:uid="{ACD2706C-1F0F-4B53-BEC3-67AB970F196C}"/>
    <cellStyle name="20% - Accent4 3 2 7" xfId="4534" xr:uid="{00000000-0005-0000-0000-000046020000}"/>
    <cellStyle name="20% - Accent4 3 2 7 2" xfId="12984" xr:uid="{DA37130F-7E61-4CB6-9FBF-F3AA0B620580}"/>
    <cellStyle name="20% - Accent4 3 2 8" xfId="8766" xr:uid="{602499A5-CD11-4FD3-BE39-DF8FE8BB1228}"/>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8C3BAD42-FB1B-42C8-B0E1-7AD89AE3FC25}"/>
    <cellStyle name="20% - Accent4 3 3 2 3" xfId="11324" xr:uid="{17A80546-BCDD-471E-A528-8A73C40047EF}"/>
    <cellStyle name="20% - Accent4 3 3 3" xfId="4947" xr:uid="{00000000-0005-0000-0000-00004A020000}"/>
    <cellStyle name="20% - Accent4 3 3 3 2" xfId="13397" xr:uid="{DDF98D7E-4380-4E20-98CD-1084D8971E6F}"/>
    <cellStyle name="20% - Accent4 3 3 4" xfId="9179" xr:uid="{ADC2043C-2B66-4734-BCC5-0A578F0392B4}"/>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C8A64AB1-7116-4441-BE30-74F1AA3DCA91}"/>
    <cellStyle name="20% - Accent4 3 4 2 3" xfId="11737" xr:uid="{A53ADC53-2F16-45FC-A7F3-B5A7AEFFDA17}"/>
    <cellStyle name="20% - Accent4 3 4 3" xfId="5360" xr:uid="{00000000-0005-0000-0000-00004E020000}"/>
    <cellStyle name="20% - Accent4 3 4 3 2" xfId="13810" xr:uid="{6B51747E-1306-480A-9786-3E0F4488036F}"/>
    <cellStyle name="20% - Accent4 3 4 4" xfId="9592" xr:uid="{ED59A832-B052-429F-97D7-24AECDCC9E03}"/>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34EF9B6F-F172-4DD2-B8A8-79BB98872356}"/>
    <cellStyle name="20% - Accent4 3 5 2 3" xfId="12150" xr:uid="{25C5CAD2-350F-47A3-82F3-DF6E69DE00A1}"/>
    <cellStyle name="20% - Accent4 3 5 3" xfId="5773" xr:uid="{00000000-0005-0000-0000-000052020000}"/>
    <cellStyle name="20% - Accent4 3 5 3 2" xfId="14223" xr:uid="{FE6E3621-E861-4A99-A6D2-3302B4076EF0}"/>
    <cellStyle name="20% - Accent4 3 5 4" xfId="10005" xr:uid="{077DDA90-1D98-4180-9FC1-8C342DB98786}"/>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C843BFED-41C2-408C-BC03-A2DFEC585D3E}"/>
    <cellStyle name="20% - Accent4 3 6 2 3" xfId="12563" xr:uid="{7F22DD44-6C36-4DD4-B87A-E549C5B8C61B}"/>
    <cellStyle name="20% - Accent4 3 6 3" xfId="6186" xr:uid="{00000000-0005-0000-0000-000056020000}"/>
    <cellStyle name="20% - Accent4 3 6 3 2" xfId="14636" xr:uid="{5EAAE2D7-B0E0-411B-AB1E-5F684DA64376}"/>
    <cellStyle name="20% - Accent4 3 6 4" xfId="10418" xr:uid="{A31A9E06-2AD0-4B23-8316-D4FEF593D4E3}"/>
    <cellStyle name="20% - Accent4 3 7" xfId="2293" xr:uid="{00000000-0005-0000-0000-000057020000}"/>
    <cellStyle name="20% - Accent4 3 7 2" xfId="6599" xr:uid="{00000000-0005-0000-0000-000058020000}"/>
    <cellStyle name="20% - Accent4 3 7 2 2" xfId="15049" xr:uid="{EEB6F364-CC97-4F6E-8103-EF09B28B8CE0}"/>
    <cellStyle name="20% - Accent4 3 7 3" xfId="10831" xr:uid="{079BC98D-B81B-44EF-889A-B41D52577E85}"/>
    <cellStyle name="20% - Accent4 3 8" xfId="4533" xr:uid="{00000000-0005-0000-0000-000059020000}"/>
    <cellStyle name="20% - Accent4 3 8 2" xfId="12983" xr:uid="{02C70CE5-04F3-49DC-ADBD-3B89FA1FEFEF}"/>
    <cellStyle name="20% - Accent4 3 9" xfId="8765" xr:uid="{7FE47C57-74BB-4DE8-A0D1-60A7821AE6FD}"/>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3A51521D-3947-473C-8B2F-BD981696DC66}"/>
    <cellStyle name="20% - Accent4 4 2 2 3" xfId="11326" xr:uid="{82499984-DD99-4071-9291-505DE55E7709}"/>
    <cellStyle name="20% - Accent4 4 2 3" xfId="4949" xr:uid="{00000000-0005-0000-0000-00005E020000}"/>
    <cellStyle name="20% - Accent4 4 2 3 2" xfId="13399" xr:uid="{CD06F1F6-5BAB-45FB-8492-D35A1D0E7C8C}"/>
    <cellStyle name="20% - Accent4 4 2 4" xfId="9181" xr:uid="{0A522428-228D-44CE-938E-43D4B9D15932}"/>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D3F1FD8C-75B3-47E1-AB5E-A463674A1E65}"/>
    <cellStyle name="20% - Accent4 4 3 2 3" xfId="11739" xr:uid="{3911299A-A9AB-4CF2-A9DD-A277D3E2960F}"/>
    <cellStyle name="20% - Accent4 4 3 3" xfId="5362" xr:uid="{00000000-0005-0000-0000-000062020000}"/>
    <cellStyle name="20% - Accent4 4 3 3 2" xfId="13812" xr:uid="{D20CA042-896D-4E50-AD7B-57D22E2DFFDF}"/>
    <cellStyle name="20% - Accent4 4 3 4" xfId="9594" xr:uid="{001D28C3-2EE9-47AF-BC8A-78CC7EEFD907}"/>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DB5FA5F6-52F6-431F-B80D-4FD195623A5F}"/>
    <cellStyle name="20% - Accent4 4 4 2 3" xfId="12152" xr:uid="{A4139390-2590-4AE1-9532-7173D1D9E86D}"/>
    <cellStyle name="20% - Accent4 4 4 3" xfId="5775" xr:uid="{00000000-0005-0000-0000-000066020000}"/>
    <cellStyle name="20% - Accent4 4 4 3 2" xfId="14225" xr:uid="{2BBEB94A-76B4-414C-8948-B359737222A0}"/>
    <cellStyle name="20% - Accent4 4 4 4" xfId="10007" xr:uid="{87F6B8DE-3FA3-4A20-90A0-978E9FAB72F0}"/>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051AD371-1E48-474C-94A6-8D0881FFF7CD}"/>
    <cellStyle name="20% - Accent4 4 5 2 3" xfId="12565" xr:uid="{49B9DCDA-56C4-4B54-8F37-9E5177A1906B}"/>
    <cellStyle name="20% - Accent4 4 5 3" xfId="6188" xr:uid="{00000000-0005-0000-0000-00006A020000}"/>
    <cellStyle name="20% - Accent4 4 5 3 2" xfId="14638" xr:uid="{EFFCDEA3-DC23-4F1F-82F4-0ED875BFD984}"/>
    <cellStyle name="20% - Accent4 4 5 4" xfId="10420" xr:uid="{285CF10E-DEE7-4D47-9C33-C7AFB705D154}"/>
    <cellStyle name="20% - Accent4 4 6" xfId="2295" xr:uid="{00000000-0005-0000-0000-00006B020000}"/>
    <cellStyle name="20% - Accent4 4 6 2" xfId="6601" xr:uid="{00000000-0005-0000-0000-00006C020000}"/>
    <cellStyle name="20% - Accent4 4 6 2 2" xfId="15051" xr:uid="{14FDA215-5152-4F9C-901C-9E2785929F01}"/>
    <cellStyle name="20% - Accent4 4 6 3" xfId="10833" xr:uid="{54ACD10B-F2DB-420B-B3BC-69BFD7905A91}"/>
    <cellStyle name="20% - Accent4 4 7" xfId="4535" xr:uid="{00000000-0005-0000-0000-00006D020000}"/>
    <cellStyle name="20% - Accent4 4 7 2" xfId="12985" xr:uid="{53E3B244-6554-4F8C-9FAD-79E89285DB32}"/>
    <cellStyle name="20% - Accent4 4 8" xfId="8767" xr:uid="{88CFC53A-AA37-4388-84D8-61A44E400A79}"/>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7F5BD464-710C-4AA0-89DA-84DFEB8F54D5}"/>
    <cellStyle name="20% - Accent4 5 2 3" xfId="11319" xr:uid="{CF2516EF-9B0E-4ECE-8B32-5A846597047F}"/>
    <cellStyle name="20% - Accent4 5 3" xfId="4942" xr:uid="{00000000-0005-0000-0000-000071020000}"/>
    <cellStyle name="20% - Accent4 5 3 2" xfId="13392" xr:uid="{4DD9FBBE-D5F9-458F-B7EE-2FB381E0BEA9}"/>
    <cellStyle name="20% - Accent4 5 4" xfId="9174" xr:uid="{47E48513-0454-4CD9-8AEE-FE10179C5775}"/>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ED309761-9558-4ECA-B9FE-89A2884D74AD}"/>
    <cellStyle name="20% - Accent4 6 2 3" xfId="11732" xr:uid="{ABADF329-9431-42E4-8F97-49A97DA07CA4}"/>
    <cellStyle name="20% - Accent4 6 3" xfId="5355" xr:uid="{00000000-0005-0000-0000-000075020000}"/>
    <cellStyle name="20% - Accent4 6 3 2" xfId="13805" xr:uid="{3BFA5D21-CC5D-47F5-B9A6-E887D4DBB73D}"/>
    <cellStyle name="20% - Accent4 6 4" xfId="9587" xr:uid="{38CB2982-6E1F-4E2B-BBE9-FB28CD7828C4}"/>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EED1DE70-976F-4E8C-A209-430455908E1F}"/>
    <cellStyle name="20% - Accent4 7 2 3" xfId="12145" xr:uid="{D63FE7D2-4345-46F4-87F5-3FC00D353111}"/>
    <cellStyle name="20% - Accent4 7 3" xfId="5768" xr:uid="{00000000-0005-0000-0000-000079020000}"/>
    <cellStyle name="20% - Accent4 7 3 2" xfId="14218" xr:uid="{BABE056D-259B-433A-8CE8-117C97D03180}"/>
    <cellStyle name="20% - Accent4 7 4" xfId="10000" xr:uid="{E91E8D9E-CE9B-4D68-B51E-90E7A0AA796B}"/>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6636E8CC-54D1-4549-9782-04390353C269}"/>
    <cellStyle name="20% - Accent4 8 2 3" xfId="12558" xr:uid="{781708DA-4B66-4DA6-A9B1-3196A51BB4E2}"/>
    <cellStyle name="20% - Accent4 8 3" xfId="6181" xr:uid="{00000000-0005-0000-0000-00007D020000}"/>
    <cellStyle name="20% - Accent4 8 3 2" xfId="14631" xr:uid="{1B356247-7487-4591-A495-48EB913A8007}"/>
    <cellStyle name="20% - Accent4 8 4" xfId="10413" xr:uid="{28509BAB-3474-40FB-9A8E-0C1F366A1752}"/>
    <cellStyle name="20% - Accent4 9" xfId="2288" xr:uid="{00000000-0005-0000-0000-00007E020000}"/>
    <cellStyle name="20% - Accent4 9 2" xfId="6594" xr:uid="{00000000-0005-0000-0000-00007F020000}"/>
    <cellStyle name="20% - Accent4 9 2 2" xfId="15044" xr:uid="{DEB3ECB9-A8C9-435C-8080-6B3A9B03CD0F}"/>
    <cellStyle name="20% - Accent4 9 3" xfId="10826" xr:uid="{82C4BA2E-48E4-416E-8FD9-4621A51A360C}"/>
    <cellStyle name="20% - Accent5" xfId="33" builtinId="46" customBuiltin="1"/>
    <cellStyle name="20% - Accent5 10" xfId="4536" xr:uid="{00000000-0005-0000-0000-000081020000}"/>
    <cellStyle name="20% - Accent5 10 2" xfId="12986" xr:uid="{967E260B-AB01-45FA-AEC7-49BB28D6F830}"/>
    <cellStyle name="20% - Accent5 11" xfId="8768" xr:uid="{C1963471-C7BE-4B6A-BE46-209EFE697E11}"/>
    <cellStyle name="20% - Accent5 2" xfId="34" xr:uid="{00000000-0005-0000-0000-000082020000}"/>
    <cellStyle name="20% - Accent5 2 10" xfId="8769" xr:uid="{79E642C2-E3A7-4393-A8C8-81B9B440BD61}"/>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25DDC6E8-74D4-4B73-BFA9-04470324A50A}"/>
    <cellStyle name="20% - Accent5 2 2 2 2 2 3" xfId="11330" xr:uid="{AA0B94C8-A0E3-4381-90D4-72EAAFB3D083}"/>
    <cellStyle name="20% - Accent5 2 2 2 2 3" xfId="4953" xr:uid="{00000000-0005-0000-0000-000088020000}"/>
    <cellStyle name="20% - Accent5 2 2 2 2 3 2" xfId="13403" xr:uid="{C6EA184F-291B-4228-8AAB-51B5CAC9F73E}"/>
    <cellStyle name="20% - Accent5 2 2 2 2 4" xfId="9185" xr:uid="{CA17EF05-959E-45E5-9879-FEB2E6180927}"/>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5294738D-09AB-44B6-8F56-B19264A09355}"/>
    <cellStyle name="20% - Accent5 2 2 2 3 2 3" xfId="11743" xr:uid="{37D96543-F68D-4070-B325-DA24C96EBF19}"/>
    <cellStyle name="20% - Accent5 2 2 2 3 3" xfId="5366" xr:uid="{00000000-0005-0000-0000-00008C020000}"/>
    <cellStyle name="20% - Accent5 2 2 2 3 3 2" xfId="13816" xr:uid="{9CD13987-37E0-4B04-9872-BE71DD1A1760}"/>
    <cellStyle name="20% - Accent5 2 2 2 3 4" xfId="9598" xr:uid="{509BD041-80FF-47EF-8820-CCE0A71F636D}"/>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B8DE003D-548B-4840-9EAE-D58DC853D26E}"/>
    <cellStyle name="20% - Accent5 2 2 2 4 2 3" xfId="12156" xr:uid="{2EB13016-6FE7-42B3-A049-7E0032DC6C98}"/>
    <cellStyle name="20% - Accent5 2 2 2 4 3" xfId="5779" xr:uid="{00000000-0005-0000-0000-000090020000}"/>
    <cellStyle name="20% - Accent5 2 2 2 4 3 2" xfId="14229" xr:uid="{FE1768A6-9407-4852-9323-AB4B6A1437F2}"/>
    <cellStyle name="20% - Accent5 2 2 2 4 4" xfId="10011" xr:uid="{CCE3CA57-4E3D-4A1F-A32C-D409AFB37FBB}"/>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8072F9E7-4C5D-419B-9AEC-D6341FF0E2CB}"/>
    <cellStyle name="20% - Accent5 2 2 2 5 2 3" xfId="12569" xr:uid="{F54C0BFC-8E51-400F-A92B-E642852F90DE}"/>
    <cellStyle name="20% - Accent5 2 2 2 5 3" xfId="6192" xr:uid="{00000000-0005-0000-0000-000094020000}"/>
    <cellStyle name="20% - Accent5 2 2 2 5 3 2" xfId="14642" xr:uid="{CBFDF954-3E61-49FF-AB4F-6D2C3B3E407C}"/>
    <cellStyle name="20% - Accent5 2 2 2 5 4" xfId="10424" xr:uid="{82B850CE-6655-4E04-AB4C-A5F3EF05AD45}"/>
    <cellStyle name="20% - Accent5 2 2 2 6" xfId="2299" xr:uid="{00000000-0005-0000-0000-000095020000}"/>
    <cellStyle name="20% - Accent5 2 2 2 6 2" xfId="6605" xr:uid="{00000000-0005-0000-0000-000096020000}"/>
    <cellStyle name="20% - Accent5 2 2 2 6 2 2" xfId="15055" xr:uid="{E301FCD9-387D-41F9-AFAE-96E3D731FBF5}"/>
    <cellStyle name="20% - Accent5 2 2 2 6 3" xfId="10837" xr:uid="{A22F4FD8-0752-4B16-A90C-B87A68B8F743}"/>
    <cellStyle name="20% - Accent5 2 2 2 7" xfId="4539" xr:uid="{00000000-0005-0000-0000-000097020000}"/>
    <cellStyle name="20% - Accent5 2 2 2 7 2" xfId="12989" xr:uid="{08B7CF67-1AEE-4A94-9069-7F125DC00E81}"/>
    <cellStyle name="20% - Accent5 2 2 2 8" xfId="8771" xr:uid="{98AB2772-C9BF-4BBA-A93A-592D91C2209A}"/>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8BD62E59-0F23-4E75-9440-4D4CB95DB9B9}"/>
    <cellStyle name="20% - Accent5 2 2 3 2 3" xfId="11329" xr:uid="{575627C7-79CB-4F7D-9AD6-31F07641612E}"/>
    <cellStyle name="20% - Accent5 2 2 3 3" xfId="4952" xr:uid="{00000000-0005-0000-0000-00009B020000}"/>
    <cellStyle name="20% - Accent5 2 2 3 3 2" xfId="13402" xr:uid="{5D70C82D-081A-440A-A030-7A6D1E1EC3B9}"/>
    <cellStyle name="20% - Accent5 2 2 3 4" xfId="9184" xr:uid="{7AD763D3-3BC1-438C-8299-0F1F1FB90CA9}"/>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7879F395-DBB0-4C2D-8679-AD4A567803AF}"/>
    <cellStyle name="20% - Accent5 2 2 4 2 3" xfId="11742" xr:uid="{DB098D15-AEE3-4473-BA9D-743B824E739D}"/>
    <cellStyle name="20% - Accent5 2 2 4 3" xfId="5365" xr:uid="{00000000-0005-0000-0000-00009F020000}"/>
    <cellStyle name="20% - Accent5 2 2 4 3 2" xfId="13815" xr:uid="{9C7AEC1E-216A-4420-9941-62E1BDD9B1D1}"/>
    <cellStyle name="20% - Accent5 2 2 4 4" xfId="9597" xr:uid="{8B4749AB-917D-4B0D-916D-CDFF7CF9A311}"/>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FCE17267-F211-4739-83F1-069F5F6545E6}"/>
    <cellStyle name="20% - Accent5 2 2 5 2 3" xfId="12155" xr:uid="{3CBF7365-9C4C-4E68-80B9-3E23E9B70745}"/>
    <cellStyle name="20% - Accent5 2 2 5 3" xfId="5778" xr:uid="{00000000-0005-0000-0000-0000A3020000}"/>
    <cellStyle name="20% - Accent5 2 2 5 3 2" xfId="14228" xr:uid="{69193F4A-EAC0-4921-BF84-5A3BBA279169}"/>
    <cellStyle name="20% - Accent5 2 2 5 4" xfId="10010" xr:uid="{4EC07DA8-D6E7-451B-A3F8-D6444A21605B}"/>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A4BFA770-C00C-4165-8CC8-EDE7990847B7}"/>
    <cellStyle name="20% - Accent5 2 2 6 2 3" xfId="12568" xr:uid="{82B34E9A-2D00-410C-BCE9-B0F0C2D25D44}"/>
    <cellStyle name="20% - Accent5 2 2 6 3" xfId="6191" xr:uid="{00000000-0005-0000-0000-0000A7020000}"/>
    <cellStyle name="20% - Accent5 2 2 6 3 2" xfId="14641" xr:uid="{1D7789EB-C49B-4FA5-95B4-F77CD48C5FD4}"/>
    <cellStyle name="20% - Accent5 2 2 6 4" xfId="10423" xr:uid="{5CB648A5-B582-4A15-8877-DD458F775E53}"/>
    <cellStyle name="20% - Accent5 2 2 7" xfId="2298" xr:uid="{00000000-0005-0000-0000-0000A8020000}"/>
    <cellStyle name="20% - Accent5 2 2 7 2" xfId="6604" xr:uid="{00000000-0005-0000-0000-0000A9020000}"/>
    <cellStyle name="20% - Accent5 2 2 7 2 2" xfId="15054" xr:uid="{63532F23-A365-42F6-B4E6-083AAC9C78C4}"/>
    <cellStyle name="20% - Accent5 2 2 7 3" xfId="10836" xr:uid="{46EA4526-6F63-441D-A0EA-3C9679174814}"/>
    <cellStyle name="20% - Accent5 2 2 8" xfId="4538" xr:uid="{00000000-0005-0000-0000-0000AA020000}"/>
    <cellStyle name="20% - Accent5 2 2 8 2" xfId="12988" xr:uid="{53A645B8-0870-4681-8DE8-BBFD1F626564}"/>
    <cellStyle name="20% - Accent5 2 2 9" xfId="8770" xr:uid="{1C8DE471-DAB9-43C5-A7F9-1E9EBF94062B}"/>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E23B9B1A-17B8-4D72-A714-2602C6613514}"/>
    <cellStyle name="20% - Accent5 2 3 2 2 3" xfId="11331" xr:uid="{2DAB8338-D78F-47E0-9258-0C0F22BBFB4A}"/>
    <cellStyle name="20% - Accent5 2 3 2 3" xfId="4954" xr:uid="{00000000-0005-0000-0000-0000AF020000}"/>
    <cellStyle name="20% - Accent5 2 3 2 3 2" xfId="13404" xr:uid="{E70C8029-4393-4CAC-B2E3-DF7AE4FFBF67}"/>
    <cellStyle name="20% - Accent5 2 3 2 4" xfId="9186" xr:uid="{F7588A57-5B07-4A23-BFAE-B56185B0BBCD}"/>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6A5A0F13-593D-46E0-8A70-3DA981EC1C0A}"/>
    <cellStyle name="20% - Accent5 2 3 3 2 3" xfId="11744" xr:uid="{9E6167C4-01B3-4D98-90CC-037E12FE9BAB}"/>
    <cellStyle name="20% - Accent5 2 3 3 3" xfId="5367" xr:uid="{00000000-0005-0000-0000-0000B3020000}"/>
    <cellStyle name="20% - Accent5 2 3 3 3 2" xfId="13817" xr:uid="{F55B4911-C547-499D-B8B7-BF494DEB63D8}"/>
    <cellStyle name="20% - Accent5 2 3 3 4" xfId="9599" xr:uid="{02C6FE1B-1B4D-45EF-906C-D367D867E257}"/>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A2BEECAB-BB4F-4EB1-84B4-E83436308492}"/>
    <cellStyle name="20% - Accent5 2 3 4 2 3" xfId="12157" xr:uid="{E19A10AF-DFE5-4C7D-BD0F-14C5717F932C}"/>
    <cellStyle name="20% - Accent5 2 3 4 3" xfId="5780" xr:uid="{00000000-0005-0000-0000-0000B7020000}"/>
    <cellStyle name="20% - Accent5 2 3 4 3 2" xfId="14230" xr:uid="{BDA0F65F-4B96-42EB-B826-7B89E8EC3E0B}"/>
    <cellStyle name="20% - Accent5 2 3 4 4" xfId="10012" xr:uid="{DCB0535E-5D03-48DB-8FE8-A86802A70375}"/>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F619E824-8DA3-4C2F-8F99-A3140B3046DA}"/>
    <cellStyle name="20% - Accent5 2 3 5 2 3" xfId="12570" xr:uid="{FBA40E24-61BA-4E03-A29E-87965F14A2A0}"/>
    <cellStyle name="20% - Accent5 2 3 5 3" xfId="6193" xr:uid="{00000000-0005-0000-0000-0000BB020000}"/>
    <cellStyle name="20% - Accent5 2 3 5 3 2" xfId="14643" xr:uid="{A8E2DBE0-3070-412C-B496-396C032ED024}"/>
    <cellStyle name="20% - Accent5 2 3 5 4" xfId="10425" xr:uid="{FC7397B7-25FD-446F-B349-75D134C851E4}"/>
    <cellStyle name="20% - Accent5 2 3 6" xfId="2300" xr:uid="{00000000-0005-0000-0000-0000BC020000}"/>
    <cellStyle name="20% - Accent5 2 3 6 2" xfId="6606" xr:uid="{00000000-0005-0000-0000-0000BD020000}"/>
    <cellStyle name="20% - Accent5 2 3 6 2 2" xfId="15056" xr:uid="{7ED80F1C-0022-45FD-8867-7995C1396D99}"/>
    <cellStyle name="20% - Accent5 2 3 6 3" xfId="10838" xr:uid="{84619DE4-6BFD-456D-8DEF-A35D6D7AF881}"/>
    <cellStyle name="20% - Accent5 2 3 7" xfId="4540" xr:uid="{00000000-0005-0000-0000-0000BE020000}"/>
    <cellStyle name="20% - Accent5 2 3 7 2" xfId="12990" xr:uid="{0FB5287C-54E4-45B4-83D1-A78AE9E35B31}"/>
    <cellStyle name="20% - Accent5 2 3 8" xfId="8772" xr:uid="{263E705F-E5BC-4D89-9BB2-0DD98AFB3AB3}"/>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A5274F4D-A1EC-43B8-ACDA-50A61C514D39}"/>
    <cellStyle name="20% - Accent5 2 4 2 3" xfId="11328" xr:uid="{9A7EABB9-9374-434A-9659-AF6810C9901D}"/>
    <cellStyle name="20% - Accent5 2 4 3" xfId="4951" xr:uid="{00000000-0005-0000-0000-0000C2020000}"/>
    <cellStyle name="20% - Accent5 2 4 3 2" xfId="13401" xr:uid="{1888DDE5-528C-455A-855B-58F6156BAF6F}"/>
    <cellStyle name="20% - Accent5 2 4 4" xfId="9183" xr:uid="{59F93DFD-16A5-42B3-A153-828EE176CB6D}"/>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A38A932A-CABD-4569-B026-A6F45FE65A28}"/>
    <cellStyle name="20% - Accent5 2 5 2 3" xfId="11741" xr:uid="{EE770771-2C1B-46C1-81E7-F8412EDA7232}"/>
    <cellStyle name="20% - Accent5 2 5 3" xfId="5364" xr:uid="{00000000-0005-0000-0000-0000C6020000}"/>
    <cellStyle name="20% - Accent5 2 5 3 2" xfId="13814" xr:uid="{C0967110-3D17-4859-B5D6-E21B5A60BF42}"/>
    <cellStyle name="20% - Accent5 2 5 4" xfId="9596" xr:uid="{0A0B101C-E900-451F-BA9B-644761814CF1}"/>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0D7BB93C-8022-472A-A377-31B51BF29B0E}"/>
    <cellStyle name="20% - Accent5 2 6 2 3" xfId="12154" xr:uid="{EFF02EC8-B465-428D-95FC-F8095783C073}"/>
    <cellStyle name="20% - Accent5 2 6 3" xfId="5777" xr:uid="{00000000-0005-0000-0000-0000CA020000}"/>
    <cellStyle name="20% - Accent5 2 6 3 2" xfId="14227" xr:uid="{E2B1B15B-EC3D-40C5-A5A5-18C85135FBC0}"/>
    <cellStyle name="20% - Accent5 2 6 4" xfId="10009" xr:uid="{F457AF8D-4142-4FBC-BF78-84818E2328D8}"/>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1F90CD04-ABE7-4A53-A21E-A2CEA0BB32A8}"/>
    <cellStyle name="20% - Accent5 2 7 2 3" xfId="12567" xr:uid="{7808777B-7274-4D6A-ACEF-82BAEB574C9B}"/>
    <cellStyle name="20% - Accent5 2 7 3" xfId="6190" xr:uid="{00000000-0005-0000-0000-0000CE020000}"/>
    <cellStyle name="20% - Accent5 2 7 3 2" xfId="14640" xr:uid="{C4A14F7B-8CA3-4391-8073-E4C526110BE8}"/>
    <cellStyle name="20% - Accent5 2 7 4" xfId="10422" xr:uid="{BA3D58EE-3E2F-4270-9AFA-A3190F216E6F}"/>
    <cellStyle name="20% - Accent5 2 8" xfId="2297" xr:uid="{00000000-0005-0000-0000-0000CF020000}"/>
    <cellStyle name="20% - Accent5 2 8 2" xfId="6603" xr:uid="{00000000-0005-0000-0000-0000D0020000}"/>
    <cellStyle name="20% - Accent5 2 8 2 2" xfId="15053" xr:uid="{61F9234E-8A8D-4BA5-A2AD-2AAC880DF43B}"/>
    <cellStyle name="20% - Accent5 2 8 3" xfId="10835" xr:uid="{8F278EAD-03F3-468E-A317-F7DFD932D7F3}"/>
    <cellStyle name="20% - Accent5 2 9" xfId="4537" xr:uid="{00000000-0005-0000-0000-0000D1020000}"/>
    <cellStyle name="20% - Accent5 2 9 2" xfId="12987" xr:uid="{10551141-C8A2-4DFA-B893-F128FFA9DCF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AF64DBF5-B53E-4DA1-B19F-A29060305225}"/>
    <cellStyle name="20% - Accent5 3 2 2 2 3" xfId="11333" xr:uid="{5C86C09C-0EB7-4E25-BB4E-6F5FAEC0014A}"/>
    <cellStyle name="20% - Accent5 3 2 2 3" xfId="4956" xr:uid="{00000000-0005-0000-0000-0000D7020000}"/>
    <cellStyle name="20% - Accent5 3 2 2 3 2" xfId="13406" xr:uid="{15C4EA6E-9E3B-4880-A8F3-DB1DB757AD79}"/>
    <cellStyle name="20% - Accent5 3 2 2 4" xfId="9188" xr:uid="{1DDFE360-207D-4EEA-BD05-9B164B4BF45C}"/>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3BA2CC61-3D88-4D39-8BEB-0A3B707464CB}"/>
    <cellStyle name="20% - Accent5 3 2 3 2 3" xfId="11746" xr:uid="{247D4716-5CBE-48C6-89AA-77CE9B126C15}"/>
    <cellStyle name="20% - Accent5 3 2 3 3" xfId="5369" xr:uid="{00000000-0005-0000-0000-0000DB020000}"/>
    <cellStyle name="20% - Accent5 3 2 3 3 2" xfId="13819" xr:uid="{50630D62-6716-49E4-B8A9-FB3605D323A3}"/>
    <cellStyle name="20% - Accent5 3 2 3 4" xfId="9601" xr:uid="{63D09718-08FD-4AB9-B740-35419DC2571C}"/>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2D3B468F-6266-4884-A356-79ABD26CBDA2}"/>
    <cellStyle name="20% - Accent5 3 2 4 2 3" xfId="12159" xr:uid="{8942E15F-C84C-411A-AF94-FE69803D97FE}"/>
    <cellStyle name="20% - Accent5 3 2 4 3" xfId="5782" xr:uid="{00000000-0005-0000-0000-0000DF020000}"/>
    <cellStyle name="20% - Accent5 3 2 4 3 2" xfId="14232" xr:uid="{C9994A50-F456-4A1E-BF39-722DD6D8DFAD}"/>
    <cellStyle name="20% - Accent5 3 2 4 4" xfId="10014" xr:uid="{C909936A-7E57-4AD2-895A-A6659E3AEB51}"/>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00AA91B1-4A4B-4F74-9549-A7440F6AC281}"/>
    <cellStyle name="20% - Accent5 3 2 5 2 3" xfId="12572" xr:uid="{8CE562C5-52BB-4CD3-9C93-46199F587B25}"/>
    <cellStyle name="20% - Accent5 3 2 5 3" xfId="6195" xr:uid="{00000000-0005-0000-0000-0000E3020000}"/>
    <cellStyle name="20% - Accent5 3 2 5 3 2" xfId="14645" xr:uid="{69D88AFC-6002-4E47-922B-B4A64D5A370C}"/>
    <cellStyle name="20% - Accent5 3 2 5 4" xfId="10427" xr:uid="{D7DB67E6-D1C4-48D6-86A0-80C45CFDA357}"/>
    <cellStyle name="20% - Accent5 3 2 6" xfId="2302" xr:uid="{00000000-0005-0000-0000-0000E4020000}"/>
    <cellStyle name="20% - Accent5 3 2 6 2" xfId="6608" xr:uid="{00000000-0005-0000-0000-0000E5020000}"/>
    <cellStyle name="20% - Accent5 3 2 6 2 2" xfId="15058" xr:uid="{63A4B726-A05A-4E34-BDB4-E5C7BD9AEAE9}"/>
    <cellStyle name="20% - Accent5 3 2 6 3" xfId="10840" xr:uid="{B725BD4E-6F25-4265-A771-731EE76461BF}"/>
    <cellStyle name="20% - Accent5 3 2 7" xfId="4542" xr:uid="{00000000-0005-0000-0000-0000E6020000}"/>
    <cellStyle name="20% - Accent5 3 2 7 2" xfId="12992" xr:uid="{40C34E38-BE7D-4DD9-8168-88C096BDD492}"/>
    <cellStyle name="20% - Accent5 3 2 8" xfId="8774" xr:uid="{85C97A62-2847-46D4-89AC-DC1AC34C5111}"/>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369465DA-7863-4A8B-A6CB-7C746CBFC5A3}"/>
    <cellStyle name="20% - Accent5 3 3 2 3" xfId="11332" xr:uid="{C1DB733C-0FAB-41C5-9B02-86388F7B4641}"/>
    <cellStyle name="20% - Accent5 3 3 3" xfId="4955" xr:uid="{00000000-0005-0000-0000-0000EA020000}"/>
    <cellStyle name="20% - Accent5 3 3 3 2" xfId="13405" xr:uid="{4A1A25FB-FB02-4BD3-B5A0-97CE1B2BF791}"/>
    <cellStyle name="20% - Accent5 3 3 4" xfId="9187" xr:uid="{738C3717-8D12-419F-A8F8-55AC511091DE}"/>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EA4DE6B4-7AF3-4E3F-A355-FC8B0D816213}"/>
    <cellStyle name="20% - Accent5 3 4 2 3" xfId="11745" xr:uid="{E4684976-82F4-459F-B1E7-D51EE6D18661}"/>
    <cellStyle name="20% - Accent5 3 4 3" xfId="5368" xr:uid="{00000000-0005-0000-0000-0000EE020000}"/>
    <cellStyle name="20% - Accent5 3 4 3 2" xfId="13818" xr:uid="{0BFE5EF5-8711-4B97-B5EC-BF1F70B9A61E}"/>
    <cellStyle name="20% - Accent5 3 4 4" xfId="9600" xr:uid="{0EBB6B31-0C2F-44CA-8761-8E82C085B725}"/>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71A3D233-8566-4C4A-BAB3-D8BCDE9BA441}"/>
    <cellStyle name="20% - Accent5 3 5 2 3" xfId="12158" xr:uid="{10B4A1EB-99A9-4ED3-8F7B-26EEBAC9DC78}"/>
    <cellStyle name="20% - Accent5 3 5 3" xfId="5781" xr:uid="{00000000-0005-0000-0000-0000F2020000}"/>
    <cellStyle name="20% - Accent5 3 5 3 2" xfId="14231" xr:uid="{7D71C886-F8C3-4899-BB36-80692CB1021A}"/>
    <cellStyle name="20% - Accent5 3 5 4" xfId="10013" xr:uid="{7583051F-EEF4-4F39-87F4-D245B70F62A0}"/>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5DF310A1-C592-4AA8-87A6-B3300FB53BA6}"/>
    <cellStyle name="20% - Accent5 3 6 2 3" xfId="12571" xr:uid="{A6F2D2C9-0F0D-43C5-88FD-C31730789C8E}"/>
    <cellStyle name="20% - Accent5 3 6 3" xfId="6194" xr:uid="{00000000-0005-0000-0000-0000F6020000}"/>
    <cellStyle name="20% - Accent5 3 6 3 2" xfId="14644" xr:uid="{E220A10A-DED1-49DF-8076-EB94CA873FC6}"/>
    <cellStyle name="20% - Accent5 3 6 4" xfId="10426" xr:uid="{03D10072-914C-42E6-ACE8-556A623D08E4}"/>
    <cellStyle name="20% - Accent5 3 7" xfId="2301" xr:uid="{00000000-0005-0000-0000-0000F7020000}"/>
    <cellStyle name="20% - Accent5 3 7 2" xfId="6607" xr:uid="{00000000-0005-0000-0000-0000F8020000}"/>
    <cellStyle name="20% - Accent5 3 7 2 2" xfId="15057" xr:uid="{74F97F55-C44D-49F0-A4AB-42AF5FAC7318}"/>
    <cellStyle name="20% - Accent5 3 7 3" xfId="10839" xr:uid="{A7869325-5109-421B-BF4C-3667A5E811A7}"/>
    <cellStyle name="20% - Accent5 3 8" xfId="4541" xr:uid="{00000000-0005-0000-0000-0000F9020000}"/>
    <cellStyle name="20% - Accent5 3 8 2" xfId="12991" xr:uid="{F7D47D2D-0A25-4E89-8C02-047B0AC12A5D}"/>
    <cellStyle name="20% - Accent5 3 9" xfId="8773" xr:uid="{1C0AC3F9-0F55-41DD-85B1-EE6A26EF70E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0671056C-C08C-4FA8-8C34-715CCE17CA64}"/>
    <cellStyle name="20% - Accent5 4 2 2 3" xfId="11334" xr:uid="{3FFF924C-C680-4829-9E2E-036112B86EDA}"/>
    <cellStyle name="20% - Accent5 4 2 3" xfId="4957" xr:uid="{00000000-0005-0000-0000-0000FE020000}"/>
    <cellStyle name="20% - Accent5 4 2 3 2" xfId="13407" xr:uid="{A8ACA049-7FB0-428D-865F-D397CB2C7FB2}"/>
    <cellStyle name="20% - Accent5 4 2 4" xfId="9189" xr:uid="{D84920A8-5476-4C2D-BA74-04534A45C233}"/>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10CB5DEA-80A4-469B-A81C-96CEFBB43FB5}"/>
    <cellStyle name="20% - Accent5 4 3 2 3" xfId="11747" xr:uid="{3F90E37E-2909-4283-B71F-62F778A08546}"/>
    <cellStyle name="20% - Accent5 4 3 3" xfId="5370" xr:uid="{00000000-0005-0000-0000-000002030000}"/>
    <cellStyle name="20% - Accent5 4 3 3 2" xfId="13820" xr:uid="{EF212BE9-1A90-4028-9499-37B272DA73AA}"/>
    <cellStyle name="20% - Accent5 4 3 4" xfId="9602" xr:uid="{E3D441C6-A2B8-457A-89C1-4503E2D2CA05}"/>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29BED919-00EE-44E1-8A2C-F76BB80698C3}"/>
    <cellStyle name="20% - Accent5 4 4 2 3" xfId="12160" xr:uid="{59E5740E-867E-4A53-8F09-563E5D09DE0A}"/>
    <cellStyle name="20% - Accent5 4 4 3" xfId="5783" xr:uid="{00000000-0005-0000-0000-000006030000}"/>
    <cellStyle name="20% - Accent5 4 4 3 2" xfId="14233" xr:uid="{1E7DAC4B-8A5A-4E34-B6F1-8D96741888C9}"/>
    <cellStyle name="20% - Accent5 4 4 4" xfId="10015" xr:uid="{96104837-8CFA-40AF-A1E0-8D2768DC6F63}"/>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CACB4E93-E83C-4900-B782-F5985214900B}"/>
    <cellStyle name="20% - Accent5 4 5 2 3" xfId="12573" xr:uid="{9CEAB83F-D227-4D1F-9A9D-6708CCFF9CA7}"/>
    <cellStyle name="20% - Accent5 4 5 3" xfId="6196" xr:uid="{00000000-0005-0000-0000-00000A030000}"/>
    <cellStyle name="20% - Accent5 4 5 3 2" xfId="14646" xr:uid="{F0FE16BC-4014-4DF4-9A99-852F716E645E}"/>
    <cellStyle name="20% - Accent5 4 5 4" xfId="10428" xr:uid="{ED063D15-05BC-4E46-A346-BE528F993190}"/>
    <cellStyle name="20% - Accent5 4 6" xfId="2303" xr:uid="{00000000-0005-0000-0000-00000B030000}"/>
    <cellStyle name="20% - Accent5 4 6 2" xfId="6609" xr:uid="{00000000-0005-0000-0000-00000C030000}"/>
    <cellStyle name="20% - Accent5 4 6 2 2" xfId="15059" xr:uid="{9A2037EA-128F-44E8-AE22-59F7E91E78A1}"/>
    <cellStyle name="20% - Accent5 4 6 3" xfId="10841" xr:uid="{9647787B-7CD7-4299-A005-70048446B62C}"/>
    <cellStyle name="20% - Accent5 4 7" xfId="4543" xr:uid="{00000000-0005-0000-0000-00000D030000}"/>
    <cellStyle name="20% - Accent5 4 7 2" xfId="12993" xr:uid="{B5D6806F-6305-4D37-898D-F477C8BBB843}"/>
    <cellStyle name="20% - Accent5 4 8" xfId="8775" xr:uid="{D5A115E2-4E0C-44EA-86AC-8E87F624251A}"/>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565E92CF-5CEA-40BE-B96C-42B21EE3B4F2}"/>
    <cellStyle name="20% - Accent5 5 2 3" xfId="11327" xr:uid="{8673E3FF-A3BA-4DCE-AC9D-ACED105E2499}"/>
    <cellStyle name="20% - Accent5 5 3" xfId="4950" xr:uid="{00000000-0005-0000-0000-000011030000}"/>
    <cellStyle name="20% - Accent5 5 3 2" xfId="13400" xr:uid="{01A69724-A563-4168-BAF7-64A12FEFB72C}"/>
    <cellStyle name="20% - Accent5 5 4" xfId="9182" xr:uid="{1A05C527-3304-41CB-AE99-C42B69F1E701}"/>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DD3ACB3F-B695-44F5-901A-DCACBBE52C7A}"/>
    <cellStyle name="20% - Accent5 6 2 3" xfId="11740" xr:uid="{42226999-7AD1-4AD2-B47D-0C85D721EB6A}"/>
    <cellStyle name="20% - Accent5 6 3" xfId="5363" xr:uid="{00000000-0005-0000-0000-000015030000}"/>
    <cellStyle name="20% - Accent5 6 3 2" xfId="13813" xr:uid="{28247100-D1F1-4548-AF3A-9E3EABAFD212}"/>
    <cellStyle name="20% - Accent5 6 4" xfId="9595" xr:uid="{FF2B5DF5-31CC-4A9B-ABD0-CA8B43507261}"/>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C6E0F7D4-A4B8-41FD-B3FA-B46A8A103100}"/>
    <cellStyle name="20% - Accent5 7 2 3" xfId="12153" xr:uid="{78449CE8-17C1-4391-8C54-79E2BA08D55C}"/>
    <cellStyle name="20% - Accent5 7 3" xfId="5776" xr:uid="{00000000-0005-0000-0000-000019030000}"/>
    <cellStyle name="20% - Accent5 7 3 2" xfId="14226" xr:uid="{1DB72635-FEAE-46CA-A400-C43F13B4C0C5}"/>
    <cellStyle name="20% - Accent5 7 4" xfId="10008" xr:uid="{53150EDC-9D7D-429E-B64E-030076EBAC63}"/>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46ED4455-B229-4D1A-B19E-D3708176C4C0}"/>
    <cellStyle name="20% - Accent5 8 2 3" xfId="12566" xr:uid="{64B74087-A14B-4299-91FF-9924DF083A55}"/>
    <cellStyle name="20% - Accent5 8 3" xfId="6189" xr:uid="{00000000-0005-0000-0000-00001D030000}"/>
    <cellStyle name="20% - Accent5 8 3 2" xfId="14639" xr:uid="{D62E5379-F487-4DC2-A5E2-128DA70969A4}"/>
    <cellStyle name="20% - Accent5 8 4" xfId="10421" xr:uid="{FA783918-C50B-475F-8C4F-B4D9503C88AD}"/>
    <cellStyle name="20% - Accent5 9" xfId="2296" xr:uid="{00000000-0005-0000-0000-00001E030000}"/>
    <cellStyle name="20% - Accent5 9 2" xfId="6602" xr:uid="{00000000-0005-0000-0000-00001F030000}"/>
    <cellStyle name="20% - Accent5 9 2 2" xfId="15052" xr:uid="{DA5703D3-F082-40D9-AFFE-F482AF7C523B}"/>
    <cellStyle name="20% - Accent5 9 3" xfId="10834" xr:uid="{D2A5F7C8-38DD-4D3D-8018-8B42C68598BA}"/>
    <cellStyle name="20% - Accent6" xfId="41" builtinId="50" customBuiltin="1"/>
    <cellStyle name="20% - Accent6 10" xfId="4544" xr:uid="{00000000-0005-0000-0000-000021030000}"/>
    <cellStyle name="20% - Accent6 10 2" xfId="12994" xr:uid="{0BBD0F20-CAF0-45B7-9E5B-0460A00C58DA}"/>
    <cellStyle name="20% - Accent6 11" xfId="8776" xr:uid="{84A2411A-9247-4E0E-A881-2BB7460BDCFF}"/>
    <cellStyle name="20% - Accent6 2" xfId="42" xr:uid="{00000000-0005-0000-0000-000022030000}"/>
    <cellStyle name="20% - Accent6 2 10" xfId="8777" xr:uid="{97DE12C2-A4C6-4D68-B0D4-283D86A22414}"/>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A18FEF1C-5575-4A0F-9F8A-F3D37BD1DBE5}"/>
    <cellStyle name="20% - Accent6 2 2 2 2 2 3" xfId="11338" xr:uid="{B5DBD3E9-82FE-44B6-B39F-D2D609AB52A3}"/>
    <cellStyle name="20% - Accent6 2 2 2 2 3" xfId="4961" xr:uid="{00000000-0005-0000-0000-000028030000}"/>
    <cellStyle name="20% - Accent6 2 2 2 2 3 2" xfId="13411" xr:uid="{7F196BBE-01C2-4CDE-94E2-78F7AB334D51}"/>
    <cellStyle name="20% - Accent6 2 2 2 2 4" xfId="9193" xr:uid="{4EBFB2A4-7959-416B-A6A5-B5C3742F8901}"/>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CD3AE0EE-733B-41F7-B0A7-581E34ABCD21}"/>
    <cellStyle name="20% - Accent6 2 2 2 3 2 3" xfId="11751" xr:uid="{30AAF04F-7859-4824-ABB8-16271B30E718}"/>
    <cellStyle name="20% - Accent6 2 2 2 3 3" xfId="5374" xr:uid="{00000000-0005-0000-0000-00002C030000}"/>
    <cellStyle name="20% - Accent6 2 2 2 3 3 2" xfId="13824" xr:uid="{4662E5EF-39BF-463C-A5F9-91B1632773F4}"/>
    <cellStyle name="20% - Accent6 2 2 2 3 4" xfId="9606" xr:uid="{F09D2FD5-727F-40F7-88DA-63F3010A3B94}"/>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B79D03E0-6C50-4310-948C-167B7CF42C4F}"/>
    <cellStyle name="20% - Accent6 2 2 2 4 2 3" xfId="12164" xr:uid="{FFD8EB68-5BEB-421B-BE54-B755DD450F17}"/>
    <cellStyle name="20% - Accent6 2 2 2 4 3" xfId="5787" xr:uid="{00000000-0005-0000-0000-000030030000}"/>
    <cellStyle name="20% - Accent6 2 2 2 4 3 2" xfId="14237" xr:uid="{676434FD-3D3C-40FB-AD6F-4842DA964A45}"/>
    <cellStyle name="20% - Accent6 2 2 2 4 4" xfId="10019" xr:uid="{797AAB5A-167D-470F-9801-D0935BD6BA73}"/>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F68C0689-478C-49D1-8890-044B025D957C}"/>
    <cellStyle name="20% - Accent6 2 2 2 5 2 3" xfId="12577" xr:uid="{7A595663-B381-4899-86F5-7341126A3FE7}"/>
    <cellStyle name="20% - Accent6 2 2 2 5 3" xfId="6200" xr:uid="{00000000-0005-0000-0000-000034030000}"/>
    <cellStyle name="20% - Accent6 2 2 2 5 3 2" xfId="14650" xr:uid="{D3FA38C1-0B64-446E-91C5-492BB9526CD9}"/>
    <cellStyle name="20% - Accent6 2 2 2 5 4" xfId="10432" xr:uid="{15D791B3-F9C3-4FE0-AEB0-38D5959F576E}"/>
    <cellStyle name="20% - Accent6 2 2 2 6" xfId="2307" xr:uid="{00000000-0005-0000-0000-000035030000}"/>
    <cellStyle name="20% - Accent6 2 2 2 6 2" xfId="6613" xr:uid="{00000000-0005-0000-0000-000036030000}"/>
    <cellStyle name="20% - Accent6 2 2 2 6 2 2" xfId="15063" xr:uid="{9B08C541-08BB-43C8-B9DF-8234136702C5}"/>
    <cellStyle name="20% - Accent6 2 2 2 6 3" xfId="10845" xr:uid="{F29C1ADB-C135-4D39-9712-506047D5FD6F}"/>
    <cellStyle name="20% - Accent6 2 2 2 7" xfId="4547" xr:uid="{00000000-0005-0000-0000-000037030000}"/>
    <cellStyle name="20% - Accent6 2 2 2 7 2" xfId="12997" xr:uid="{99745D04-F119-4032-9401-14E2E228DB9A}"/>
    <cellStyle name="20% - Accent6 2 2 2 8" xfId="8779" xr:uid="{4732D8AB-0E2C-40D8-AB38-F0CDACF1AC7E}"/>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53C845E1-6D5F-49CC-8489-00E20D72AC07}"/>
    <cellStyle name="20% - Accent6 2 2 3 2 3" xfId="11337" xr:uid="{BF7A0F40-C3C7-49BF-B238-DAD24A33161A}"/>
    <cellStyle name="20% - Accent6 2 2 3 3" xfId="4960" xr:uid="{00000000-0005-0000-0000-00003B030000}"/>
    <cellStyle name="20% - Accent6 2 2 3 3 2" xfId="13410" xr:uid="{B258B46E-7663-4B27-9364-041B4C62E5B0}"/>
    <cellStyle name="20% - Accent6 2 2 3 4" xfId="9192" xr:uid="{9AFDDB3B-702F-4A25-830D-AAC3DE04963A}"/>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2FAE47F4-02FA-4841-8F85-81F1E0AF85FB}"/>
    <cellStyle name="20% - Accent6 2 2 4 2 3" xfId="11750" xr:uid="{7B3A7BD7-55A0-4737-B9DE-A6DF2FC592F9}"/>
    <cellStyle name="20% - Accent6 2 2 4 3" xfId="5373" xr:uid="{00000000-0005-0000-0000-00003F030000}"/>
    <cellStyle name="20% - Accent6 2 2 4 3 2" xfId="13823" xr:uid="{06587202-6DB8-4EC6-96F5-A8C2E4E11E7E}"/>
    <cellStyle name="20% - Accent6 2 2 4 4" xfId="9605" xr:uid="{99DFF1F9-0698-4823-A049-ADE847BB8B6F}"/>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2B3B5D2A-399C-42E8-B0D8-B2C4B6250459}"/>
    <cellStyle name="20% - Accent6 2 2 5 2 3" xfId="12163" xr:uid="{178CD08E-10C3-4F8B-A9AF-CF6B6C036AFD}"/>
    <cellStyle name="20% - Accent6 2 2 5 3" xfId="5786" xr:uid="{00000000-0005-0000-0000-000043030000}"/>
    <cellStyle name="20% - Accent6 2 2 5 3 2" xfId="14236" xr:uid="{F996F489-A4DA-4AA7-AF6D-38B9B2E0AAD9}"/>
    <cellStyle name="20% - Accent6 2 2 5 4" xfId="10018" xr:uid="{4EAF0972-9028-47CB-AB4C-6F640D2499BC}"/>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9325FD90-9461-44E3-802C-1B1EC63F480F}"/>
    <cellStyle name="20% - Accent6 2 2 6 2 3" xfId="12576" xr:uid="{65748492-A982-4F10-AF0D-241E21A7F905}"/>
    <cellStyle name="20% - Accent6 2 2 6 3" xfId="6199" xr:uid="{00000000-0005-0000-0000-000047030000}"/>
    <cellStyle name="20% - Accent6 2 2 6 3 2" xfId="14649" xr:uid="{DB05D670-C874-4C8C-9AA6-FD2AA1642167}"/>
    <cellStyle name="20% - Accent6 2 2 6 4" xfId="10431" xr:uid="{92AD187D-B7CE-4958-9C7F-4C8DE7354FDC}"/>
    <cellStyle name="20% - Accent6 2 2 7" xfId="2306" xr:uid="{00000000-0005-0000-0000-000048030000}"/>
    <cellStyle name="20% - Accent6 2 2 7 2" xfId="6612" xr:uid="{00000000-0005-0000-0000-000049030000}"/>
    <cellStyle name="20% - Accent6 2 2 7 2 2" xfId="15062" xr:uid="{60A1CB14-85D5-49A9-B4B0-C2CCDBC34D06}"/>
    <cellStyle name="20% - Accent6 2 2 7 3" xfId="10844" xr:uid="{E4B43319-43C9-4B16-A9BE-AFA65A061C7D}"/>
    <cellStyle name="20% - Accent6 2 2 8" xfId="4546" xr:uid="{00000000-0005-0000-0000-00004A030000}"/>
    <cellStyle name="20% - Accent6 2 2 8 2" xfId="12996" xr:uid="{CF06D1A9-1963-4B4F-9E23-ECA0D917396C}"/>
    <cellStyle name="20% - Accent6 2 2 9" xfId="8778" xr:uid="{08316A6D-67EA-4D1C-9168-E028ABBCF00E}"/>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2760DE87-345F-4712-8932-2D84D7E4CF7A}"/>
    <cellStyle name="20% - Accent6 2 3 2 2 3" xfId="11339" xr:uid="{5CE3BB2A-3294-40E6-9B08-5AF0D5A7E754}"/>
    <cellStyle name="20% - Accent6 2 3 2 3" xfId="4962" xr:uid="{00000000-0005-0000-0000-00004F030000}"/>
    <cellStyle name="20% - Accent6 2 3 2 3 2" xfId="13412" xr:uid="{ED86897B-73EE-41EC-9ECA-E9389992D0AE}"/>
    <cellStyle name="20% - Accent6 2 3 2 4" xfId="9194" xr:uid="{9C032EA1-4C65-4F52-8A9A-946E0D89A3E9}"/>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5AC639CD-4C36-4036-8835-48F923749836}"/>
    <cellStyle name="20% - Accent6 2 3 3 2 3" xfId="11752" xr:uid="{06709E38-5940-4574-89E0-A484EB01E659}"/>
    <cellStyle name="20% - Accent6 2 3 3 3" xfId="5375" xr:uid="{00000000-0005-0000-0000-000053030000}"/>
    <cellStyle name="20% - Accent6 2 3 3 3 2" xfId="13825" xr:uid="{F944DBCC-24C4-4734-A76B-3A1256DB5E62}"/>
    <cellStyle name="20% - Accent6 2 3 3 4" xfId="9607" xr:uid="{9896DB02-AA3E-4CA2-9F7E-63732A2011BE}"/>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156A04AC-6725-4C51-923B-27FE88EC2D2D}"/>
    <cellStyle name="20% - Accent6 2 3 4 2 3" xfId="12165" xr:uid="{40F16AD6-4DDD-4459-8F27-477ADB47E521}"/>
    <cellStyle name="20% - Accent6 2 3 4 3" xfId="5788" xr:uid="{00000000-0005-0000-0000-000057030000}"/>
    <cellStyle name="20% - Accent6 2 3 4 3 2" xfId="14238" xr:uid="{183DA5A8-4695-4C6A-9068-3388A4250416}"/>
    <cellStyle name="20% - Accent6 2 3 4 4" xfId="10020" xr:uid="{F842CDBF-7E61-4723-9522-7DAD64A27480}"/>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491CA732-EFCD-4267-BEA3-369B8BD9A0E1}"/>
    <cellStyle name="20% - Accent6 2 3 5 2 3" xfId="12578" xr:uid="{E731DECF-7330-4572-B391-CD2035AB70A2}"/>
    <cellStyle name="20% - Accent6 2 3 5 3" xfId="6201" xr:uid="{00000000-0005-0000-0000-00005B030000}"/>
    <cellStyle name="20% - Accent6 2 3 5 3 2" xfId="14651" xr:uid="{B1728051-CEA0-4798-9630-3E6799BB65E0}"/>
    <cellStyle name="20% - Accent6 2 3 5 4" xfId="10433" xr:uid="{59CCF458-2352-4E9F-B7F2-1F4F9EF6329B}"/>
    <cellStyle name="20% - Accent6 2 3 6" xfId="2308" xr:uid="{00000000-0005-0000-0000-00005C030000}"/>
    <cellStyle name="20% - Accent6 2 3 6 2" xfId="6614" xr:uid="{00000000-0005-0000-0000-00005D030000}"/>
    <cellStyle name="20% - Accent6 2 3 6 2 2" xfId="15064" xr:uid="{A9CDB671-9DED-4FDB-BA90-385F48763B2B}"/>
    <cellStyle name="20% - Accent6 2 3 6 3" xfId="10846" xr:uid="{00940BC9-740A-49E6-A243-EB82D322C550}"/>
    <cellStyle name="20% - Accent6 2 3 7" xfId="4548" xr:uid="{00000000-0005-0000-0000-00005E030000}"/>
    <cellStyle name="20% - Accent6 2 3 7 2" xfId="12998" xr:uid="{7924B5AF-BABA-4E43-A38F-16A08D515E9F}"/>
    <cellStyle name="20% - Accent6 2 3 8" xfId="8780" xr:uid="{37D809F6-FAC5-4F54-BD50-91299D608142}"/>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B3143298-086C-415C-BE76-2A28E1919A25}"/>
    <cellStyle name="20% - Accent6 2 4 2 3" xfId="11336" xr:uid="{9DC38846-5955-4A5B-95B0-C16DEA0C2D4D}"/>
    <cellStyle name="20% - Accent6 2 4 3" xfId="4959" xr:uid="{00000000-0005-0000-0000-000062030000}"/>
    <cellStyle name="20% - Accent6 2 4 3 2" xfId="13409" xr:uid="{7D65981B-B6DA-407C-9DE7-6DE5611916DA}"/>
    <cellStyle name="20% - Accent6 2 4 4" xfId="9191" xr:uid="{F1A6821C-987B-4EAC-8B88-05738DB85B9E}"/>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987534F3-70F4-4B45-A0CB-A34A4FA0AE6C}"/>
    <cellStyle name="20% - Accent6 2 5 2 3" xfId="11749" xr:uid="{D9C337A7-D2DB-4007-BE52-D744F53F0A5E}"/>
    <cellStyle name="20% - Accent6 2 5 3" xfId="5372" xr:uid="{00000000-0005-0000-0000-000066030000}"/>
    <cellStyle name="20% - Accent6 2 5 3 2" xfId="13822" xr:uid="{0F758EA3-320C-4458-9361-5A87023B8F52}"/>
    <cellStyle name="20% - Accent6 2 5 4" xfId="9604" xr:uid="{10539FFB-0097-4807-A545-81A5D47251EA}"/>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4E8BDD2E-8100-4A92-81C3-700748E3BD9C}"/>
    <cellStyle name="20% - Accent6 2 6 2 3" xfId="12162" xr:uid="{48012AA7-C495-4C9C-AD4F-5F3274375C90}"/>
    <cellStyle name="20% - Accent6 2 6 3" xfId="5785" xr:uid="{00000000-0005-0000-0000-00006A030000}"/>
    <cellStyle name="20% - Accent6 2 6 3 2" xfId="14235" xr:uid="{346003DB-E36A-436A-89BB-D1E9C89039B7}"/>
    <cellStyle name="20% - Accent6 2 6 4" xfId="10017" xr:uid="{EEA7B3A8-EA9B-4E50-8E7D-FC9873FF6608}"/>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A4793D63-FD4F-40B6-91F7-DB944D41139E}"/>
    <cellStyle name="20% - Accent6 2 7 2 3" xfId="12575" xr:uid="{51BEFFFC-5CDB-4F14-BE7C-028234C41F84}"/>
    <cellStyle name="20% - Accent6 2 7 3" xfId="6198" xr:uid="{00000000-0005-0000-0000-00006E030000}"/>
    <cellStyle name="20% - Accent6 2 7 3 2" xfId="14648" xr:uid="{A7FD722F-5A32-40F4-8961-61AB015A5C2E}"/>
    <cellStyle name="20% - Accent6 2 7 4" xfId="10430" xr:uid="{E7E162BD-3FC0-4B15-9C88-5107969121EA}"/>
    <cellStyle name="20% - Accent6 2 8" xfId="2305" xr:uid="{00000000-0005-0000-0000-00006F030000}"/>
    <cellStyle name="20% - Accent6 2 8 2" xfId="6611" xr:uid="{00000000-0005-0000-0000-000070030000}"/>
    <cellStyle name="20% - Accent6 2 8 2 2" xfId="15061" xr:uid="{C931D24E-9AC6-40AC-9617-DFC5C7FBE87E}"/>
    <cellStyle name="20% - Accent6 2 8 3" xfId="10843" xr:uid="{C4482CBA-B061-4C0A-A3D4-AC65CF37AFBF}"/>
    <cellStyle name="20% - Accent6 2 9" xfId="4545" xr:uid="{00000000-0005-0000-0000-000071030000}"/>
    <cellStyle name="20% - Accent6 2 9 2" xfId="12995" xr:uid="{BAFD9521-DFA0-495B-A537-D069C6B8A944}"/>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33FD1ECF-0A5C-43BB-9A26-65EDA764A656}"/>
    <cellStyle name="20% - Accent6 3 2 2 2 3" xfId="11341" xr:uid="{9C76D2A6-02F1-475A-B71D-7FBFB8DA3057}"/>
    <cellStyle name="20% - Accent6 3 2 2 3" xfId="4964" xr:uid="{00000000-0005-0000-0000-000077030000}"/>
    <cellStyle name="20% - Accent6 3 2 2 3 2" xfId="13414" xr:uid="{C0DB2B0E-9A52-44B0-BD32-CC5F13DC9E8A}"/>
    <cellStyle name="20% - Accent6 3 2 2 4" xfId="9196" xr:uid="{2EC8BEC6-529E-4B9A-B741-385DE3833075}"/>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F10C1D13-3BD8-4ADB-A1A2-2471DC2C0B22}"/>
    <cellStyle name="20% - Accent6 3 2 3 2 3" xfId="11754" xr:uid="{53650F75-8290-4F9B-99E3-2A1B311B5AFD}"/>
    <cellStyle name="20% - Accent6 3 2 3 3" xfId="5377" xr:uid="{00000000-0005-0000-0000-00007B030000}"/>
    <cellStyle name="20% - Accent6 3 2 3 3 2" xfId="13827" xr:uid="{B9ACB771-0E6B-4875-93BE-994216509307}"/>
    <cellStyle name="20% - Accent6 3 2 3 4" xfId="9609" xr:uid="{A3DF69BB-6C28-4A57-83C3-060E80B84C8A}"/>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222DFCBC-6D45-4174-887E-E790E76027F9}"/>
    <cellStyle name="20% - Accent6 3 2 4 2 3" xfId="12167" xr:uid="{A36B3E03-7E3F-401C-A69B-D478C5C87A21}"/>
    <cellStyle name="20% - Accent6 3 2 4 3" xfId="5790" xr:uid="{00000000-0005-0000-0000-00007F030000}"/>
    <cellStyle name="20% - Accent6 3 2 4 3 2" xfId="14240" xr:uid="{E922AC34-6031-48E4-AEEF-B7540899DD4F}"/>
    <cellStyle name="20% - Accent6 3 2 4 4" xfId="10022" xr:uid="{74339673-C6CA-45D7-965E-EDE1F0D9088D}"/>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DE4A0A61-7402-49BB-B1CA-4B616608582A}"/>
    <cellStyle name="20% - Accent6 3 2 5 2 3" xfId="12580" xr:uid="{376B4C4A-B4F0-46F0-9945-CAB81CD6CB31}"/>
    <cellStyle name="20% - Accent6 3 2 5 3" xfId="6203" xr:uid="{00000000-0005-0000-0000-000083030000}"/>
    <cellStyle name="20% - Accent6 3 2 5 3 2" xfId="14653" xr:uid="{13663723-AEC4-417F-9559-CC64857386B7}"/>
    <cellStyle name="20% - Accent6 3 2 5 4" xfId="10435" xr:uid="{DA743983-0BDA-4984-A07B-56758A2AACBE}"/>
    <cellStyle name="20% - Accent6 3 2 6" xfId="2310" xr:uid="{00000000-0005-0000-0000-000084030000}"/>
    <cellStyle name="20% - Accent6 3 2 6 2" xfId="6616" xr:uid="{00000000-0005-0000-0000-000085030000}"/>
    <cellStyle name="20% - Accent6 3 2 6 2 2" xfId="15066" xr:uid="{B47E14BA-B24E-4959-8558-BA1B99A62C6B}"/>
    <cellStyle name="20% - Accent6 3 2 6 3" xfId="10848" xr:uid="{B07B0F0D-2C45-45F1-B1B4-70581C6ABCA5}"/>
    <cellStyle name="20% - Accent6 3 2 7" xfId="4550" xr:uid="{00000000-0005-0000-0000-000086030000}"/>
    <cellStyle name="20% - Accent6 3 2 7 2" xfId="13000" xr:uid="{CF3E9562-045C-4BF1-865F-18F4E39BD551}"/>
    <cellStyle name="20% - Accent6 3 2 8" xfId="8782" xr:uid="{4E2957CF-B289-40EF-8945-C67EF2BFBBB2}"/>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19C14CF1-6385-4E30-8AAD-1BB3CAE80521}"/>
    <cellStyle name="20% - Accent6 3 3 2 3" xfId="11340" xr:uid="{48FF9CCA-C681-4BD5-84DA-49497F006BF8}"/>
    <cellStyle name="20% - Accent6 3 3 3" xfId="4963" xr:uid="{00000000-0005-0000-0000-00008A030000}"/>
    <cellStyle name="20% - Accent6 3 3 3 2" xfId="13413" xr:uid="{8349A5FF-AAAD-4448-8A23-A912BF8A47C2}"/>
    <cellStyle name="20% - Accent6 3 3 4" xfId="9195" xr:uid="{9424CDA5-C56D-4A52-BB3F-E8F8312D4A83}"/>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BE515044-5D78-42EB-A538-14BCCAD592BA}"/>
    <cellStyle name="20% - Accent6 3 4 2 3" xfId="11753" xr:uid="{345B3576-7B9F-4EB2-8B80-970635B4ABB2}"/>
    <cellStyle name="20% - Accent6 3 4 3" xfId="5376" xr:uid="{00000000-0005-0000-0000-00008E030000}"/>
    <cellStyle name="20% - Accent6 3 4 3 2" xfId="13826" xr:uid="{1DA7F31D-C54A-46C6-83CE-CFE74D8B512C}"/>
    <cellStyle name="20% - Accent6 3 4 4" xfId="9608" xr:uid="{5E4B61C5-5DE0-4956-A1CB-11330B3AA0B7}"/>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73532EA3-1650-4909-B5B7-29796F58473B}"/>
    <cellStyle name="20% - Accent6 3 5 2 3" xfId="12166" xr:uid="{5A3214D2-98D9-49AC-84F1-889E01E39001}"/>
    <cellStyle name="20% - Accent6 3 5 3" xfId="5789" xr:uid="{00000000-0005-0000-0000-000092030000}"/>
    <cellStyle name="20% - Accent6 3 5 3 2" xfId="14239" xr:uid="{4CFCAFA0-B0E1-4F04-92C2-CA4C56BAD234}"/>
    <cellStyle name="20% - Accent6 3 5 4" xfId="10021" xr:uid="{B870694D-9813-4AE5-AC40-8C7933DEDDC0}"/>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D54EE942-6FE7-40F9-AAE7-0C7558A66809}"/>
    <cellStyle name="20% - Accent6 3 6 2 3" xfId="12579" xr:uid="{96998AC9-F555-40B7-9B75-E702CED98B3A}"/>
    <cellStyle name="20% - Accent6 3 6 3" xfId="6202" xr:uid="{00000000-0005-0000-0000-000096030000}"/>
    <cellStyle name="20% - Accent6 3 6 3 2" xfId="14652" xr:uid="{7456B100-4433-45AC-9106-C27856F760C8}"/>
    <cellStyle name="20% - Accent6 3 6 4" xfId="10434" xr:uid="{145B250F-F7D7-414B-BE66-536C8B2BFF85}"/>
    <cellStyle name="20% - Accent6 3 7" xfId="2309" xr:uid="{00000000-0005-0000-0000-000097030000}"/>
    <cellStyle name="20% - Accent6 3 7 2" xfId="6615" xr:uid="{00000000-0005-0000-0000-000098030000}"/>
    <cellStyle name="20% - Accent6 3 7 2 2" xfId="15065" xr:uid="{B7FFE7BB-4863-4967-A935-B0529FE112F9}"/>
    <cellStyle name="20% - Accent6 3 7 3" xfId="10847" xr:uid="{378488CA-7FF7-4B87-9D3B-6B6A5977AD4E}"/>
    <cellStyle name="20% - Accent6 3 8" xfId="4549" xr:uid="{00000000-0005-0000-0000-000099030000}"/>
    <cellStyle name="20% - Accent6 3 8 2" xfId="12999" xr:uid="{D69EB8FF-8B82-4677-A77D-D024F137CD6B}"/>
    <cellStyle name="20% - Accent6 3 9" xfId="8781" xr:uid="{3A34682E-5DF3-41C4-B8C9-949A118AACC7}"/>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04B5AB56-DC9D-4290-8ABB-8528F87257C7}"/>
    <cellStyle name="20% - Accent6 4 2 2 3" xfId="11342" xr:uid="{9C25A341-4306-40B3-809C-22EC51DEDE70}"/>
    <cellStyle name="20% - Accent6 4 2 3" xfId="4965" xr:uid="{00000000-0005-0000-0000-00009E030000}"/>
    <cellStyle name="20% - Accent6 4 2 3 2" xfId="13415" xr:uid="{75C895E3-2B7F-48DF-A2CD-9FB1E2986195}"/>
    <cellStyle name="20% - Accent6 4 2 4" xfId="9197" xr:uid="{51EFE451-4E18-4123-A996-CA771F0A51C9}"/>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A94D9E48-64D8-44DE-983C-53D460D6EC7A}"/>
    <cellStyle name="20% - Accent6 4 3 2 3" xfId="11755" xr:uid="{3F0A34C2-6D96-434E-AD57-115FFCA28E66}"/>
    <cellStyle name="20% - Accent6 4 3 3" xfId="5378" xr:uid="{00000000-0005-0000-0000-0000A2030000}"/>
    <cellStyle name="20% - Accent6 4 3 3 2" xfId="13828" xr:uid="{7AC2A28A-ACFC-4711-9D92-F9D691033DAC}"/>
    <cellStyle name="20% - Accent6 4 3 4" xfId="9610" xr:uid="{2964C41A-7FF0-494B-B1B1-2CAC8A71DED4}"/>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130012A8-735E-4AC1-90F5-1254CA650BE4}"/>
    <cellStyle name="20% - Accent6 4 4 2 3" xfId="12168" xr:uid="{1E76D6D8-4237-40AC-AE9F-5C194C512A54}"/>
    <cellStyle name="20% - Accent6 4 4 3" xfId="5791" xr:uid="{00000000-0005-0000-0000-0000A6030000}"/>
    <cellStyle name="20% - Accent6 4 4 3 2" xfId="14241" xr:uid="{5AE63BB0-0C34-47A5-B079-7CE4D512B303}"/>
    <cellStyle name="20% - Accent6 4 4 4" xfId="10023" xr:uid="{D5B9A597-2674-447E-9BC1-FAEDEE9CEB4C}"/>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1B217F39-C226-42B5-B219-D52BA16B1413}"/>
    <cellStyle name="20% - Accent6 4 5 2 3" xfId="12581" xr:uid="{D044FAFD-D9C1-40D0-959D-6B8FD7A5EBAC}"/>
    <cellStyle name="20% - Accent6 4 5 3" xfId="6204" xr:uid="{00000000-0005-0000-0000-0000AA030000}"/>
    <cellStyle name="20% - Accent6 4 5 3 2" xfId="14654" xr:uid="{1ED0E069-D080-41D5-A773-415C2D0B2F1D}"/>
    <cellStyle name="20% - Accent6 4 5 4" xfId="10436" xr:uid="{7EDCDC1E-06CD-4025-9097-4B4D33A5C6F0}"/>
    <cellStyle name="20% - Accent6 4 6" xfId="2311" xr:uid="{00000000-0005-0000-0000-0000AB030000}"/>
    <cellStyle name="20% - Accent6 4 6 2" xfId="6617" xr:uid="{00000000-0005-0000-0000-0000AC030000}"/>
    <cellStyle name="20% - Accent6 4 6 2 2" xfId="15067" xr:uid="{F95C50BA-900A-4F44-8654-A56173ACDF25}"/>
    <cellStyle name="20% - Accent6 4 6 3" xfId="10849" xr:uid="{E5C4C7E7-F470-4B55-A687-D3677EA4054C}"/>
    <cellStyle name="20% - Accent6 4 7" xfId="4551" xr:uid="{00000000-0005-0000-0000-0000AD030000}"/>
    <cellStyle name="20% - Accent6 4 7 2" xfId="13001" xr:uid="{73C6A4CB-3C2A-4BC2-AC9C-004AF4AC6F01}"/>
    <cellStyle name="20% - Accent6 4 8" xfId="8783" xr:uid="{E3720289-4F59-43EF-B472-85B9ECA6839D}"/>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A086E34F-A2C4-4931-9FE5-FF8AE69F1A66}"/>
    <cellStyle name="20% - Accent6 5 2 3" xfId="11335" xr:uid="{2125D966-06C0-44AC-8807-2D7E05F9EDC6}"/>
    <cellStyle name="20% - Accent6 5 3" xfId="4958" xr:uid="{00000000-0005-0000-0000-0000B1030000}"/>
    <cellStyle name="20% - Accent6 5 3 2" xfId="13408" xr:uid="{8AE181DC-0282-4FF0-9494-CDB1C20F43E0}"/>
    <cellStyle name="20% - Accent6 5 4" xfId="9190" xr:uid="{A6FBCDAE-752E-478F-BED6-A04D2B990E29}"/>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8B3F90F6-BF86-44B6-8952-8F85BF821C82}"/>
    <cellStyle name="20% - Accent6 6 2 3" xfId="11748" xr:uid="{DF66D557-D632-443C-BD97-97306EFB7C76}"/>
    <cellStyle name="20% - Accent6 6 3" xfId="5371" xr:uid="{00000000-0005-0000-0000-0000B5030000}"/>
    <cellStyle name="20% - Accent6 6 3 2" xfId="13821" xr:uid="{1A37A75E-F756-4940-A392-F6F9DA73703C}"/>
    <cellStyle name="20% - Accent6 6 4" xfId="9603" xr:uid="{3EA76D8F-2151-4DCB-8463-839EF5C87119}"/>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DCA7FEB0-DB3B-4D72-9D35-4C8ABD455A1F}"/>
    <cellStyle name="20% - Accent6 7 2 3" xfId="12161" xr:uid="{BFBF9DCD-581A-4EBA-8820-34903DD977FC}"/>
    <cellStyle name="20% - Accent6 7 3" xfId="5784" xr:uid="{00000000-0005-0000-0000-0000B9030000}"/>
    <cellStyle name="20% - Accent6 7 3 2" xfId="14234" xr:uid="{C9D3B7D8-C388-4BA7-82EE-09DC4ECAF7AB}"/>
    <cellStyle name="20% - Accent6 7 4" xfId="10016" xr:uid="{B22D147F-EE5D-47AF-BFA9-EB093934730B}"/>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506072E7-CA4F-4526-AC0E-A43099FCE65B}"/>
    <cellStyle name="20% - Accent6 8 2 3" xfId="12574" xr:uid="{BC50DA46-67A4-49E9-A246-556BDA708A3E}"/>
    <cellStyle name="20% - Accent6 8 3" xfId="6197" xr:uid="{00000000-0005-0000-0000-0000BD030000}"/>
    <cellStyle name="20% - Accent6 8 3 2" xfId="14647" xr:uid="{121DE5F0-CB2C-4C0C-A0B9-DF4C0A342A48}"/>
    <cellStyle name="20% - Accent6 8 4" xfId="10429" xr:uid="{86BB2706-68B0-4542-B823-702A12BC7382}"/>
    <cellStyle name="20% - Accent6 9" xfId="2304" xr:uid="{00000000-0005-0000-0000-0000BE030000}"/>
    <cellStyle name="20% - Accent6 9 2" xfId="6610" xr:uid="{00000000-0005-0000-0000-0000BF030000}"/>
    <cellStyle name="20% - Accent6 9 2 2" xfId="15060" xr:uid="{388D9D08-E254-4919-9A77-E54F29261AEB}"/>
    <cellStyle name="20% - Accent6 9 3" xfId="10842" xr:uid="{38DE988D-E689-4E16-A7BB-31A509BA2F82}"/>
    <cellStyle name="40% - Accent1" xfId="49" builtinId="31" customBuiltin="1"/>
    <cellStyle name="40% - Accent1 10" xfId="4552" xr:uid="{00000000-0005-0000-0000-0000C1030000}"/>
    <cellStyle name="40% - Accent1 10 2" xfId="13002" xr:uid="{FB3D369E-5A6D-43B1-A22D-EFCB03D31EA7}"/>
    <cellStyle name="40% - Accent1 11" xfId="8784" xr:uid="{6BE5E346-2F71-4655-AE83-068D286A6463}"/>
    <cellStyle name="40% - Accent1 2" xfId="50" xr:uid="{00000000-0005-0000-0000-0000C2030000}"/>
    <cellStyle name="40% - Accent1 2 10" xfId="8785" xr:uid="{C4BCF208-4826-427B-B0BA-51800EBB14AB}"/>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7557E069-64DB-4DEE-B56F-45E09CD9722A}"/>
    <cellStyle name="40% - Accent1 2 2 2 2 2 3" xfId="11346" xr:uid="{19663B14-C866-45D7-9218-1F3328220465}"/>
    <cellStyle name="40% - Accent1 2 2 2 2 3" xfId="4969" xr:uid="{00000000-0005-0000-0000-0000C8030000}"/>
    <cellStyle name="40% - Accent1 2 2 2 2 3 2" xfId="13419" xr:uid="{DEF7AAE5-8F87-4879-B0B0-3FEFA98E0381}"/>
    <cellStyle name="40% - Accent1 2 2 2 2 4" xfId="9201" xr:uid="{256B3B4C-E7CA-40E1-94E5-1625D6CDE2D7}"/>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2ADACB86-6AF0-4778-A6BA-4325539EDEAC}"/>
    <cellStyle name="40% - Accent1 2 2 2 3 2 3" xfId="11759" xr:uid="{770D5545-12D5-4900-BC5C-AD7BFC549624}"/>
    <cellStyle name="40% - Accent1 2 2 2 3 3" xfId="5382" xr:uid="{00000000-0005-0000-0000-0000CC030000}"/>
    <cellStyle name="40% - Accent1 2 2 2 3 3 2" xfId="13832" xr:uid="{3B4B0DE2-23A4-4652-9A8D-5B2AB0035EFE}"/>
    <cellStyle name="40% - Accent1 2 2 2 3 4" xfId="9614" xr:uid="{BFAD0B74-F0B1-4AA2-B80B-F27537FEDE2E}"/>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50182B4D-97A9-4BEF-B2AF-95233EFFE398}"/>
    <cellStyle name="40% - Accent1 2 2 2 4 2 3" xfId="12172" xr:uid="{02305421-38D4-49D3-A721-FAB5EDC69E3E}"/>
    <cellStyle name="40% - Accent1 2 2 2 4 3" xfId="5795" xr:uid="{00000000-0005-0000-0000-0000D0030000}"/>
    <cellStyle name="40% - Accent1 2 2 2 4 3 2" xfId="14245" xr:uid="{6A4F15B2-172A-47E6-ACA6-CF54AAE989BE}"/>
    <cellStyle name="40% - Accent1 2 2 2 4 4" xfId="10027" xr:uid="{18A61A1E-9B84-4E40-8A73-59FED9E4D66C}"/>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76878441-BADC-4808-8DB8-7CB0570C2806}"/>
    <cellStyle name="40% - Accent1 2 2 2 5 2 3" xfId="12585" xr:uid="{17484C21-FE97-44FF-AF63-317780A1313D}"/>
    <cellStyle name="40% - Accent1 2 2 2 5 3" xfId="6208" xr:uid="{00000000-0005-0000-0000-0000D4030000}"/>
    <cellStyle name="40% - Accent1 2 2 2 5 3 2" xfId="14658" xr:uid="{0AED183B-B507-42A8-96E0-FCA301343998}"/>
    <cellStyle name="40% - Accent1 2 2 2 5 4" xfId="10440" xr:uid="{684C2211-7A20-4D61-A9DA-D82C395B71DA}"/>
    <cellStyle name="40% - Accent1 2 2 2 6" xfId="2315" xr:uid="{00000000-0005-0000-0000-0000D5030000}"/>
    <cellStyle name="40% - Accent1 2 2 2 6 2" xfId="6621" xr:uid="{00000000-0005-0000-0000-0000D6030000}"/>
    <cellStyle name="40% - Accent1 2 2 2 6 2 2" xfId="15071" xr:uid="{AE35C666-3D1C-45A1-8B60-B5E086150163}"/>
    <cellStyle name="40% - Accent1 2 2 2 6 3" xfId="10853" xr:uid="{74782400-13A7-49C4-B774-D5F1B75C1EAA}"/>
    <cellStyle name="40% - Accent1 2 2 2 7" xfId="4555" xr:uid="{00000000-0005-0000-0000-0000D7030000}"/>
    <cellStyle name="40% - Accent1 2 2 2 7 2" xfId="13005" xr:uid="{947A4D1C-056B-47EC-801A-EF7C44DA6819}"/>
    <cellStyle name="40% - Accent1 2 2 2 8" xfId="8787" xr:uid="{72D223D3-7127-4B67-8BA9-43043944B8D8}"/>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78FA756C-5FB7-4113-838A-67E30D6B9BFF}"/>
    <cellStyle name="40% - Accent1 2 2 3 2 3" xfId="11345" xr:uid="{E029F542-66AC-4913-9CCC-0366B00CAA4B}"/>
    <cellStyle name="40% - Accent1 2 2 3 3" xfId="4968" xr:uid="{00000000-0005-0000-0000-0000DB030000}"/>
    <cellStyle name="40% - Accent1 2 2 3 3 2" xfId="13418" xr:uid="{714F608F-E3BC-4256-934F-3760F7B1F2DB}"/>
    <cellStyle name="40% - Accent1 2 2 3 4" xfId="9200" xr:uid="{043AF176-825F-4DC2-BE4C-A15E0CC909AD}"/>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64F562F1-291E-420A-8760-1755D54EBD88}"/>
    <cellStyle name="40% - Accent1 2 2 4 2 3" xfId="11758" xr:uid="{FAB57259-914D-43AF-84ED-C13E97B40A35}"/>
    <cellStyle name="40% - Accent1 2 2 4 3" xfId="5381" xr:uid="{00000000-0005-0000-0000-0000DF030000}"/>
    <cellStyle name="40% - Accent1 2 2 4 3 2" xfId="13831" xr:uid="{315E01BD-6F7F-455A-AD3F-50B9E2EF8B48}"/>
    <cellStyle name="40% - Accent1 2 2 4 4" xfId="9613" xr:uid="{62C236C4-F173-44E3-A3C5-116B471F810E}"/>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78D74299-7D8F-4118-80D0-F60B1997596C}"/>
    <cellStyle name="40% - Accent1 2 2 5 2 3" xfId="12171" xr:uid="{329D2016-E57E-40B5-84B6-A3B9247971BB}"/>
    <cellStyle name="40% - Accent1 2 2 5 3" xfId="5794" xr:uid="{00000000-0005-0000-0000-0000E3030000}"/>
    <cellStyle name="40% - Accent1 2 2 5 3 2" xfId="14244" xr:uid="{C392F0EA-CE25-4ED6-87FF-F20936C6E51F}"/>
    <cellStyle name="40% - Accent1 2 2 5 4" xfId="10026" xr:uid="{AAF418D6-0678-4092-991A-3618AC39577C}"/>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49B6B70D-D00E-4EDE-8BFF-E2C493C2648F}"/>
    <cellStyle name="40% - Accent1 2 2 6 2 3" xfId="12584" xr:uid="{123CF911-027E-4CCF-8B30-4483A321CD33}"/>
    <cellStyle name="40% - Accent1 2 2 6 3" xfId="6207" xr:uid="{00000000-0005-0000-0000-0000E7030000}"/>
    <cellStyle name="40% - Accent1 2 2 6 3 2" xfId="14657" xr:uid="{53E3B5F1-16CC-4E4F-900E-59F2508840B0}"/>
    <cellStyle name="40% - Accent1 2 2 6 4" xfId="10439" xr:uid="{CAADC8E6-A9DA-48DC-A8DE-315D0FD22A5B}"/>
    <cellStyle name="40% - Accent1 2 2 7" xfId="2314" xr:uid="{00000000-0005-0000-0000-0000E8030000}"/>
    <cellStyle name="40% - Accent1 2 2 7 2" xfId="6620" xr:uid="{00000000-0005-0000-0000-0000E9030000}"/>
    <cellStyle name="40% - Accent1 2 2 7 2 2" xfId="15070" xr:uid="{855958EB-C270-4BFF-A923-3E4E710CD160}"/>
    <cellStyle name="40% - Accent1 2 2 7 3" xfId="10852" xr:uid="{1E03083C-B0C1-403C-AA14-4798B0855CC2}"/>
    <cellStyle name="40% - Accent1 2 2 8" xfId="4554" xr:uid="{00000000-0005-0000-0000-0000EA030000}"/>
    <cellStyle name="40% - Accent1 2 2 8 2" xfId="13004" xr:uid="{4AF78BD1-B404-4832-88F2-B28B8D8664D8}"/>
    <cellStyle name="40% - Accent1 2 2 9" xfId="8786" xr:uid="{9E629DBD-1A9E-4097-8CA3-AA180ABF7243}"/>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0C8601CD-7F5B-4BE8-90E1-A210354BAB7E}"/>
    <cellStyle name="40% - Accent1 2 3 2 2 3" xfId="11347" xr:uid="{1C3018A7-48C4-40C1-857D-3644020C3CE9}"/>
    <cellStyle name="40% - Accent1 2 3 2 3" xfId="4970" xr:uid="{00000000-0005-0000-0000-0000EF030000}"/>
    <cellStyle name="40% - Accent1 2 3 2 3 2" xfId="13420" xr:uid="{3D46D4AF-4576-4CEA-A4E7-D71DECDE7CC9}"/>
    <cellStyle name="40% - Accent1 2 3 2 4" xfId="9202" xr:uid="{AF26FDFF-35A5-40BD-A907-AEF7AE8434F9}"/>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38A81779-19D6-4BB6-A631-1EE7BCAA0C7E}"/>
    <cellStyle name="40% - Accent1 2 3 3 2 3" xfId="11760" xr:uid="{20820B0D-FFA8-49D8-B953-C960D9564187}"/>
    <cellStyle name="40% - Accent1 2 3 3 3" xfId="5383" xr:uid="{00000000-0005-0000-0000-0000F3030000}"/>
    <cellStyle name="40% - Accent1 2 3 3 3 2" xfId="13833" xr:uid="{EBC13C48-0C35-4203-9190-0E0D22199162}"/>
    <cellStyle name="40% - Accent1 2 3 3 4" xfId="9615" xr:uid="{8C613FFF-D003-4762-80EA-9598BDC5E934}"/>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9EAA918D-D370-4342-93F8-2CC5976AED31}"/>
    <cellStyle name="40% - Accent1 2 3 4 2 3" xfId="12173" xr:uid="{7F86508A-5B8B-4BA2-B801-1A8023BC9BAB}"/>
    <cellStyle name="40% - Accent1 2 3 4 3" xfId="5796" xr:uid="{00000000-0005-0000-0000-0000F7030000}"/>
    <cellStyle name="40% - Accent1 2 3 4 3 2" xfId="14246" xr:uid="{76FB56CB-5B97-4321-8034-1CD562105B6D}"/>
    <cellStyle name="40% - Accent1 2 3 4 4" xfId="10028" xr:uid="{EA85D0D5-57EC-4B62-A4BA-D526D60F1C21}"/>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76E7BFA5-6B32-4D43-9EC3-DBB1F323EED6}"/>
    <cellStyle name="40% - Accent1 2 3 5 2 3" xfId="12586" xr:uid="{3DA116F7-7B06-48FF-9AAF-325257853993}"/>
    <cellStyle name="40% - Accent1 2 3 5 3" xfId="6209" xr:uid="{00000000-0005-0000-0000-0000FB030000}"/>
    <cellStyle name="40% - Accent1 2 3 5 3 2" xfId="14659" xr:uid="{D48A57E0-C372-49E9-8CB6-E1A9C5904EBB}"/>
    <cellStyle name="40% - Accent1 2 3 5 4" xfId="10441" xr:uid="{BA1DAE04-812E-4F52-8B14-50D9EBB5E5F8}"/>
    <cellStyle name="40% - Accent1 2 3 6" xfId="2316" xr:uid="{00000000-0005-0000-0000-0000FC030000}"/>
    <cellStyle name="40% - Accent1 2 3 6 2" xfId="6622" xr:uid="{00000000-0005-0000-0000-0000FD030000}"/>
    <cellStyle name="40% - Accent1 2 3 6 2 2" xfId="15072" xr:uid="{4F2F38B6-500A-4C99-B6A4-8BBB5A8D0A67}"/>
    <cellStyle name="40% - Accent1 2 3 6 3" xfId="10854" xr:uid="{3154E316-F050-4947-87CE-1C12493BB964}"/>
    <cellStyle name="40% - Accent1 2 3 7" xfId="4556" xr:uid="{00000000-0005-0000-0000-0000FE030000}"/>
    <cellStyle name="40% - Accent1 2 3 7 2" xfId="13006" xr:uid="{A7DC6FD1-F3CE-4F94-B096-9C4FDD1EDC5A}"/>
    <cellStyle name="40% - Accent1 2 3 8" xfId="8788" xr:uid="{7CF8AFA3-CDAA-4ACF-AAE4-67A67F3B2E1A}"/>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58F266E0-BF1F-4BA6-86D4-69878AD0B7FE}"/>
    <cellStyle name="40% - Accent1 2 4 2 3" xfId="11344" xr:uid="{334DEFCA-6CBB-4BBD-9482-ED0CBB24900B}"/>
    <cellStyle name="40% - Accent1 2 4 3" xfId="4967" xr:uid="{00000000-0005-0000-0000-000002040000}"/>
    <cellStyle name="40% - Accent1 2 4 3 2" xfId="13417" xr:uid="{BB12D106-C2BA-4EB3-9B2F-04F016109212}"/>
    <cellStyle name="40% - Accent1 2 4 4" xfId="9199" xr:uid="{F2AE5934-0493-4A8F-9894-70D05A9E125D}"/>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81BEDDDB-BAD0-47AD-B6EF-186069061628}"/>
    <cellStyle name="40% - Accent1 2 5 2 3" xfId="11757" xr:uid="{614EC112-BEA6-499B-B7A6-6901312146E5}"/>
    <cellStyle name="40% - Accent1 2 5 3" xfId="5380" xr:uid="{00000000-0005-0000-0000-000006040000}"/>
    <cellStyle name="40% - Accent1 2 5 3 2" xfId="13830" xr:uid="{1D807748-FAA8-4CCD-AA1E-284F829B050E}"/>
    <cellStyle name="40% - Accent1 2 5 4" xfId="9612" xr:uid="{93B1AE77-A3B1-4278-BD04-4D33725D23FD}"/>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B5C7EBA9-DF27-4F85-82C0-A2FC01655166}"/>
    <cellStyle name="40% - Accent1 2 6 2 3" xfId="12170" xr:uid="{3DE004E2-095B-457B-9B46-50EE34A8F9D2}"/>
    <cellStyle name="40% - Accent1 2 6 3" xfId="5793" xr:uid="{00000000-0005-0000-0000-00000A040000}"/>
    <cellStyle name="40% - Accent1 2 6 3 2" xfId="14243" xr:uid="{ED850F57-A875-49F8-91CE-B4E145FA8A6C}"/>
    <cellStyle name="40% - Accent1 2 6 4" xfId="10025" xr:uid="{225D5815-EF21-4BC7-86DD-BD96B22B353C}"/>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6CB69677-6F6A-497F-A1AC-2A66FE4BB19B}"/>
    <cellStyle name="40% - Accent1 2 7 2 3" xfId="12583" xr:uid="{B190C50D-AFFC-4147-A599-C2DF27A09EBF}"/>
    <cellStyle name="40% - Accent1 2 7 3" xfId="6206" xr:uid="{00000000-0005-0000-0000-00000E040000}"/>
    <cellStyle name="40% - Accent1 2 7 3 2" xfId="14656" xr:uid="{B891C700-D945-4B91-9481-A69BD58AD255}"/>
    <cellStyle name="40% - Accent1 2 7 4" xfId="10438" xr:uid="{8ECC4434-EF36-463F-9278-05E04DB8788B}"/>
    <cellStyle name="40% - Accent1 2 8" xfId="2313" xr:uid="{00000000-0005-0000-0000-00000F040000}"/>
    <cellStyle name="40% - Accent1 2 8 2" xfId="6619" xr:uid="{00000000-0005-0000-0000-000010040000}"/>
    <cellStyle name="40% - Accent1 2 8 2 2" xfId="15069" xr:uid="{2D9A5D1F-5F12-48C1-8602-9EA16CEADA51}"/>
    <cellStyle name="40% - Accent1 2 8 3" xfId="10851" xr:uid="{DCFD8EEF-544F-4EF5-8E50-478607CF8863}"/>
    <cellStyle name="40% - Accent1 2 9" xfId="4553" xr:uid="{00000000-0005-0000-0000-000011040000}"/>
    <cellStyle name="40% - Accent1 2 9 2" xfId="13003" xr:uid="{11DF7A61-F237-4215-BEA6-E00C9AACD791}"/>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6D2B1005-C0DF-4673-BF8F-F626EC93964C}"/>
    <cellStyle name="40% - Accent1 3 2 2 2 3" xfId="11349" xr:uid="{9ABB4E54-1F0C-4C4D-A9B3-818028458F28}"/>
    <cellStyle name="40% - Accent1 3 2 2 3" xfId="4972" xr:uid="{00000000-0005-0000-0000-000017040000}"/>
    <cellStyle name="40% - Accent1 3 2 2 3 2" xfId="13422" xr:uid="{F5B57616-0FB2-41CA-9854-0AAC89A3A8F9}"/>
    <cellStyle name="40% - Accent1 3 2 2 4" xfId="9204" xr:uid="{974C396C-95B8-46D2-94AE-AB55EECEABEF}"/>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61547027-C508-4457-8B4C-957F79A44ECC}"/>
    <cellStyle name="40% - Accent1 3 2 3 2 3" xfId="11762" xr:uid="{E6FD2327-40A8-40CF-A3A7-8AD47C6239C1}"/>
    <cellStyle name="40% - Accent1 3 2 3 3" xfId="5385" xr:uid="{00000000-0005-0000-0000-00001B040000}"/>
    <cellStyle name="40% - Accent1 3 2 3 3 2" xfId="13835" xr:uid="{55261CAA-2CC5-4EB3-8B2A-4A611B63F923}"/>
    <cellStyle name="40% - Accent1 3 2 3 4" xfId="9617" xr:uid="{208A4D83-CFC3-4C13-8022-3E316950FA9E}"/>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4C2525A5-86EA-495D-9C18-1A026C05695E}"/>
    <cellStyle name="40% - Accent1 3 2 4 2 3" xfId="12175" xr:uid="{40354C4D-EA16-42F9-B138-8BC6C4E737A3}"/>
    <cellStyle name="40% - Accent1 3 2 4 3" xfId="5798" xr:uid="{00000000-0005-0000-0000-00001F040000}"/>
    <cellStyle name="40% - Accent1 3 2 4 3 2" xfId="14248" xr:uid="{924285F3-19F4-45EA-8B88-846FA92918B0}"/>
    <cellStyle name="40% - Accent1 3 2 4 4" xfId="10030" xr:uid="{2D9F6EB8-2889-44AE-A58A-39F339F54248}"/>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20646D35-D002-4163-AB96-470FB925282C}"/>
    <cellStyle name="40% - Accent1 3 2 5 2 3" xfId="12588" xr:uid="{F53249CE-108E-490D-9AA9-F7DB21951394}"/>
    <cellStyle name="40% - Accent1 3 2 5 3" xfId="6211" xr:uid="{00000000-0005-0000-0000-000023040000}"/>
    <cellStyle name="40% - Accent1 3 2 5 3 2" xfId="14661" xr:uid="{4D1D89F4-4A32-449A-AD97-3FBA13C0AB21}"/>
    <cellStyle name="40% - Accent1 3 2 5 4" xfId="10443" xr:uid="{EE84B436-FF4C-4711-9353-EB02D1C5B518}"/>
    <cellStyle name="40% - Accent1 3 2 6" xfId="2318" xr:uid="{00000000-0005-0000-0000-000024040000}"/>
    <cellStyle name="40% - Accent1 3 2 6 2" xfId="6624" xr:uid="{00000000-0005-0000-0000-000025040000}"/>
    <cellStyle name="40% - Accent1 3 2 6 2 2" xfId="15074" xr:uid="{2461186F-AD3A-4121-92AA-5E2353730177}"/>
    <cellStyle name="40% - Accent1 3 2 6 3" xfId="10856" xr:uid="{2137F862-1002-4F19-8AE2-FDC0C316624C}"/>
    <cellStyle name="40% - Accent1 3 2 7" xfId="4558" xr:uid="{00000000-0005-0000-0000-000026040000}"/>
    <cellStyle name="40% - Accent1 3 2 7 2" xfId="13008" xr:uid="{3169A445-3817-4E50-BCA5-7B1A3418786A}"/>
    <cellStyle name="40% - Accent1 3 2 8" xfId="8790" xr:uid="{86848BE4-8ECE-4C5D-A7F7-07D6D7FA2376}"/>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6B03D8D8-623E-4B6B-9528-17E0BBBD76B9}"/>
    <cellStyle name="40% - Accent1 3 3 2 3" xfId="11348" xr:uid="{9816A1C0-A9F5-48BB-AF60-7CDA760DA75A}"/>
    <cellStyle name="40% - Accent1 3 3 3" xfId="4971" xr:uid="{00000000-0005-0000-0000-00002A040000}"/>
    <cellStyle name="40% - Accent1 3 3 3 2" xfId="13421" xr:uid="{3F61C45C-18C8-49E6-B284-805DCE242C84}"/>
    <cellStyle name="40% - Accent1 3 3 4" xfId="9203" xr:uid="{C955B294-8740-49F4-8AEC-60B7ABD2E06E}"/>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D3800477-EB04-4F13-BDF5-15DB67CDC1F5}"/>
    <cellStyle name="40% - Accent1 3 4 2 3" xfId="11761" xr:uid="{715523D7-BF76-4A5E-AD1C-755E3F21F923}"/>
    <cellStyle name="40% - Accent1 3 4 3" xfId="5384" xr:uid="{00000000-0005-0000-0000-00002E040000}"/>
    <cellStyle name="40% - Accent1 3 4 3 2" xfId="13834" xr:uid="{0554557E-6A4E-4775-8AAD-7BDB64D2E6B3}"/>
    <cellStyle name="40% - Accent1 3 4 4" xfId="9616" xr:uid="{49FAE145-7CA8-452B-ACA7-84A0A77F83F2}"/>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D4D0ECB7-A8A3-4CFD-93ED-8737872AB90D}"/>
    <cellStyle name="40% - Accent1 3 5 2 3" xfId="12174" xr:uid="{98D7BBA3-2CA8-4FF1-BEB6-97B1D1A8B481}"/>
    <cellStyle name="40% - Accent1 3 5 3" xfId="5797" xr:uid="{00000000-0005-0000-0000-000032040000}"/>
    <cellStyle name="40% - Accent1 3 5 3 2" xfId="14247" xr:uid="{65387C03-0631-471C-9810-D2D987F6BE12}"/>
    <cellStyle name="40% - Accent1 3 5 4" xfId="10029" xr:uid="{B4E7471E-BF80-4057-B992-548C638A6014}"/>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E4E3794C-8F83-49C2-9F87-355A7F7DB2F4}"/>
    <cellStyle name="40% - Accent1 3 6 2 3" xfId="12587" xr:uid="{32BE0FF4-3D02-47C7-A5B4-E6F582D4453D}"/>
    <cellStyle name="40% - Accent1 3 6 3" xfId="6210" xr:uid="{00000000-0005-0000-0000-000036040000}"/>
    <cellStyle name="40% - Accent1 3 6 3 2" xfId="14660" xr:uid="{09D58FD8-FC50-484F-B4A3-9F8F5AA3BAC4}"/>
    <cellStyle name="40% - Accent1 3 6 4" xfId="10442" xr:uid="{211D762F-98BB-4E2D-87F2-5BBC6BA0FC7F}"/>
    <cellStyle name="40% - Accent1 3 7" xfId="2317" xr:uid="{00000000-0005-0000-0000-000037040000}"/>
    <cellStyle name="40% - Accent1 3 7 2" xfId="6623" xr:uid="{00000000-0005-0000-0000-000038040000}"/>
    <cellStyle name="40% - Accent1 3 7 2 2" xfId="15073" xr:uid="{DC8C7C63-74EF-49EE-B365-768835AD6A02}"/>
    <cellStyle name="40% - Accent1 3 7 3" xfId="10855" xr:uid="{BC8F7260-1933-4C29-8008-BA74E91A7B82}"/>
    <cellStyle name="40% - Accent1 3 8" xfId="4557" xr:uid="{00000000-0005-0000-0000-000039040000}"/>
    <cellStyle name="40% - Accent1 3 8 2" xfId="13007" xr:uid="{BDB9E7A9-F0D5-4E19-B8E8-61772E08AAAC}"/>
    <cellStyle name="40% - Accent1 3 9" xfId="8789" xr:uid="{64484737-1E5E-40AE-8BE6-62F1FFFB75D6}"/>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CF8E20E0-6235-4302-8812-34102E9087AA}"/>
    <cellStyle name="40% - Accent1 4 2 2 3" xfId="11350" xr:uid="{317D98CA-CDFC-4CF2-BEC4-C00610EE1A68}"/>
    <cellStyle name="40% - Accent1 4 2 3" xfId="4973" xr:uid="{00000000-0005-0000-0000-00003E040000}"/>
    <cellStyle name="40% - Accent1 4 2 3 2" xfId="13423" xr:uid="{55807176-8CAF-4021-AA4A-B713ADDA8930}"/>
    <cellStyle name="40% - Accent1 4 2 4" xfId="9205" xr:uid="{0B59413E-7A48-46C5-9CD6-D06FECEB869A}"/>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5B65B1B3-9C90-4990-B8BC-31D1492F52EF}"/>
    <cellStyle name="40% - Accent1 4 3 2 3" xfId="11763" xr:uid="{5F055C68-B2A3-46C2-A521-AF496FD9010C}"/>
    <cellStyle name="40% - Accent1 4 3 3" xfId="5386" xr:uid="{00000000-0005-0000-0000-000042040000}"/>
    <cellStyle name="40% - Accent1 4 3 3 2" xfId="13836" xr:uid="{12EF62A4-1002-4091-84BA-CCD367EB6114}"/>
    <cellStyle name="40% - Accent1 4 3 4" xfId="9618" xr:uid="{8DF542E3-C314-4912-8953-5C03EC994C67}"/>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91E7AD6C-FD37-407A-81E9-45BB304C65D8}"/>
    <cellStyle name="40% - Accent1 4 4 2 3" xfId="12176" xr:uid="{7954FA68-700F-4924-9E29-05B0E0EA293B}"/>
    <cellStyle name="40% - Accent1 4 4 3" xfId="5799" xr:uid="{00000000-0005-0000-0000-000046040000}"/>
    <cellStyle name="40% - Accent1 4 4 3 2" xfId="14249" xr:uid="{0D787559-E195-4B2F-88AD-065F4AB7C05D}"/>
    <cellStyle name="40% - Accent1 4 4 4" xfId="10031" xr:uid="{A4F9764D-7484-4333-88F1-640C90634794}"/>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1D96D628-8055-44DF-98D7-A6C4ECAD2BA6}"/>
    <cellStyle name="40% - Accent1 4 5 2 3" xfId="12589" xr:uid="{570F3734-D32D-4112-8972-040ED2B0270D}"/>
    <cellStyle name="40% - Accent1 4 5 3" xfId="6212" xr:uid="{00000000-0005-0000-0000-00004A040000}"/>
    <cellStyle name="40% - Accent1 4 5 3 2" xfId="14662" xr:uid="{1E63E9F2-071F-4F87-938B-90064945934E}"/>
    <cellStyle name="40% - Accent1 4 5 4" xfId="10444" xr:uid="{ED4FCC48-4581-4F2C-B1B6-7DC0B61B9C2E}"/>
    <cellStyle name="40% - Accent1 4 6" xfId="2319" xr:uid="{00000000-0005-0000-0000-00004B040000}"/>
    <cellStyle name="40% - Accent1 4 6 2" xfId="6625" xr:uid="{00000000-0005-0000-0000-00004C040000}"/>
    <cellStyle name="40% - Accent1 4 6 2 2" xfId="15075" xr:uid="{FA7B64A0-DA6C-4C49-A043-3337303FA6B7}"/>
    <cellStyle name="40% - Accent1 4 6 3" xfId="10857" xr:uid="{46061E69-08FE-4367-9791-FA2A74DA475D}"/>
    <cellStyle name="40% - Accent1 4 7" xfId="4559" xr:uid="{00000000-0005-0000-0000-00004D040000}"/>
    <cellStyle name="40% - Accent1 4 7 2" xfId="13009" xr:uid="{528FB58E-F796-4962-AFFD-412C85239455}"/>
    <cellStyle name="40% - Accent1 4 8" xfId="8791" xr:uid="{7960DBC4-03F6-4291-9CC0-BC6B05471CE8}"/>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FED00D07-43A9-4228-9075-F9B8B7D05D2D}"/>
    <cellStyle name="40% - Accent1 5 2 3" xfId="11343" xr:uid="{4AE08C87-AE9F-47A3-A646-299328B39D9A}"/>
    <cellStyle name="40% - Accent1 5 3" xfId="4966" xr:uid="{00000000-0005-0000-0000-000051040000}"/>
    <cellStyle name="40% - Accent1 5 3 2" xfId="13416" xr:uid="{3BB8B66E-2B4E-4584-A6FC-AFDF42F00C46}"/>
    <cellStyle name="40% - Accent1 5 4" xfId="9198" xr:uid="{587FBF9F-4023-4078-9455-6B932129D0DE}"/>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ECDC7FF5-B8C9-4979-B167-4B92093AF662}"/>
    <cellStyle name="40% - Accent1 6 2 3" xfId="11756" xr:uid="{D36F178B-354F-4F00-BE78-4B84911A690C}"/>
    <cellStyle name="40% - Accent1 6 3" xfId="5379" xr:uid="{00000000-0005-0000-0000-000055040000}"/>
    <cellStyle name="40% - Accent1 6 3 2" xfId="13829" xr:uid="{80E5D77B-150E-44A0-96FC-A9AF4F1FA908}"/>
    <cellStyle name="40% - Accent1 6 4" xfId="9611" xr:uid="{3C3B7E1A-910D-49C0-BB73-0666E38F7D81}"/>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8A0D5D2E-53BC-4A19-885F-543A3AB298AF}"/>
    <cellStyle name="40% - Accent1 7 2 3" xfId="12169" xr:uid="{4EC54543-6CEE-4820-B2EF-73C93A68B513}"/>
    <cellStyle name="40% - Accent1 7 3" xfId="5792" xr:uid="{00000000-0005-0000-0000-000059040000}"/>
    <cellStyle name="40% - Accent1 7 3 2" xfId="14242" xr:uid="{6B940335-D9D7-4E01-A9E2-F1ADAF7390EC}"/>
    <cellStyle name="40% - Accent1 7 4" xfId="10024" xr:uid="{A5F3237C-AE7E-4322-B649-CD4E76D8E721}"/>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C0CBDEE3-E045-4F1C-BF24-4B24779BA76D}"/>
    <cellStyle name="40% - Accent1 8 2 3" xfId="12582" xr:uid="{870E9EFE-E7F3-4DE9-AAC1-5F7011FEC20E}"/>
    <cellStyle name="40% - Accent1 8 3" xfId="6205" xr:uid="{00000000-0005-0000-0000-00005D040000}"/>
    <cellStyle name="40% - Accent1 8 3 2" xfId="14655" xr:uid="{F28177EB-DDD4-49AA-AED7-6CB1936F4202}"/>
    <cellStyle name="40% - Accent1 8 4" xfId="10437" xr:uid="{FC9402EB-135C-40A9-9727-F4585A58FDF9}"/>
    <cellStyle name="40% - Accent1 9" xfId="2312" xr:uid="{00000000-0005-0000-0000-00005E040000}"/>
    <cellStyle name="40% - Accent1 9 2" xfId="6618" xr:uid="{00000000-0005-0000-0000-00005F040000}"/>
    <cellStyle name="40% - Accent1 9 2 2" xfId="15068" xr:uid="{BFFCA1FF-836F-4C1C-9582-A85D8526BA9B}"/>
    <cellStyle name="40% - Accent1 9 3" xfId="10850" xr:uid="{108762AC-D6D1-43FF-9AF0-09E01A80D6F5}"/>
    <cellStyle name="40% - Accent2" xfId="57" builtinId="35" customBuiltin="1"/>
    <cellStyle name="40% - Accent2 10" xfId="4560" xr:uid="{00000000-0005-0000-0000-000061040000}"/>
    <cellStyle name="40% - Accent2 10 2" xfId="13010" xr:uid="{A59CEFC2-A40C-413A-97DD-7D17F20C40FF}"/>
    <cellStyle name="40% - Accent2 11" xfId="8792" xr:uid="{E6E066B4-2CC3-4188-8647-E23BEBB7D2AF}"/>
    <cellStyle name="40% - Accent2 2" xfId="58" xr:uid="{00000000-0005-0000-0000-000062040000}"/>
    <cellStyle name="40% - Accent2 2 10" xfId="8793" xr:uid="{D84D0802-C6B9-4759-A1FF-92A0C0C46C46}"/>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1537C1A7-5E92-4066-9A9A-31AEE8DE0B24}"/>
    <cellStyle name="40% - Accent2 2 2 2 2 2 3" xfId="11354" xr:uid="{BA8650DF-7231-49CC-9948-8FE1D3300D64}"/>
    <cellStyle name="40% - Accent2 2 2 2 2 3" xfId="4977" xr:uid="{00000000-0005-0000-0000-000068040000}"/>
    <cellStyle name="40% - Accent2 2 2 2 2 3 2" xfId="13427" xr:uid="{D2D3CA91-ED80-4E8D-9F16-9D12DE9811FE}"/>
    <cellStyle name="40% - Accent2 2 2 2 2 4" xfId="9209" xr:uid="{9374646B-2810-41C5-A585-E2C6A843264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0B17C6A9-D7BA-497B-8769-7A87F767789B}"/>
    <cellStyle name="40% - Accent2 2 2 2 3 2 3" xfId="11767" xr:uid="{988CA6EE-BD1A-4A91-BC1D-E75514BCE276}"/>
    <cellStyle name="40% - Accent2 2 2 2 3 3" xfId="5390" xr:uid="{00000000-0005-0000-0000-00006C040000}"/>
    <cellStyle name="40% - Accent2 2 2 2 3 3 2" xfId="13840" xr:uid="{BF1955E7-7174-417F-806F-98AD21289AC7}"/>
    <cellStyle name="40% - Accent2 2 2 2 3 4" xfId="9622" xr:uid="{D0AC6F0E-9385-4395-B1D1-E4A2E2E0C276}"/>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183FD853-9EC6-492C-A862-E437E903BB9A}"/>
    <cellStyle name="40% - Accent2 2 2 2 4 2 3" xfId="12180" xr:uid="{895BFDDE-0210-483F-9AB7-97D3DC3C9455}"/>
    <cellStyle name="40% - Accent2 2 2 2 4 3" xfId="5803" xr:uid="{00000000-0005-0000-0000-000070040000}"/>
    <cellStyle name="40% - Accent2 2 2 2 4 3 2" xfId="14253" xr:uid="{CB297C32-1A7D-40CD-B1EF-F7841CF6884D}"/>
    <cellStyle name="40% - Accent2 2 2 2 4 4" xfId="10035" xr:uid="{15724ACB-D751-4BDB-BB68-5A9609BD7C2C}"/>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C04183FB-58C0-4950-846C-B8DC997C5232}"/>
    <cellStyle name="40% - Accent2 2 2 2 5 2 3" xfId="12593" xr:uid="{3E85800F-50AF-4D1E-932C-F871E12CB392}"/>
    <cellStyle name="40% - Accent2 2 2 2 5 3" xfId="6216" xr:uid="{00000000-0005-0000-0000-000074040000}"/>
    <cellStyle name="40% - Accent2 2 2 2 5 3 2" xfId="14666" xr:uid="{C4C4FDB1-CF42-4183-9B82-CBA7B7A55E78}"/>
    <cellStyle name="40% - Accent2 2 2 2 5 4" xfId="10448" xr:uid="{29694644-B72A-4DF5-8ABB-1B4CBCB67511}"/>
    <cellStyle name="40% - Accent2 2 2 2 6" xfId="2323" xr:uid="{00000000-0005-0000-0000-000075040000}"/>
    <cellStyle name="40% - Accent2 2 2 2 6 2" xfId="6629" xr:uid="{00000000-0005-0000-0000-000076040000}"/>
    <cellStyle name="40% - Accent2 2 2 2 6 2 2" xfId="15079" xr:uid="{85131A84-9864-44E5-BB4C-96FEF9554A2F}"/>
    <cellStyle name="40% - Accent2 2 2 2 6 3" xfId="10861" xr:uid="{CD3CE3F9-2DEE-4119-801B-0D318BF2CA96}"/>
    <cellStyle name="40% - Accent2 2 2 2 7" xfId="4563" xr:uid="{00000000-0005-0000-0000-000077040000}"/>
    <cellStyle name="40% - Accent2 2 2 2 7 2" xfId="13013" xr:uid="{B7B9C04A-C416-4010-A0CA-92D516FB5E57}"/>
    <cellStyle name="40% - Accent2 2 2 2 8" xfId="8795" xr:uid="{5C7C40C6-2FD3-4E48-A0BF-72FAFF79E79F}"/>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38300DCA-D937-4B49-BBF2-F5E32897C966}"/>
    <cellStyle name="40% - Accent2 2 2 3 2 3" xfId="11353" xr:uid="{5A6FD00E-4871-4C80-BB41-944E8940F072}"/>
    <cellStyle name="40% - Accent2 2 2 3 3" xfId="4976" xr:uid="{00000000-0005-0000-0000-00007B040000}"/>
    <cellStyle name="40% - Accent2 2 2 3 3 2" xfId="13426" xr:uid="{CEC5133C-D017-4EE3-8CD7-658114F79BE4}"/>
    <cellStyle name="40% - Accent2 2 2 3 4" xfId="9208" xr:uid="{E408C4D4-FE20-49AF-AFAC-393FBD84119B}"/>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89C01963-0F63-4232-A7C0-665EBB1B7017}"/>
    <cellStyle name="40% - Accent2 2 2 4 2 3" xfId="11766" xr:uid="{62C95067-8B72-460E-B8DA-04675A3B8219}"/>
    <cellStyle name="40% - Accent2 2 2 4 3" xfId="5389" xr:uid="{00000000-0005-0000-0000-00007F040000}"/>
    <cellStyle name="40% - Accent2 2 2 4 3 2" xfId="13839" xr:uid="{2A38A183-F796-41E4-ADAD-9424AE511ACE}"/>
    <cellStyle name="40% - Accent2 2 2 4 4" xfId="9621" xr:uid="{DC578E98-994D-43B2-8882-774D27EB7117}"/>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DE62FCC3-C5C4-42F0-A4C0-F4B4F809F474}"/>
    <cellStyle name="40% - Accent2 2 2 5 2 3" xfId="12179" xr:uid="{00BDC84B-27AF-4499-AA00-B0D39CBA1231}"/>
    <cellStyle name="40% - Accent2 2 2 5 3" xfId="5802" xr:uid="{00000000-0005-0000-0000-000083040000}"/>
    <cellStyle name="40% - Accent2 2 2 5 3 2" xfId="14252" xr:uid="{BD5DBB45-98FC-4E58-A1CB-90EF2A1DE372}"/>
    <cellStyle name="40% - Accent2 2 2 5 4" xfId="10034" xr:uid="{60C2EB90-FCA6-498C-9867-6B66FE92EADD}"/>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85B354C7-F5FE-4CA7-B35E-1CB8C795B062}"/>
    <cellStyle name="40% - Accent2 2 2 6 2 3" xfId="12592" xr:uid="{A83CCEFD-DDF3-4143-A76A-3E49C60FFC28}"/>
    <cellStyle name="40% - Accent2 2 2 6 3" xfId="6215" xr:uid="{00000000-0005-0000-0000-000087040000}"/>
    <cellStyle name="40% - Accent2 2 2 6 3 2" xfId="14665" xr:uid="{416081AE-5D98-4065-924D-F3B6958C7015}"/>
    <cellStyle name="40% - Accent2 2 2 6 4" xfId="10447" xr:uid="{96ACEBEF-D729-40E5-9CC7-0B773966E38A}"/>
    <cellStyle name="40% - Accent2 2 2 7" xfId="2322" xr:uid="{00000000-0005-0000-0000-000088040000}"/>
    <cellStyle name="40% - Accent2 2 2 7 2" xfId="6628" xr:uid="{00000000-0005-0000-0000-000089040000}"/>
    <cellStyle name="40% - Accent2 2 2 7 2 2" xfId="15078" xr:uid="{D5699E06-F01E-419A-A505-1B930BBBF6F5}"/>
    <cellStyle name="40% - Accent2 2 2 7 3" xfId="10860" xr:uid="{731AAE0C-3A79-41F0-A291-3FFF664577CB}"/>
    <cellStyle name="40% - Accent2 2 2 8" xfId="4562" xr:uid="{00000000-0005-0000-0000-00008A040000}"/>
    <cellStyle name="40% - Accent2 2 2 8 2" xfId="13012" xr:uid="{8C13CA16-0767-4A0F-A004-55037197E71A}"/>
    <cellStyle name="40% - Accent2 2 2 9" xfId="8794" xr:uid="{39C9DCCE-A5D5-4D6B-B38A-7C12121A8DE1}"/>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BACAD14D-BCEA-4A75-857F-B8AB1F80391E}"/>
    <cellStyle name="40% - Accent2 2 3 2 2 3" xfId="11355" xr:uid="{8853CE8F-3B65-4D08-9C66-549C070E8C5F}"/>
    <cellStyle name="40% - Accent2 2 3 2 3" xfId="4978" xr:uid="{00000000-0005-0000-0000-00008F040000}"/>
    <cellStyle name="40% - Accent2 2 3 2 3 2" xfId="13428" xr:uid="{E60CE8E7-8E4D-43C6-8894-2541919A49EB}"/>
    <cellStyle name="40% - Accent2 2 3 2 4" xfId="9210" xr:uid="{2E3664E0-0796-4EF4-8960-CEA594FB8545}"/>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9B14615E-D580-41A2-80D2-2FD319130806}"/>
    <cellStyle name="40% - Accent2 2 3 3 2 3" xfId="11768" xr:uid="{8DF220AB-CD7D-479D-9015-3429A62881A5}"/>
    <cellStyle name="40% - Accent2 2 3 3 3" xfId="5391" xr:uid="{00000000-0005-0000-0000-000093040000}"/>
    <cellStyle name="40% - Accent2 2 3 3 3 2" xfId="13841" xr:uid="{A78A820D-C294-4609-B7CF-AC837B70A125}"/>
    <cellStyle name="40% - Accent2 2 3 3 4" xfId="9623" xr:uid="{7A7EAE93-7C2D-4C90-9F21-32D2BFEBD7F7}"/>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771106C3-1897-4040-9BD6-C210937BF284}"/>
    <cellStyle name="40% - Accent2 2 3 4 2 3" xfId="12181" xr:uid="{04FC4476-6CF7-47AA-9CC4-45683065F31C}"/>
    <cellStyle name="40% - Accent2 2 3 4 3" xfId="5804" xr:uid="{00000000-0005-0000-0000-000097040000}"/>
    <cellStyle name="40% - Accent2 2 3 4 3 2" xfId="14254" xr:uid="{03C7192D-1547-4CAD-8774-7919E7BF0485}"/>
    <cellStyle name="40% - Accent2 2 3 4 4" xfId="10036" xr:uid="{E7B8F2BB-46A0-4B1E-BCCC-42DCA3B75C40}"/>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51D7D2BA-2F6F-4FF6-86F4-1B6965946D01}"/>
    <cellStyle name="40% - Accent2 2 3 5 2 3" xfId="12594" xr:uid="{9BA8E970-47CB-44DE-AF26-7D59238E2917}"/>
    <cellStyle name="40% - Accent2 2 3 5 3" xfId="6217" xr:uid="{00000000-0005-0000-0000-00009B040000}"/>
    <cellStyle name="40% - Accent2 2 3 5 3 2" xfId="14667" xr:uid="{74E00917-5D77-4882-BB99-CFEA364594C6}"/>
    <cellStyle name="40% - Accent2 2 3 5 4" xfId="10449" xr:uid="{54C4EBC1-FBE4-446B-BEA9-43013AE4F84E}"/>
    <cellStyle name="40% - Accent2 2 3 6" xfId="2324" xr:uid="{00000000-0005-0000-0000-00009C040000}"/>
    <cellStyle name="40% - Accent2 2 3 6 2" xfId="6630" xr:uid="{00000000-0005-0000-0000-00009D040000}"/>
    <cellStyle name="40% - Accent2 2 3 6 2 2" xfId="15080" xr:uid="{F00DE9D7-632B-4458-BE19-553E4A1460CA}"/>
    <cellStyle name="40% - Accent2 2 3 6 3" xfId="10862" xr:uid="{8D332458-1597-4EBC-A7E9-718DC6DE077F}"/>
    <cellStyle name="40% - Accent2 2 3 7" xfId="4564" xr:uid="{00000000-0005-0000-0000-00009E040000}"/>
    <cellStyle name="40% - Accent2 2 3 7 2" xfId="13014" xr:uid="{300F4340-9300-4E60-8FD9-0005D535E481}"/>
    <cellStyle name="40% - Accent2 2 3 8" xfId="8796" xr:uid="{1C11B137-8467-4DBB-920F-EDC187C8E461}"/>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B6F9AFBA-51F1-4142-BBBB-8EBF67E405DF}"/>
    <cellStyle name="40% - Accent2 2 4 2 3" xfId="11352" xr:uid="{81A2E665-77EE-4813-83E9-23BF2DA96769}"/>
    <cellStyle name="40% - Accent2 2 4 3" xfId="4975" xr:uid="{00000000-0005-0000-0000-0000A2040000}"/>
    <cellStyle name="40% - Accent2 2 4 3 2" xfId="13425" xr:uid="{B9A9C128-9B1C-4081-92C8-0C74E02BD706}"/>
    <cellStyle name="40% - Accent2 2 4 4" xfId="9207" xr:uid="{733C0AC3-17DB-4C27-86D8-443AB1CBCAF0}"/>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8BAD5450-717E-47C2-9071-7F3ED482B90E}"/>
    <cellStyle name="40% - Accent2 2 5 2 3" xfId="11765" xr:uid="{A2BC0043-A185-4987-AB6F-F70D41868293}"/>
    <cellStyle name="40% - Accent2 2 5 3" xfId="5388" xr:uid="{00000000-0005-0000-0000-0000A6040000}"/>
    <cellStyle name="40% - Accent2 2 5 3 2" xfId="13838" xr:uid="{9E1286B2-76B5-40A5-A691-31CDFF26F519}"/>
    <cellStyle name="40% - Accent2 2 5 4" xfId="9620" xr:uid="{2AE10CF3-ED15-4501-A561-1B26052DC171}"/>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148ED921-85F1-44FC-82EC-80CEB6F74F73}"/>
    <cellStyle name="40% - Accent2 2 6 2 3" xfId="12178" xr:uid="{EC034EA3-D086-406B-B407-776F0B5BDAC0}"/>
    <cellStyle name="40% - Accent2 2 6 3" xfId="5801" xr:uid="{00000000-0005-0000-0000-0000AA040000}"/>
    <cellStyle name="40% - Accent2 2 6 3 2" xfId="14251" xr:uid="{C5C3127F-AD0B-4B9C-BE3A-06194EEFD466}"/>
    <cellStyle name="40% - Accent2 2 6 4" xfId="10033" xr:uid="{CE0FAA0B-436D-4663-B2D8-FB74F9D8A549}"/>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A0A4EFE3-A497-4082-8A17-0F110376CCE3}"/>
    <cellStyle name="40% - Accent2 2 7 2 3" xfId="12591" xr:uid="{D037CC33-51D4-46C4-AA14-3B403303851C}"/>
    <cellStyle name="40% - Accent2 2 7 3" xfId="6214" xr:uid="{00000000-0005-0000-0000-0000AE040000}"/>
    <cellStyle name="40% - Accent2 2 7 3 2" xfId="14664" xr:uid="{68230031-FAFE-41BE-8A4F-96205ABE4213}"/>
    <cellStyle name="40% - Accent2 2 7 4" xfId="10446" xr:uid="{780AC60F-177D-4A41-BD07-EC810BB73C94}"/>
    <cellStyle name="40% - Accent2 2 8" xfId="2321" xr:uid="{00000000-0005-0000-0000-0000AF040000}"/>
    <cellStyle name="40% - Accent2 2 8 2" xfId="6627" xr:uid="{00000000-0005-0000-0000-0000B0040000}"/>
    <cellStyle name="40% - Accent2 2 8 2 2" xfId="15077" xr:uid="{AF0395CE-E3E2-4CB3-9BB6-5012F82B233A}"/>
    <cellStyle name="40% - Accent2 2 8 3" xfId="10859" xr:uid="{2F27B1B1-E04C-4CD6-9D17-9294E37C9C4C}"/>
    <cellStyle name="40% - Accent2 2 9" xfId="4561" xr:uid="{00000000-0005-0000-0000-0000B1040000}"/>
    <cellStyle name="40% - Accent2 2 9 2" xfId="13011" xr:uid="{276DFCF2-C2D8-4D48-B243-D0B1D1C0F8C6}"/>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3D4C97B8-B457-4171-9763-D1FAD75E7E17}"/>
    <cellStyle name="40% - Accent2 3 2 2 2 3" xfId="11357" xr:uid="{78B8DE9D-00F2-4E69-86AB-2AF3FCD6E643}"/>
    <cellStyle name="40% - Accent2 3 2 2 3" xfId="4980" xr:uid="{00000000-0005-0000-0000-0000B7040000}"/>
    <cellStyle name="40% - Accent2 3 2 2 3 2" xfId="13430" xr:uid="{BBB0B66C-AB50-423B-8CC4-8758361F1920}"/>
    <cellStyle name="40% - Accent2 3 2 2 4" xfId="9212" xr:uid="{48339CEB-E5DD-4DBD-B414-BF273B316887}"/>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0CF42E1B-1A0E-4DBC-AF95-F3741D9C9B2D}"/>
    <cellStyle name="40% - Accent2 3 2 3 2 3" xfId="11770" xr:uid="{01D8E37F-F984-4046-BD37-69185C54B45F}"/>
    <cellStyle name="40% - Accent2 3 2 3 3" xfId="5393" xr:uid="{00000000-0005-0000-0000-0000BB040000}"/>
    <cellStyle name="40% - Accent2 3 2 3 3 2" xfId="13843" xr:uid="{151B70B4-E99B-44C7-875D-2932DAAF7A1C}"/>
    <cellStyle name="40% - Accent2 3 2 3 4" xfId="9625" xr:uid="{7BD42DD5-9FED-49F6-9C8B-220DE35B33C5}"/>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C632E56B-F5EF-4854-B13A-B66775070C20}"/>
    <cellStyle name="40% - Accent2 3 2 4 2 3" xfId="12183" xr:uid="{0DCB0A08-2016-4706-A71C-07D5DA203E8A}"/>
    <cellStyle name="40% - Accent2 3 2 4 3" xfId="5806" xr:uid="{00000000-0005-0000-0000-0000BF040000}"/>
    <cellStyle name="40% - Accent2 3 2 4 3 2" xfId="14256" xr:uid="{E8DDF3A0-6BFC-47E8-B511-212EC5CCBF52}"/>
    <cellStyle name="40% - Accent2 3 2 4 4" xfId="10038" xr:uid="{FA0D8649-C64A-4865-9B16-9904419DAAEE}"/>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A18B880E-3CFD-4D51-AC09-4B3E77065324}"/>
    <cellStyle name="40% - Accent2 3 2 5 2 3" xfId="12596" xr:uid="{4027D16E-ADF9-450C-8A9B-ED638532FAA6}"/>
    <cellStyle name="40% - Accent2 3 2 5 3" xfId="6219" xr:uid="{00000000-0005-0000-0000-0000C3040000}"/>
    <cellStyle name="40% - Accent2 3 2 5 3 2" xfId="14669" xr:uid="{F0AA3E66-C8A1-4442-86B3-9162C11B067D}"/>
    <cellStyle name="40% - Accent2 3 2 5 4" xfId="10451" xr:uid="{E53EE793-8538-4B35-97E8-F10C639E2D74}"/>
    <cellStyle name="40% - Accent2 3 2 6" xfId="2326" xr:uid="{00000000-0005-0000-0000-0000C4040000}"/>
    <cellStyle name="40% - Accent2 3 2 6 2" xfId="6632" xr:uid="{00000000-0005-0000-0000-0000C5040000}"/>
    <cellStyle name="40% - Accent2 3 2 6 2 2" xfId="15082" xr:uid="{D179083A-160B-4441-AFFD-4544BA345786}"/>
    <cellStyle name="40% - Accent2 3 2 6 3" xfId="10864" xr:uid="{1FABDAB9-D53F-4B31-A614-A5284ABF4987}"/>
    <cellStyle name="40% - Accent2 3 2 7" xfId="4566" xr:uid="{00000000-0005-0000-0000-0000C6040000}"/>
    <cellStyle name="40% - Accent2 3 2 7 2" xfId="13016" xr:uid="{A5B5DECA-AEEF-4BC2-B02C-E16F09C79F39}"/>
    <cellStyle name="40% - Accent2 3 2 8" xfId="8798" xr:uid="{BB4C494E-A5F6-49DB-8153-5FED7CB96F71}"/>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3F58607B-2B76-4F91-ADAA-EF1CA36E3E8D}"/>
    <cellStyle name="40% - Accent2 3 3 2 3" xfId="11356" xr:uid="{2AE22299-D48B-440E-BA6B-2BA340084DA5}"/>
    <cellStyle name="40% - Accent2 3 3 3" xfId="4979" xr:uid="{00000000-0005-0000-0000-0000CA040000}"/>
    <cellStyle name="40% - Accent2 3 3 3 2" xfId="13429" xr:uid="{D02FA427-3A58-4515-987E-BE92EE4CD0AE}"/>
    <cellStyle name="40% - Accent2 3 3 4" xfId="9211" xr:uid="{6D8869B8-7E69-43E2-9DBD-4C9B8DBEB6C2}"/>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EAE3096C-3F01-4954-92D0-0229F75127EA}"/>
    <cellStyle name="40% - Accent2 3 4 2 3" xfId="11769" xr:uid="{70629739-B970-4B0E-87B7-F0E49B428066}"/>
    <cellStyle name="40% - Accent2 3 4 3" xfId="5392" xr:uid="{00000000-0005-0000-0000-0000CE040000}"/>
    <cellStyle name="40% - Accent2 3 4 3 2" xfId="13842" xr:uid="{4B13A789-1111-4B5F-97D1-B3371795D06E}"/>
    <cellStyle name="40% - Accent2 3 4 4" xfId="9624" xr:uid="{3CE60A57-EB07-4AF4-9911-5C2AB42594E7}"/>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A2BCB942-148D-4D1A-8918-5119FD593B66}"/>
    <cellStyle name="40% - Accent2 3 5 2 3" xfId="12182" xr:uid="{2245CF21-1350-48AB-935C-4F1ADC57CDC0}"/>
    <cellStyle name="40% - Accent2 3 5 3" xfId="5805" xr:uid="{00000000-0005-0000-0000-0000D2040000}"/>
    <cellStyle name="40% - Accent2 3 5 3 2" xfId="14255" xr:uid="{FC6DAC82-9ADE-495C-9F57-0AEEB35A5AA9}"/>
    <cellStyle name="40% - Accent2 3 5 4" xfId="10037" xr:uid="{3C22BE98-8C31-4813-A2A6-499E71985D36}"/>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6F1129CC-36A8-48D7-8D08-E69EC20CC935}"/>
    <cellStyle name="40% - Accent2 3 6 2 3" xfId="12595" xr:uid="{F2CCC411-7B1A-418F-84BD-D1C1949F7E4A}"/>
    <cellStyle name="40% - Accent2 3 6 3" xfId="6218" xr:uid="{00000000-0005-0000-0000-0000D6040000}"/>
    <cellStyle name="40% - Accent2 3 6 3 2" xfId="14668" xr:uid="{EB6AB52A-E429-4C22-BADA-BB93957D0083}"/>
    <cellStyle name="40% - Accent2 3 6 4" xfId="10450" xr:uid="{F63CEA08-AF64-4D57-84A7-B8D01A981FFF}"/>
    <cellStyle name="40% - Accent2 3 7" xfId="2325" xr:uid="{00000000-0005-0000-0000-0000D7040000}"/>
    <cellStyle name="40% - Accent2 3 7 2" xfId="6631" xr:uid="{00000000-0005-0000-0000-0000D8040000}"/>
    <cellStyle name="40% - Accent2 3 7 2 2" xfId="15081" xr:uid="{58C6B49A-A4B7-4D16-B2D2-FC0743D5C6CE}"/>
    <cellStyle name="40% - Accent2 3 7 3" xfId="10863" xr:uid="{6E3B66E3-9A38-4FE2-9617-7B52A284254A}"/>
    <cellStyle name="40% - Accent2 3 8" xfId="4565" xr:uid="{00000000-0005-0000-0000-0000D9040000}"/>
    <cellStyle name="40% - Accent2 3 8 2" xfId="13015" xr:uid="{0950973D-3C99-4C7D-AC91-4D10326D7D40}"/>
    <cellStyle name="40% - Accent2 3 9" xfId="8797" xr:uid="{B311E48A-FB4A-49C8-9AA0-4966BC4FED22}"/>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C8F5E385-E925-4334-8459-66C94C97AA85}"/>
    <cellStyle name="40% - Accent2 4 2 2 3" xfId="11358" xr:uid="{58C17010-77A0-4553-A089-DF26D01CC68B}"/>
    <cellStyle name="40% - Accent2 4 2 3" xfId="4981" xr:uid="{00000000-0005-0000-0000-0000DE040000}"/>
    <cellStyle name="40% - Accent2 4 2 3 2" xfId="13431" xr:uid="{DAF34180-32A6-462B-A971-4A6033474EC2}"/>
    <cellStyle name="40% - Accent2 4 2 4" xfId="9213" xr:uid="{D35C7BB8-EC90-4399-83C0-9B29DE28C059}"/>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A506B153-4BD5-4B9C-8F1D-80F2E50F9451}"/>
    <cellStyle name="40% - Accent2 4 3 2 3" xfId="11771" xr:uid="{2D86E3B3-E196-456F-B0BE-F65231508AE3}"/>
    <cellStyle name="40% - Accent2 4 3 3" xfId="5394" xr:uid="{00000000-0005-0000-0000-0000E2040000}"/>
    <cellStyle name="40% - Accent2 4 3 3 2" xfId="13844" xr:uid="{5BB29EB6-AEBC-4F91-A20F-C1EC0047D0DF}"/>
    <cellStyle name="40% - Accent2 4 3 4" xfId="9626" xr:uid="{454815E6-D8FD-480A-98B9-6D4F217156AF}"/>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C7A2B264-9953-44FD-94AF-96B59298A4E8}"/>
    <cellStyle name="40% - Accent2 4 4 2 3" xfId="12184" xr:uid="{0CE5DD5B-B2F9-4A48-907E-C0D78AE7136F}"/>
    <cellStyle name="40% - Accent2 4 4 3" xfId="5807" xr:uid="{00000000-0005-0000-0000-0000E6040000}"/>
    <cellStyle name="40% - Accent2 4 4 3 2" xfId="14257" xr:uid="{F8825296-535C-4601-8CC8-0EF9ECC92FCB}"/>
    <cellStyle name="40% - Accent2 4 4 4" xfId="10039" xr:uid="{66D7A66F-A096-45CC-8545-FFC322E77A24}"/>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F33765FA-D8CA-4EAF-A851-69B3A6915A68}"/>
    <cellStyle name="40% - Accent2 4 5 2 3" xfId="12597" xr:uid="{3464D59E-E568-4560-9A59-89848A579DC4}"/>
    <cellStyle name="40% - Accent2 4 5 3" xfId="6220" xr:uid="{00000000-0005-0000-0000-0000EA040000}"/>
    <cellStyle name="40% - Accent2 4 5 3 2" xfId="14670" xr:uid="{AB5B2117-8872-43CD-97A5-4ADAA388BC50}"/>
    <cellStyle name="40% - Accent2 4 5 4" xfId="10452" xr:uid="{8A8B43C8-EECE-4A64-9FB0-ABA7C3781388}"/>
    <cellStyle name="40% - Accent2 4 6" xfId="2327" xr:uid="{00000000-0005-0000-0000-0000EB040000}"/>
    <cellStyle name="40% - Accent2 4 6 2" xfId="6633" xr:uid="{00000000-0005-0000-0000-0000EC040000}"/>
    <cellStyle name="40% - Accent2 4 6 2 2" xfId="15083" xr:uid="{28B64AAF-B01C-4453-AFC6-B4CD3D4EB5CB}"/>
    <cellStyle name="40% - Accent2 4 6 3" xfId="10865" xr:uid="{022F2835-6C69-4456-AA5A-CA5F2C290C49}"/>
    <cellStyle name="40% - Accent2 4 7" xfId="4567" xr:uid="{00000000-0005-0000-0000-0000ED040000}"/>
    <cellStyle name="40% - Accent2 4 7 2" xfId="13017" xr:uid="{BB531CDF-0D16-43F9-982A-9B984CB4FBDA}"/>
    <cellStyle name="40% - Accent2 4 8" xfId="8799" xr:uid="{58DDC910-01D0-473C-8522-A26D4988B746}"/>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5192C55C-4324-4D5E-A468-925AF4E409AA}"/>
    <cellStyle name="40% - Accent2 5 2 3" xfId="11351" xr:uid="{7184E0E9-8CC8-4B12-951E-E5477746E06E}"/>
    <cellStyle name="40% - Accent2 5 3" xfId="4974" xr:uid="{00000000-0005-0000-0000-0000F1040000}"/>
    <cellStyle name="40% - Accent2 5 3 2" xfId="13424" xr:uid="{C35005C9-5B58-4A62-B37D-B2CEA1AF11F7}"/>
    <cellStyle name="40% - Accent2 5 4" xfId="9206" xr:uid="{DB3E637A-51AE-4B09-A558-19AD535DD3D1}"/>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4EAA15DB-041B-491A-83B4-52A89EC2F09C}"/>
    <cellStyle name="40% - Accent2 6 2 3" xfId="11764" xr:uid="{FA4BC5E7-63F1-4E28-AF63-ED724ECEA877}"/>
    <cellStyle name="40% - Accent2 6 3" xfId="5387" xr:uid="{00000000-0005-0000-0000-0000F5040000}"/>
    <cellStyle name="40% - Accent2 6 3 2" xfId="13837" xr:uid="{F77A30C4-2B42-4752-942D-7D89B13D2D05}"/>
    <cellStyle name="40% - Accent2 6 4" xfId="9619" xr:uid="{F72584B8-7ED0-47FC-A1C1-4EB4A800C639}"/>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CAB00767-6EA2-42AD-A60C-444460A6897D}"/>
    <cellStyle name="40% - Accent2 7 2 3" xfId="12177" xr:uid="{B9ED8061-A68C-425C-ADE8-F073D89998A1}"/>
    <cellStyle name="40% - Accent2 7 3" xfId="5800" xr:uid="{00000000-0005-0000-0000-0000F9040000}"/>
    <cellStyle name="40% - Accent2 7 3 2" xfId="14250" xr:uid="{D6D69D85-3F49-4850-86E9-40BEF64EA0AF}"/>
    <cellStyle name="40% - Accent2 7 4" xfId="10032" xr:uid="{AA2389D8-5A5D-4FF6-B105-F798EF66106B}"/>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B04D3AC6-8EE9-44F1-BB46-B1AB694F0269}"/>
    <cellStyle name="40% - Accent2 8 2 3" xfId="12590" xr:uid="{0F52C72E-39C2-4BE0-B66E-DCD2FC6F1FB8}"/>
    <cellStyle name="40% - Accent2 8 3" xfId="6213" xr:uid="{00000000-0005-0000-0000-0000FD040000}"/>
    <cellStyle name="40% - Accent2 8 3 2" xfId="14663" xr:uid="{467C9F07-B7AB-4C96-9F75-AEBFDED0CA2C}"/>
    <cellStyle name="40% - Accent2 8 4" xfId="10445" xr:uid="{2909ED5C-0638-4731-A664-46247BC744C9}"/>
    <cellStyle name="40% - Accent2 9" xfId="2320" xr:uid="{00000000-0005-0000-0000-0000FE040000}"/>
    <cellStyle name="40% - Accent2 9 2" xfId="6626" xr:uid="{00000000-0005-0000-0000-0000FF040000}"/>
    <cellStyle name="40% - Accent2 9 2 2" xfId="15076" xr:uid="{CB9D0A81-2C85-437A-ACA2-66005827F1F4}"/>
    <cellStyle name="40% - Accent2 9 3" xfId="10858" xr:uid="{9FD7D9FF-10AF-401F-B6FE-C9A7BBFBDF55}"/>
    <cellStyle name="40% - Accent3" xfId="65" builtinId="39" customBuiltin="1"/>
    <cellStyle name="40% - Accent3 10" xfId="4568" xr:uid="{00000000-0005-0000-0000-000001050000}"/>
    <cellStyle name="40% - Accent3 10 2" xfId="13018" xr:uid="{2391FA7A-5F71-4AA5-9CAE-2AEFBDC141D2}"/>
    <cellStyle name="40% - Accent3 11" xfId="8800" xr:uid="{7149D704-CFE8-4EA7-BFDD-EC737F57599D}"/>
    <cellStyle name="40% - Accent3 2" xfId="66" xr:uid="{00000000-0005-0000-0000-000002050000}"/>
    <cellStyle name="40% - Accent3 2 10" xfId="8801" xr:uid="{C54A457E-4B75-4636-BCC9-3931C3134EF3}"/>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20888B38-8C1E-4EBA-9DB2-9B0378198B2A}"/>
    <cellStyle name="40% - Accent3 2 2 2 2 2 3" xfId="11362" xr:uid="{5624FCFF-3810-41C0-87C1-0C4D746317AD}"/>
    <cellStyle name="40% - Accent3 2 2 2 2 3" xfId="4985" xr:uid="{00000000-0005-0000-0000-000008050000}"/>
    <cellStyle name="40% - Accent3 2 2 2 2 3 2" xfId="13435" xr:uid="{BDC1EC5D-BDFE-4645-B6D3-8AFC9BF61B26}"/>
    <cellStyle name="40% - Accent3 2 2 2 2 4" xfId="9217" xr:uid="{974AE013-7459-415C-951D-EA0FC4B62321}"/>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AE267BF1-0EE4-4F23-9FBF-FA9AD081842C}"/>
    <cellStyle name="40% - Accent3 2 2 2 3 2 3" xfId="11775" xr:uid="{4390B9A3-DED3-448A-A4E2-AEE39689D903}"/>
    <cellStyle name="40% - Accent3 2 2 2 3 3" xfId="5398" xr:uid="{00000000-0005-0000-0000-00000C050000}"/>
    <cellStyle name="40% - Accent3 2 2 2 3 3 2" xfId="13848" xr:uid="{A0858CC6-5E82-4A05-A110-F14AD4FE319C}"/>
    <cellStyle name="40% - Accent3 2 2 2 3 4" xfId="9630" xr:uid="{CD432C65-3051-4ED1-8699-D1F3C460F609}"/>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4768E4AC-C8D3-4C26-95A1-2B439BC86540}"/>
    <cellStyle name="40% - Accent3 2 2 2 4 2 3" xfId="12188" xr:uid="{20A4A7C7-76BA-4401-A6EF-1E1D73DAF787}"/>
    <cellStyle name="40% - Accent3 2 2 2 4 3" xfId="5811" xr:uid="{00000000-0005-0000-0000-000010050000}"/>
    <cellStyle name="40% - Accent3 2 2 2 4 3 2" xfId="14261" xr:uid="{BFA1116C-235F-4B8C-A6D7-5558573711E3}"/>
    <cellStyle name="40% - Accent3 2 2 2 4 4" xfId="10043" xr:uid="{BB3B926D-3095-42B4-A0C8-89E2ED87798A}"/>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E4CB27E9-B148-4B64-98D9-86BB7A396CD3}"/>
    <cellStyle name="40% - Accent3 2 2 2 5 2 3" xfId="12601" xr:uid="{74AB7DB1-0EA5-4655-9EB2-52A8D652D9DE}"/>
    <cellStyle name="40% - Accent3 2 2 2 5 3" xfId="6224" xr:uid="{00000000-0005-0000-0000-000014050000}"/>
    <cellStyle name="40% - Accent3 2 2 2 5 3 2" xfId="14674" xr:uid="{B206443B-4C16-41E3-AB01-9FFAC804F78D}"/>
    <cellStyle name="40% - Accent3 2 2 2 5 4" xfId="10456" xr:uid="{5C25AA24-CDF2-489A-965E-83405B5FCB4B}"/>
    <cellStyle name="40% - Accent3 2 2 2 6" xfId="2331" xr:uid="{00000000-0005-0000-0000-000015050000}"/>
    <cellStyle name="40% - Accent3 2 2 2 6 2" xfId="6637" xr:uid="{00000000-0005-0000-0000-000016050000}"/>
    <cellStyle name="40% - Accent3 2 2 2 6 2 2" xfId="15087" xr:uid="{42A3A5BC-F4DF-480E-9C81-CE47929A04F1}"/>
    <cellStyle name="40% - Accent3 2 2 2 6 3" xfId="10869" xr:uid="{FE52BD6C-507C-4175-941D-4C2468A52334}"/>
    <cellStyle name="40% - Accent3 2 2 2 7" xfId="4571" xr:uid="{00000000-0005-0000-0000-000017050000}"/>
    <cellStyle name="40% - Accent3 2 2 2 7 2" xfId="13021" xr:uid="{0EDAA3B2-C390-40C1-B510-BED90C298E0E}"/>
    <cellStyle name="40% - Accent3 2 2 2 8" xfId="8803" xr:uid="{1A1B8F08-83A6-4C8D-8B59-81E55B1C3FE4}"/>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199467C9-456A-454F-9C78-34AADA2B2230}"/>
    <cellStyle name="40% - Accent3 2 2 3 2 3" xfId="11361" xr:uid="{F396D3AA-DCA7-4EBE-AE2C-8A542D69204E}"/>
    <cellStyle name="40% - Accent3 2 2 3 3" xfId="4984" xr:uid="{00000000-0005-0000-0000-00001B050000}"/>
    <cellStyle name="40% - Accent3 2 2 3 3 2" xfId="13434" xr:uid="{F6E88A93-827C-459E-8A90-D135F6AF99ED}"/>
    <cellStyle name="40% - Accent3 2 2 3 4" xfId="9216" xr:uid="{837E663D-5AD5-4910-B369-E4C1B5F81A31}"/>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1543AFB8-1E44-43EC-9A2D-BA0071B3BE54}"/>
    <cellStyle name="40% - Accent3 2 2 4 2 3" xfId="11774" xr:uid="{508048CF-4267-42DD-8069-3466527B1510}"/>
    <cellStyle name="40% - Accent3 2 2 4 3" xfId="5397" xr:uid="{00000000-0005-0000-0000-00001F050000}"/>
    <cellStyle name="40% - Accent3 2 2 4 3 2" xfId="13847" xr:uid="{5905BEC8-5EAB-4D65-8B60-CAA7F6961E58}"/>
    <cellStyle name="40% - Accent3 2 2 4 4" xfId="9629" xr:uid="{22895378-CD03-40FF-B50E-3A5AF565E485}"/>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E4E87109-A7B8-4B64-AAC4-052CF655866D}"/>
    <cellStyle name="40% - Accent3 2 2 5 2 3" xfId="12187" xr:uid="{8220A49D-DB02-43A6-B8FB-89F88C92B764}"/>
    <cellStyle name="40% - Accent3 2 2 5 3" xfId="5810" xr:uid="{00000000-0005-0000-0000-000023050000}"/>
    <cellStyle name="40% - Accent3 2 2 5 3 2" xfId="14260" xr:uid="{6058ACBC-87F8-4C30-9030-D25F24B4A799}"/>
    <cellStyle name="40% - Accent3 2 2 5 4" xfId="10042" xr:uid="{FB4ED98E-2430-4145-95E0-92B987CBC24F}"/>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47731B8B-05DC-4AA7-BC43-8EF43A6A995C}"/>
    <cellStyle name="40% - Accent3 2 2 6 2 3" xfId="12600" xr:uid="{D74946D2-C85E-4730-A2AB-7720166C50E7}"/>
    <cellStyle name="40% - Accent3 2 2 6 3" xfId="6223" xr:uid="{00000000-0005-0000-0000-000027050000}"/>
    <cellStyle name="40% - Accent3 2 2 6 3 2" xfId="14673" xr:uid="{FB25A9F7-072B-45CD-AEDE-E0B0B3E0B83A}"/>
    <cellStyle name="40% - Accent3 2 2 6 4" xfId="10455" xr:uid="{A306EF64-D7A7-45E6-8574-1A5FDE9685F0}"/>
    <cellStyle name="40% - Accent3 2 2 7" xfId="2330" xr:uid="{00000000-0005-0000-0000-000028050000}"/>
    <cellStyle name="40% - Accent3 2 2 7 2" xfId="6636" xr:uid="{00000000-0005-0000-0000-000029050000}"/>
    <cellStyle name="40% - Accent3 2 2 7 2 2" xfId="15086" xr:uid="{61AF1940-8512-4B04-851A-78910FDB7104}"/>
    <cellStyle name="40% - Accent3 2 2 7 3" xfId="10868" xr:uid="{C96BD94F-239A-49A8-8F6E-D5159F636047}"/>
    <cellStyle name="40% - Accent3 2 2 8" xfId="4570" xr:uid="{00000000-0005-0000-0000-00002A050000}"/>
    <cellStyle name="40% - Accent3 2 2 8 2" xfId="13020" xr:uid="{7C54D8DC-2EC8-4379-987F-B6A5514639D3}"/>
    <cellStyle name="40% - Accent3 2 2 9" xfId="8802" xr:uid="{E454216C-789C-4F60-9E13-5C4E3BCB2F9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F79E444D-BE61-4FE3-B332-F59DF41FF5D8}"/>
    <cellStyle name="40% - Accent3 2 3 2 2 3" xfId="11363" xr:uid="{4604D45B-9A43-4569-B7D1-747C3813B106}"/>
    <cellStyle name="40% - Accent3 2 3 2 3" xfId="4986" xr:uid="{00000000-0005-0000-0000-00002F050000}"/>
    <cellStyle name="40% - Accent3 2 3 2 3 2" xfId="13436" xr:uid="{5320035A-E9AE-4334-B084-F9EAEF315DAF}"/>
    <cellStyle name="40% - Accent3 2 3 2 4" xfId="9218" xr:uid="{1FF027CD-1F2C-43F0-8F72-1DF212723FF8}"/>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E466D175-2C55-4495-A6CC-91F1262EAF3E}"/>
    <cellStyle name="40% - Accent3 2 3 3 2 3" xfId="11776" xr:uid="{8679E4FC-9734-41FB-9EC6-BF657E81C761}"/>
    <cellStyle name="40% - Accent3 2 3 3 3" xfId="5399" xr:uid="{00000000-0005-0000-0000-000033050000}"/>
    <cellStyle name="40% - Accent3 2 3 3 3 2" xfId="13849" xr:uid="{DD328F91-B264-40D3-96AC-03488A6955F0}"/>
    <cellStyle name="40% - Accent3 2 3 3 4" xfId="9631" xr:uid="{9E54E853-31C5-488B-AFDE-2686823E012C}"/>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E1E118C2-4CDF-4066-9726-C8DFB225CE86}"/>
    <cellStyle name="40% - Accent3 2 3 4 2 3" xfId="12189" xr:uid="{3FC88C56-2214-4009-AA61-30271DE03ECC}"/>
    <cellStyle name="40% - Accent3 2 3 4 3" xfId="5812" xr:uid="{00000000-0005-0000-0000-000037050000}"/>
    <cellStyle name="40% - Accent3 2 3 4 3 2" xfId="14262" xr:uid="{D376637D-6DCE-43F3-8BBF-C26FBB3B8C22}"/>
    <cellStyle name="40% - Accent3 2 3 4 4" xfId="10044" xr:uid="{8E3000E0-7028-4CA3-806C-9FC559573E5B}"/>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11455A7E-CC52-4C2E-9C2C-902AC34EA24F}"/>
    <cellStyle name="40% - Accent3 2 3 5 2 3" xfId="12602" xr:uid="{383CF0F0-2807-4C6E-9366-F718C213E841}"/>
    <cellStyle name="40% - Accent3 2 3 5 3" xfId="6225" xr:uid="{00000000-0005-0000-0000-00003B050000}"/>
    <cellStyle name="40% - Accent3 2 3 5 3 2" xfId="14675" xr:uid="{6DD47D95-CFD5-40B3-9308-63AB6D7E5944}"/>
    <cellStyle name="40% - Accent3 2 3 5 4" xfId="10457" xr:uid="{2B22011F-168E-4F16-91CC-1A1B990090C3}"/>
    <cellStyle name="40% - Accent3 2 3 6" xfId="2332" xr:uid="{00000000-0005-0000-0000-00003C050000}"/>
    <cellStyle name="40% - Accent3 2 3 6 2" xfId="6638" xr:uid="{00000000-0005-0000-0000-00003D050000}"/>
    <cellStyle name="40% - Accent3 2 3 6 2 2" xfId="15088" xr:uid="{C44225E2-B379-483A-8FD4-5A29A1E75BC1}"/>
    <cellStyle name="40% - Accent3 2 3 6 3" xfId="10870" xr:uid="{B8FDFDD7-4998-41C0-9AA4-BB38FE313C7E}"/>
    <cellStyle name="40% - Accent3 2 3 7" xfId="4572" xr:uid="{00000000-0005-0000-0000-00003E050000}"/>
    <cellStyle name="40% - Accent3 2 3 7 2" xfId="13022" xr:uid="{AE57F260-47A1-4983-B49C-D944F5FCEB40}"/>
    <cellStyle name="40% - Accent3 2 3 8" xfId="8804" xr:uid="{59EFFAAB-C990-4173-84A2-F7DEBB4660A9}"/>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C844C238-1F05-4A0F-A9FA-6F2C73A0629A}"/>
    <cellStyle name="40% - Accent3 2 4 2 3" xfId="11360" xr:uid="{F417742E-6427-4438-98F4-5728EEBA42E2}"/>
    <cellStyle name="40% - Accent3 2 4 3" xfId="4983" xr:uid="{00000000-0005-0000-0000-000042050000}"/>
    <cellStyle name="40% - Accent3 2 4 3 2" xfId="13433" xr:uid="{8D21B251-93B0-4AE1-B607-20AE14F8366D}"/>
    <cellStyle name="40% - Accent3 2 4 4" xfId="9215" xr:uid="{6899D073-BBDF-40C6-8D52-BD02598E6EA9}"/>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62A583B6-F785-4C21-A73D-A24CFC1D4B5B}"/>
    <cellStyle name="40% - Accent3 2 5 2 3" xfId="11773" xr:uid="{14E4F9BA-AF07-4CF0-BF29-F25E37F80F64}"/>
    <cellStyle name="40% - Accent3 2 5 3" xfId="5396" xr:uid="{00000000-0005-0000-0000-000046050000}"/>
    <cellStyle name="40% - Accent3 2 5 3 2" xfId="13846" xr:uid="{79F63B75-E66A-43A0-9CDA-940EA20567E2}"/>
    <cellStyle name="40% - Accent3 2 5 4" xfId="9628" xr:uid="{C2F43D8D-E819-446A-9361-82BDAE273B24}"/>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269ACC00-797E-47AB-BC7F-4370407F0F7E}"/>
    <cellStyle name="40% - Accent3 2 6 2 3" xfId="12186" xr:uid="{B731B294-B13F-4DE9-82D7-EF83A377F0F7}"/>
    <cellStyle name="40% - Accent3 2 6 3" xfId="5809" xr:uid="{00000000-0005-0000-0000-00004A050000}"/>
    <cellStyle name="40% - Accent3 2 6 3 2" xfId="14259" xr:uid="{7DA8B866-01F0-43C3-88C6-290C9ADEBFF0}"/>
    <cellStyle name="40% - Accent3 2 6 4" xfId="10041" xr:uid="{301B31F3-62A2-4071-A4CB-6C900CC169D1}"/>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D1962C86-770D-4E88-8410-730B9D7D4FBB}"/>
    <cellStyle name="40% - Accent3 2 7 2 3" xfId="12599" xr:uid="{C66BAD0D-FDFA-44E2-89EF-5C496D7E3609}"/>
    <cellStyle name="40% - Accent3 2 7 3" xfId="6222" xr:uid="{00000000-0005-0000-0000-00004E050000}"/>
    <cellStyle name="40% - Accent3 2 7 3 2" xfId="14672" xr:uid="{77253DB3-68FC-43EA-A2D3-8302E6A9F7E4}"/>
    <cellStyle name="40% - Accent3 2 7 4" xfId="10454" xr:uid="{C840A6D6-75EC-47AC-8D0A-F99C82CB67A3}"/>
    <cellStyle name="40% - Accent3 2 8" xfId="2329" xr:uid="{00000000-0005-0000-0000-00004F050000}"/>
    <cellStyle name="40% - Accent3 2 8 2" xfId="6635" xr:uid="{00000000-0005-0000-0000-000050050000}"/>
    <cellStyle name="40% - Accent3 2 8 2 2" xfId="15085" xr:uid="{095B82BC-98C7-4ACC-9095-DC58220F655D}"/>
    <cellStyle name="40% - Accent3 2 8 3" xfId="10867" xr:uid="{C30D2503-03D3-4FDD-B7C0-8DDE5C5E87CB}"/>
    <cellStyle name="40% - Accent3 2 9" xfId="4569" xr:uid="{00000000-0005-0000-0000-000051050000}"/>
    <cellStyle name="40% - Accent3 2 9 2" xfId="13019" xr:uid="{328BA29B-4031-4B85-AB20-9FB63C43880A}"/>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1643B407-6D2B-48A1-BF6A-E2D28D716528}"/>
    <cellStyle name="40% - Accent3 3 2 2 2 3" xfId="11365" xr:uid="{A0BF0D8C-BDB2-48B2-9BE3-4C0D3582773E}"/>
    <cellStyle name="40% - Accent3 3 2 2 3" xfId="4988" xr:uid="{00000000-0005-0000-0000-000057050000}"/>
    <cellStyle name="40% - Accent3 3 2 2 3 2" xfId="13438" xr:uid="{F03BE5B2-C4E8-4053-B43F-71C60D5D5356}"/>
    <cellStyle name="40% - Accent3 3 2 2 4" xfId="9220" xr:uid="{65D23896-7565-4A08-9AE7-F03DDD548A6F}"/>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B9FC5820-3E14-4F8E-A7CF-67076643AB59}"/>
    <cellStyle name="40% - Accent3 3 2 3 2 3" xfId="11778" xr:uid="{6286A37F-EC38-492F-A1A2-6EBCC62E8BD8}"/>
    <cellStyle name="40% - Accent3 3 2 3 3" xfId="5401" xr:uid="{00000000-0005-0000-0000-00005B050000}"/>
    <cellStyle name="40% - Accent3 3 2 3 3 2" xfId="13851" xr:uid="{0F1BADE2-AA86-401C-8B94-A7AA2F457082}"/>
    <cellStyle name="40% - Accent3 3 2 3 4" xfId="9633" xr:uid="{0BCAE4FB-1CAC-497C-A812-FEEF9F5BAC1F}"/>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4CD27103-3832-4009-9A05-DB906BF1F71F}"/>
    <cellStyle name="40% - Accent3 3 2 4 2 3" xfId="12191" xr:uid="{B0073F7B-BE4A-45AA-9B42-01CD47286D5D}"/>
    <cellStyle name="40% - Accent3 3 2 4 3" xfId="5814" xr:uid="{00000000-0005-0000-0000-00005F050000}"/>
    <cellStyle name="40% - Accent3 3 2 4 3 2" xfId="14264" xr:uid="{66413CB7-0AB2-4376-9DAC-7C7B22084E52}"/>
    <cellStyle name="40% - Accent3 3 2 4 4" xfId="10046" xr:uid="{A399290D-2FE8-4615-AC98-93798479BBA3}"/>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A6574F81-A24B-41B0-99E0-0C48EE4B5675}"/>
    <cellStyle name="40% - Accent3 3 2 5 2 3" xfId="12604" xr:uid="{15809097-BB0B-41F2-96DC-5C251C510378}"/>
    <cellStyle name="40% - Accent3 3 2 5 3" xfId="6227" xr:uid="{00000000-0005-0000-0000-000063050000}"/>
    <cellStyle name="40% - Accent3 3 2 5 3 2" xfId="14677" xr:uid="{BD15E7F1-D376-49B7-9C75-9C0CE34A348E}"/>
    <cellStyle name="40% - Accent3 3 2 5 4" xfId="10459" xr:uid="{33DFABD8-DBF9-4F03-9D41-3BCDD15A8AEE}"/>
    <cellStyle name="40% - Accent3 3 2 6" xfId="2334" xr:uid="{00000000-0005-0000-0000-000064050000}"/>
    <cellStyle name="40% - Accent3 3 2 6 2" xfId="6640" xr:uid="{00000000-0005-0000-0000-000065050000}"/>
    <cellStyle name="40% - Accent3 3 2 6 2 2" xfId="15090" xr:uid="{0ECEA813-45B2-4A40-A4F3-AEC0DBF59247}"/>
    <cellStyle name="40% - Accent3 3 2 6 3" xfId="10872" xr:uid="{2281C202-E7A2-4A45-A0EC-7C68ADD07667}"/>
    <cellStyle name="40% - Accent3 3 2 7" xfId="4574" xr:uid="{00000000-0005-0000-0000-000066050000}"/>
    <cellStyle name="40% - Accent3 3 2 7 2" xfId="13024" xr:uid="{E4E75AC5-7195-43FD-96B0-513F4A56554D}"/>
    <cellStyle name="40% - Accent3 3 2 8" xfId="8806" xr:uid="{437ADA2A-F4F0-45AB-87E0-561327D1B18B}"/>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08668766-0393-4768-A06D-99390CBBAC2B}"/>
    <cellStyle name="40% - Accent3 3 3 2 3" xfId="11364" xr:uid="{CB923ACB-D966-4E4B-8B22-7604BFCA4EA5}"/>
    <cellStyle name="40% - Accent3 3 3 3" xfId="4987" xr:uid="{00000000-0005-0000-0000-00006A050000}"/>
    <cellStyle name="40% - Accent3 3 3 3 2" xfId="13437" xr:uid="{89B24B4E-3F92-4A21-8E53-BB8C4D932DDF}"/>
    <cellStyle name="40% - Accent3 3 3 4" xfId="9219" xr:uid="{743A0435-7CF2-4072-A16A-63169278C6E9}"/>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8BFBC653-AC91-4A11-A62E-C4E3A78E380E}"/>
    <cellStyle name="40% - Accent3 3 4 2 3" xfId="11777" xr:uid="{4A83791B-7854-4DDE-ABC1-5E6834F53090}"/>
    <cellStyle name="40% - Accent3 3 4 3" xfId="5400" xr:uid="{00000000-0005-0000-0000-00006E050000}"/>
    <cellStyle name="40% - Accent3 3 4 3 2" xfId="13850" xr:uid="{BB3570D8-7678-4DF8-BB0F-73EC472B3BC5}"/>
    <cellStyle name="40% - Accent3 3 4 4" xfId="9632" xr:uid="{2549A1AA-4A96-4877-989C-224A2A9CE468}"/>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01618D2C-9AB2-4B24-8346-21FFB241B2EE}"/>
    <cellStyle name="40% - Accent3 3 5 2 3" xfId="12190" xr:uid="{E26B47C7-182C-44F2-8F24-F681054D226C}"/>
    <cellStyle name="40% - Accent3 3 5 3" xfId="5813" xr:uid="{00000000-0005-0000-0000-000072050000}"/>
    <cellStyle name="40% - Accent3 3 5 3 2" xfId="14263" xr:uid="{DAA26D91-6855-4915-9FCA-EC0CE4515712}"/>
    <cellStyle name="40% - Accent3 3 5 4" xfId="10045" xr:uid="{2B17A7CF-A9C5-41A1-A182-004358FEE6A0}"/>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2B5D496F-B07A-43EC-9D14-0DC01892DC2D}"/>
    <cellStyle name="40% - Accent3 3 6 2 3" xfId="12603" xr:uid="{6DF4C6F3-FC7E-48D7-B25E-76888DE9FD9E}"/>
    <cellStyle name="40% - Accent3 3 6 3" xfId="6226" xr:uid="{00000000-0005-0000-0000-000076050000}"/>
    <cellStyle name="40% - Accent3 3 6 3 2" xfId="14676" xr:uid="{3E98E7D5-7092-420D-B9A7-5E06DD6AA7B5}"/>
    <cellStyle name="40% - Accent3 3 6 4" xfId="10458" xr:uid="{CCE7B170-BC6F-4190-8F62-49AA9D12CB7A}"/>
    <cellStyle name="40% - Accent3 3 7" xfId="2333" xr:uid="{00000000-0005-0000-0000-000077050000}"/>
    <cellStyle name="40% - Accent3 3 7 2" xfId="6639" xr:uid="{00000000-0005-0000-0000-000078050000}"/>
    <cellStyle name="40% - Accent3 3 7 2 2" xfId="15089" xr:uid="{F99A8434-2F24-4500-B251-F9EE1F6802CE}"/>
    <cellStyle name="40% - Accent3 3 7 3" xfId="10871" xr:uid="{1F2E6337-BAA8-4094-8146-DA7C853C9F05}"/>
    <cellStyle name="40% - Accent3 3 8" xfId="4573" xr:uid="{00000000-0005-0000-0000-000079050000}"/>
    <cellStyle name="40% - Accent3 3 8 2" xfId="13023" xr:uid="{9B5C5034-E373-4620-B97E-95699263F197}"/>
    <cellStyle name="40% - Accent3 3 9" xfId="8805" xr:uid="{9AACEF6B-4908-4012-BB84-82EC71F3B4DC}"/>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EBEFB07F-D722-4530-BE50-4242E584675F}"/>
    <cellStyle name="40% - Accent3 4 2 2 3" xfId="11366" xr:uid="{14D4318B-70BB-4B70-8F4B-80A7CC741712}"/>
    <cellStyle name="40% - Accent3 4 2 3" xfId="4989" xr:uid="{00000000-0005-0000-0000-00007E050000}"/>
    <cellStyle name="40% - Accent3 4 2 3 2" xfId="13439" xr:uid="{CF7C89C6-FCDC-4FF3-866F-C00E921986A6}"/>
    <cellStyle name="40% - Accent3 4 2 4" xfId="9221" xr:uid="{2604F0B5-B3B4-4FBE-9510-80A9238FF526}"/>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46BE9D74-5FE5-437D-8EB7-73AD8B8F4FDC}"/>
    <cellStyle name="40% - Accent3 4 3 2 3" xfId="11779" xr:uid="{45D14B9F-C1ED-4AE4-A866-1166A21D938A}"/>
    <cellStyle name="40% - Accent3 4 3 3" xfId="5402" xr:uid="{00000000-0005-0000-0000-000082050000}"/>
    <cellStyle name="40% - Accent3 4 3 3 2" xfId="13852" xr:uid="{DF93D342-B8D2-4947-A4DC-1F94273C221B}"/>
    <cellStyle name="40% - Accent3 4 3 4" xfId="9634" xr:uid="{6B869A88-4A86-48E2-BAD2-330FB7AB1B0D}"/>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59872FF9-9A4C-49CF-92F7-713590B40D5B}"/>
    <cellStyle name="40% - Accent3 4 4 2 3" xfId="12192" xr:uid="{0A2145D4-137B-4EBC-9B2E-BE749FE4F9E3}"/>
    <cellStyle name="40% - Accent3 4 4 3" xfId="5815" xr:uid="{00000000-0005-0000-0000-000086050000}"/>
    <cellStyle name="40% - Accent3 4 4 3 2" xfId="14265" xr:uid="{719F5936-EF7B-4C39-9B96-AAB2C07F291E}"/>
    <cellStyle name="40% - Accent3 4 4 4" xfId="10047" xr:uid="{B5C15327-2BFD-46B0-9A29-37F744CC8426}"/>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3E7F133B-6DDE-4217-BEC9-896B823CC700}"/>
    <cellStyle name="40% - Accent3 4 5 2 3" xfId="12605" xr:uid="{33F0F9C8-2229-4633-8944-CB588CF40051}"/>
    <cellStyle name="40% - Accent3 4 5 3" xfId="6228" xr:uid="{00000000-0005-0000-0000-00008A050000}"/>
    <cellStyle name="40% - Accent3 4 5 3 2" xfId="14678" xr:uid="{0B109B47-5C31-4E0E-9A34-92E8B79F57E7}"/>
    <cellStyle name="40% - Accent3 4 5 4" xfId="10460" xr:uid="{54CFFBCF-3F8E-44AE-AAC2-9C41DE994328}"/>
    <cellStyle name="40% - Accent3 4 6" xfId="2335" xr:uid="{00000000-0005-0000-0000-00008B050000}"/>
    <cellStyle name="40% - Accent3 4 6 2" xfId="6641" xr:uid="{00000000-0005-0000-0000-00008C050000}"/>
    <cellStyle name="40% - Accent3 4 6 2 2" xfId="15091" xr:uid="{5F19F957-BDAE-469A-A774-A6A47D303C5F}"/>
    <cellStyle name="40% - Accent3 4 6 3" xfId="10873" xr:uid="{B5737B4E-9076-46C1-B2EE-0671FBE9D01F}"/>
    <cellStyle name="40% - Accent3 4 7" xfId="4575" xr:uid="{00000000-0005-0000-0000-00008D050000}"/>
    <cellStyle name="40% - Accent3 4 7 2" xfId="13025" xr:uid="{74FB5D1B-AC1A-40DF-A478-CA2642BE85FD}"/>
    <cellStyle name="40% - Accent3 4 8" xfId="8807" xr:uid="{12C2787E-CEE7-4079-9450-6607A56FBF9C}"/>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4D1752D0-4F41-410B-A7E3-B7A07A5D4673}"/>
    <cellStyle name="40% - Accent3 5 2 3" xfId="11359" xr:uid="{6A5863BA-0DAD-46AE-A15B-BC4E10340623}"/>
    <cellStyle name="40% - Accent3 5 3" xfId="4982" xr:uid="{00000000-0005-0000-0000-000091050000}"/>
    <cellStyle name="40% - Accent3 5 3 2" xfId="13432" xr:uid="{BBC01C71-2B6F-4168-A2D6-1B53002E2707}"/>
    <cellStyle name="40% - Accent3 5 4" xfId="9214" xr:uid="{74B38534-1C49-48BE-88D8-A02FD7CB7D5C}"/>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5E99C267-2D03-4879-B7FE-9D6AA2EE7A05}"/>
    <cellStyle name="40% - Accent3 6 2 3" xfId="11772" xr:uid="{0273735B-E10C-4E71-A3CD-53F367F65081}"/>
    <cellStyle name="40% - Accent3 6 3" xfId="5395" xr:uid="{00000000-0005-0000-0000-000095050000}"/>
    <cellStyle name="40% - Accent3 6 3 2" xfId="13845" xr:uid="{8A0B0EF8-283B-4FF7-93F1-0C97F4D9AD7E}"/>
    <cellStyle name="40% - Accent3 6 4" xfId="9627" xr:uid="{E9E0A160-964D-47A9-9923-80B062D85F25}"/>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73015185-2EB2-4AE9-BADB-D8A123E8D563}"/>
    <cellStyle name="40% - Accent3 7 2 3" xfId="12185" xr:uid="{53107D50-0FBE-43BB-8E6F-20DEF1CF2210}"/>
    <cellStyle name="40% - Accent3 7 3" xfId="5808" xr:uid="{00000000-0005-0000-0000-000099050000}"/>
    <cellStyle name="40% - Accent3 7 3 2" xfId="14258" xr:uid="{9C8CEE42-641D-4CD5-B895-A7884C5FEED7}"/>
    <cellStyle name="40% - Accent3 7 4" xfId="10040" xr:uid="{AFE12059-54BC-4BBF-B505-986257BC4D00}"/>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67E3D658-AF92-4B4F-A489-10EBD85684CA}"/>
    <cellStyle name="40% - Accent3 8 2 3" xfId="12598" xr:uid="{9E6891C3-418E-4F34-AB64-4C614D773118}"/>
    <cellStyle name="40% - Accent3 8 3" xfId="6221" xr:uid="{00000000-0005-0000-0000-00009D050000}"/>
    <cellStyle name="40% - Accent3 8 3 2" xfId="14671" xr:uid="{5AD547E9-B98D-432F-8591-224319236BD2}"/>
    <cellStyle name="40% - Accent3 8 4" xfId="10453" xr:uid="{276A69DB-0CD1-4025-9FBF-0A31AD1730DD}"/>
    <cellStyle name="40% - Accent3 9" xfId="2328" xr:uid="{00000000-0005-0000-0000-00009E050000}"/>
    <cellStyle name="40% - Accent3 9 2" xfId="6634" xr:uid="{00000000-0005-0000-0000-00009F050000}"/>
    <cellStyle name="40% - Accent3 9 2 2" xfId="15084" xr:uid="{6C19F3AB-0A12-4BCA-B1AD-CA7BFC4272C6}"/>
    <cellStyle name="40% - Accent3 9 3" xfId="10866" xr:uid="{7BE775E1-98AA-4D39-BF76-CA273E34D262}"/>
    <cellStyle name="40% - Accent4" xfId="73" builtinId="43" customBuiltin="1"/>
    <cellStyle name="40% - Accent4 10" xfId="4576" xr:uid="{00000000-0005-0000-0000-0000A1050000}"/>
    <cellStyle name="40% - Accent4 10 2" xfId="13026" xr:uid="{3D58E93F-1E31-4BC8-8E04-9ECC66F2B28D}"/>
    <cellStyle name="40% - Accent4 11" xfId="8808" xr:uid="{F8252B66-630A-4CF4-B456-C4537EC69A3E}"/>
    <cellStyle name="40% - Accent4 2" xfId="74" xr:uid="{00000000-0005-0000-0000-0000A2050000}"/>
    <cellStyle name="40% - Accent4 2 10" xfId="8809" xr:uid="{CF86415C-11B7-457A-AD37-DBAE2BDE7ECC}"/>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B0F3DD2E-7EF0-4359-A132-571523A00D67}"/>
    <cellStyle name="40% - Accent4 2 2 2 2 2 3" xfId="11370" xr:uid="{E8CCD984-5999-4949-B3A1-A4291A366F78}"/>
    <cellStyle name="40% - Accent4 2 2 2 2 3" xfId="4993" xr:uid="{00000000-0005-0000-0000-0000A8050000}"/>
    <cellStyle name="40% - Accent4 2 2 2 2 3 2" xfId="13443" xr:uid="{618B3168-F7A6-40A2-BE45-1D572B22D088}"/>
    <cellStyle name="40% - Accent4 2 2 2 2 4" xfId="9225" xr:uid="{F02D671F-566D-463F-BDF0-656ACA98D3C7}"/>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294D11E6-AA4B-4F14-91A9-74280F708AE6}"/>
    <cellStyle name="40% - Accent4 2 2 2 3 2 3" xfId="11783" xr:uid="{A4384C1C-233D-4790-9A49-9FD33863A964}"/>
    <cellStyle name="40% - Accent4 2 2 2 3 3" xfId="5406" xr:uid="{00000000-0005-0000-0000-0000AC050000}"/>
    <cellStyle name="40% - Accent4 2 2 2 3 3 2" xfId="13856" xr:uid="{A37B0291-AAF1-466A-89FA-2D40432B47A8}"/>
    <cellStyle name="40% - Accent4 2 2 2 3 4" xfId="9638" xr:uid="{B746E99D-BDB2-49EE-B98C-0727C280990C}"/>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9623F98F-63BB-414D-A3E9-83BB493259D6}"/>
    <cellStyle name="40% - Accent4 2 2 2 4 2 3" xfId="12196" xr:uid="{C2FF9206-AE86-44AD-982F-7CD7A82FE64F}"/>
    <cellStyle name="40% - Accent4 2 2 2 4 3" xfId="5819" xr:uid="{00000000-0005-0000-0000-0000B0050000}"/>
    <cellStyle name="40% - Accent4 2 2 2 4 3 2" xfId="14269" xr:uid="{55BA379D-1CB8-4046-A037-1D806D820E5D}"/>
    <cellStyle name="40% - Accent4 2 2 2 4 4" xfId="10051" xr:uid="{FCD5D217-866E-4F26-AA7B-9E9DAAA965E4}"/>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04297658-E3F1-470B-BBF7-819883014FBE}"/>
    <cellStyle name="40% - Accent4 2 2 2 5 2 3" xfId="12609" xr:uid="{7B5954EA-85EF-4242-98E6-DF4E53699097}"/>
    <cellStyle name="40% - Accent4 2 2 2 5 3" xfId="6232" xr:uid="{00000000-0005-0000-0000-0000B4050000}"/>
    <cellStyle name="40% - Accent4 2 2 2 5 3 2" xfId="14682" xr:uid="{FA1683C1-7B8E-43B6-A6FA-15A866E2AF63}"/>
    <cellStyle name="40% - Accent4 2 2 2 5 4" xfId="10464" xr:uid="{C590F437-3EAE-46E3-8CA7-DEE0F8BD881A}"/>
    <cellStyle name="40% - Accent4 2 2 2 6" xfId="2339" xr:uid="{00000000-0005-0000-0000-0000B5050000}"/>
    <cellStyle name="40% - Accent4 2 2 2 6 2" xfId="6645" xr:uid="{00000000-0005-0000-0000-0000B6050000}"/>
    <cellStyle name="40% - Accent4 2 2 2 6 2 2" xfId="15095" xr:uid="{56A94212-E27E-4766-A0D0-CBF0624D6DDF}"/>
    <cellStyle name="40% - Accent4 2 2 2 6 3" xfId="10877" xr:uid="{9A21BA41-AE86-4FD5-AB00-78590FAB48AE}"/>
    <cellStyle name="40% - Accent4 2 2 2 7" xfId="4579" xr:uid="{00000000-0005-0000-0000-0000B7050000}"/>
    <cellStyle name="40% - Accent4 2 2 2 7 2" xfId="13029" xr:uid="{7FD892E8-DDD4-432D-A242-DDFCCCA0A2C1}"/>
    <cellStyle name="40% - Accent4 2 2 2 8" xfId="8811" xr:uid="{2FBA5E48-610D-4EFC-B285-DD11C6BD24DD}"/>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C6A20A95-53F8-47AE-9968-135B4A273F00}"/>
    <cellStyle name="40% - Accent4 2 2 3 2 3" xfId="11369" xr:uid="{AF03A467-CBAC-44C7-8DE2-50BDEFBEA895}"/>
    <cellStyle name="40% - Accent4 2 2 3 3" xfId="4992" xr:uid="{00000000-0005-0000-0000-0000BB050000}"/>
    <cellStyle name="40% - Accent4 2 2 3 3 2" xfId="13442" xr:uid="{08FE0811-B11C-4A4A-937B-2156725F9145}"/>
    <cellStyle name="40% - Accent4 2 2 3 4" xfId="9224" xr:uid="{0BDC4D50-399A-45E3-B5A5-23D82DBC46F5}"/>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FFD9B9F6-049F-4544-973C-E518101BC29C}"/>
    <cellStyle name="40% - Accent4 2 2 4 2 3" xfId="11782" xr:uid="{CFFF86CA-FDEE-4A40-AA56-5998F3BA0659}"/>
    <cellStyle name="40% - Accent4 2 2 4 3" xfId="5405" xr:uid="{00000000-0005-0000-0000-0000BF050000}"/>
    <cellStyle name="40% - Accent4 2 2 4 3 2" xfId="13855" xr:uid="{19ED2CC2-C709-4978-AE65-2C5EC709CBD0}"/>
    <cellStyle name="40% - Accent4 2 2 4 4" xfId="9637" xr:uid="{7BB20588-C063-47D7-B8E3-5A0BABD2662F}"/>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8F0BE136-4D31-463B-929A-30E500A37E6E}"/>
    <cellStyle name="40% - Accent4 2 2 5 2 3" xfId="12195" xr:uid="{569AC565-A67E-464D-9EEC-A36EF8D60230}"/>
    <cellStyle name="40% - Accent4 2 2 5 3" xfId="5818" xr:uid="{00000000-0005-0000-0000-0000C3050000}"/>
    <cellStyle name="40% - Accent4 2 2 5 3 2" xfId="14268" xr:uid="{5FD77881-8774-4DFE-8F20-1AE5E68D03EF}"/>
    <cellStyle name="40% - Accent4 2 2 5 4" xfId="10050" xr:uid="{9A69AD4D-5419-440C-98DE-785252BC93F6}"/>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F7AC9B80-9CD8-4EF9-9C3C-B5852E4C6E8D}"/>
    <cellStyle name="40% - Accent4 2 2 6 2 3" xfId="12608" xr:uid="{2F585E03-D34B-481C-A341-B86607F0713C}"/>
    <cellStyle name="40% - Accent4 2 2 6 3" xfId="6231" xr:uid="{00000000-0005-0000-0000-0000C7050000}"/>
    <cellStyle name="40% - Accent4 2 2 6 3 2" xfId="14681" xr:uid="{5F2E4461-5EC7-42F4-88A7-EB2746567E26}"/>
    <cellStyle name="40% - Accent4 2 2 6 4" xfId="10463" xr:uid="{D10BC1FA-67E1-4D9F-8A64-A5355A733D89}"/>
    <cellStyle name="40% - Accent4 2 2 7" xfId="2338" xr:uid="{00000000-0005-0000-0000-0000C8050000}"/>
    <cellStyle name="40% - Accent4 2 2 7 2" xfId="6644" xr:uid="{00000000-0005-0000-0000-0000C9050000}"/>
    <cellStyle name="40% - Accent4 2 2 7 2 2" xfId="15094" xr:uid="{70EB9DF7-43DF-4425-A5E6-A18A7A3FBF36}"/>
    <cellStyle name="40% - Accent4 2 2 7 3" xfId="10876" xr:uid="{5D9932C4-E787-4A45-86FE-2AA6A2413A76}"/>
    <cellStyle name="40% - Accent4 2 2 8" xfId="4578" xr:uid="{00000000-0005-0000-0000-0000CA050000}"/>
    <cellStyle name="40% - Accent4 2 2 8 2" xfId="13028" xr:uid="{1EA8A3B5-D579-4465-80D8-26C3D12D7BA5}"/>
    <cellStyle name="40% - Accent4 2 2 9" xfId="8810" xr:uid="{613636A1-B541-452C-836C-39693290E7D4}"/>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FCB1BC0B-665F-4FFE-8765-46E9EFC9C9BC}"/>
    <cellStyle name="40% - Accent4 2 3 2 2 3" xfId="11371" xr:uid="{967BB57D-D245-43B2-B388-15CF70F4B31F}"/>
    <cellStyle name="40% - Accent4 2 3 2 3" xfId="4994" xr:uid="{00000000-0005-0000-0000-0000CF050000}"/>
    <cellStyle name="40% - Accent4 2 3 2 3 2" xfId="13444" xr:uid="{44F26A99-279F-4581-AF19-2740A62044AF}"/>
    <cellStyle name="40% - Accent4 2 3 2 4" xfId="9226" xr:uid="{AABDAAC4-C1AF-4571-8409-7E3DE5C08330}"/>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8D509456-17A8-4EB3-AE3D-F9FA1F3B1129}"/>
    <cellStyle name="40% - Accent4 2 3 3 2 3" xfId="11784" xr:uid="{1F049336-DD64-40CF-A318-4AC606E6CFCB}"/>
    <cellStyle name="40% - Accent4 2 3 3 3" xfId="5407" xr:uid="{00000000-0005-0000-0000-0000D3050000}"/>
    <cellStyle name="40% - Accent4 2 3 3 3 2" xfId="13857" xr:uid="{DF159FF1-4A3D-4093-B698-043B3C7D8594}"/>
    <cellStyle name="40% - Accent4 2 3 3 4" xfId="9639" xr:uid="{5FA40DB1-7019-4C61-8612-FCD59FA6ABD3}"/>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99296B61-7B79-409F-9A76-B85CAB6944D6}"/>
    <cellStyle name="40% - Accent4 2 3 4 2 3" xfId="12197" xr:uid="{070130B9-292E-42ED-9C4D-9CAA296BA3E0}"/>
    <cellStyle name="40% - Accent4 2 3 4 3" xfId="5820" xr:uid="{00000000-0005-0000-0000-0000D7050000}"/>
    <cellStyle name="40% - Accent4 2 3 4 3 2" xfId="14270" xr:uid="{24E7036A-FB66-4B7A-90B4-5C9895A2E6DA}"/>
    <cellStyle name="40% - Accent4 2 3 4 4" xfId="10052" xr:uid="{F0F65003-0B18-4011-BC96-1CADD9D99AFD}"/>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7B7C0F7D-5E41-46A0-BA12-B6346EADC07B}"/>
    <cellStyle name="40% - Accent4 2 3 5 2 3" xfId="12610" xr:uid="{5E711027-67FE-42BD-8EAE-FA2C0115554F}"/>
    <cellStyle name="40% - Accent4 2 3 5 3" xfId="6233" xr:uid="{00000000-0005-0000-0000-0000DB050000}"/>
    <cellStyle name="40% - Accent4 2 3 5 3 2" xfId="14683" xr:uid="{EE344B79-4C06-4154-BCC5-16B197E81E4E}"/>
    <cellStyle name="40% - Accent4 2 3 5 4" xfId="10465" xr:uid="{B44D85DB-0E6A-4E7E-A4FE-DC1506FC7532}"/>
    <cellStyle name="40% - Accent4 2 3 6" xfId="2340" xr:uid="{00000000-0005-0000-0000-0000DC050000}"/>
    <cellStyle name="40% - Accent4 2 3 6 2" xfId="6646" xr:uid="{00000000-0005-0000-0000-0000DD050000}"/>
    <cellStyle name="40% - Accent4 2 3 6 2 2" xfId="15096" xr:uid="{2E950A68-64CA-4468-8283-808884DD6D6E}"/>
    <cellStyle name="40% - Accent4 2 3 6 3" xfId="10878" xr:uid="{6A9C6196-2F4E-4F36-96F3-79BB0A9BF00D}"/>
    <cellStyle name="40% - Accent4 2 3 7" xfId="4580" xr:uid="{00000000-0005-0000-0000-0000DE050000}"/>
    <cellStyle name="40% - Accent4 2 3 7 2" xfId="13030" xr:uid="{9E30EC27-E733-4172-B2CB-606253280CCE}"/>
    <cellStyle name="40% - Accent4 2 3 8" xfId="8812" xr:uid="{8F7FFEE9-DC2F-47AE-A6AB-D9C75FB7929F}"/>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820BF980-720A-4F14-8EE8-D62426257D93}"/>
    <cellStyle name="40% - Accent4 2 4 2 3" xfId="11368" xr:uid="{32AF61A2-A4F4-4D71-A247-DC1A8C3EBCFF}"/>
    <cellStyle name="40% - Accent4 2 4 3" xfId="4991" xr:uid="{00000000-0005-0000-0000-0000E2050000}"/>
    <cellStyle name="40% - Accent4 2 4 3 2" xfId="13441" xr:uid="{F6BC0DE6-2294-4F6B-8221-878D8172B107}"/>
    <cellStyle name="40% - Accent4 2 4 4" xfId="9223" xr:uid="{BAE695CB-287D-4706-B6AF-84E021C7E7EA}"/>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922F092F-30A5-4344-A4F1-43E76923BF9C}"/>
    <cellStyle name="40% - Accent4 2 5 2 3" xfId="11781" xr:uid="{A14AA5E3-5E06-4348-B693-6F0C1B5AAC4C}"/>
    <cellStyle name="40% - Accent4 2 5 3" xfId="5404" xr:uid="{00000000-0005-0000-0000-0000E6050000}"/>
    <cellStyle name="40% - Accent4 2 5 3 2" xfId="13854" xr:uid="{95CBD566-FCA1-41C6-BDFD-D9634651CB0D}"/>
    <cellStyle name="40% - Accent4 2 5 4" xfId="9636" xr:uid="{EA0D0805-623D-4ABE-BBEF-2F9051AB225C}"/>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B59AC769-5866-4D76-A349-DB40BB7055D5}"/>
    <cellStyle name="40% - Accent4 2 6 2 3" xfId="12194" xr:uid="{27DC3608-BA71-4112-82B1-7DCC75956A2D}"/>
    <cellStyle name="40% - Accent4 2 6 3" xfId="5817" xr:uid="{00000000-0005-0000-0000-0000EA050000}"/>
    <cellStyle name="40% - Accent4 2 6 3 2" xfId="14267" xr:uid="{EC0588E3-C4E1-4773-AF2A-ECDA93A8B7DE}"/>
    <cellStyle name="40% - Accent4 2 6 4" xfId="10049" xr:uid="{6C0D2D5D-0FDF-4521-9D9C-77B4A6D56BE4}"/>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A78AF41C-22E0-4875-82CC-6ED5BACA2109}"/>
    <cellStyle name="40% - Accent4 2 7 2 3" xfId="12607" xr:uid="{7A42EB13-F1E5-4FEA-9ADB-8477F5584460}"/>
    <cellStyle name="40% - Accent4 2 7 3" xfId="6230" xr:uid="{00000000-0005-0000-0000-0000EE050000}"/>
    <cellStyle name="40% - Accent4 2 7 3 2" xfId="14680" xr:uid="{B2EC2036-4ADA-4099-9005-61340AC5A9FD}"/>
    <cellStyle name="40% - Accent4 2 7 4" xfId="10462" xr:uid="{25CEA5FB-6CFE-43A4-A638-ABF24043DD3A}"/>
    <cellStyle name="40% - Accent4 2 8" xfId="2337" xr:uid="{00000000-0005-0000-0000-0000EF050000}"/>
    <cellStyle name="40% - Accent4 2 8 2" xfId="6643" xr:uid="{00000000-0005-0000-0000-0000F0050000}"/>
    <cellStyle name="40% - Accent4 2 8 2 2" xfId="15093" xr:uid="{43FDAB25-0CB9-4F74-A73D-9AA40FFF3CFE}"/>
    <cellStyle name="40% - Accent4 2 8 3" xfId="10875" xr:uid="{5C0CA7AC-B973-4DA5-8917-019F0594CA92}"/>
    <cellStyle name="40% - Accent4 2 9" xfId="4577" xr:uid="{00000000-0005-0000-0000-0000F1050000}"/>
    <cellStyle name="40% - Accent4 2 9 2" xfId="13027" xr:uid="{6D47887D-1BC4-4890-82CA-8AFF22F20234}"/>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C4DACC4F-ECA6-4CF8-9F40-FC2F48723044}"/>
    <cellStyle name="40% - Accent4 3 2 2 2 3" xfId="11373" xr:uid="{D7881F48-63CC-4779-860A-7E00F779BBD5}"/>
    <cellStyle name="40% - Accent4 3 2 2 3" xfId="4996" xr:uid="{00000000-0005-0000-0000-0000F7050000}"/>
    <cellStyle name="40% - Accent4 3 2 2 3 2" xfId="13446" xr:uid="{2A5287D8-C653-4D6E-AAEB-9500275FEBBF}"/>
    <cellStyle name="40% - Accent4 3 2 2 4" xfId="9228" xr:uid="{7892DE38-1FCF-41D2-93A4-200AC5E3E603}"/>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4C2E8A6E-E4C7-4DCF-841B-5A22C22BF598}"/>
    <cellStyle name="40% - Accent4 3 2 3 2 3" xfId="11786" xr:uid="{EA41F5DE-C78B-44EF-9F35-2A9DE8EB21E2}"/>
    <cellStyle name="40% - Accent4 3 2 3 3" xfId="5409" xr:uid="{00000000-0005-0000-0000-0000FB050000}"/>
    <cellStyle name="40% - Accent4 3 2 3 3 2" xfId="13859" xr:uid="{50C3CE86-1EE5-4D51-9FA1-0F4A3FA4952C}"/>
    <cellStyle name="40% - Accent4 3 2 3 4" xfId="9641" xr:uid="{E121322E-D8DB-424B-9A22-73CBB5CF9B40}"/>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8549ED50-9FB6-4C39-8F71-5A564F8D937F}"/>
    <cellStyle name="40% - Accent4 3 2 4 2 3" xfId="12199" xr:uid="{6BC9EC98-06A2-4619-826F-E6B24C04DBCE}"/>
    <cellStyle name="40% - Accent4 3 2 4 3" xfId="5822" xr:uid="{00000000-0005-0000-0000-0000FF050000}"/>
    <cellStyle name="40% - Accent4 3 2 4 3 2" xfId="14272" xr:uid="{235694D2-1617-4C46-9943-09ADF469A0C1}"/>
    <cellStyle name="40% - Accent4 3 2 4 4" xfId="10054" xr:uid="{61286C9A-C586-4D97-A0CF-98BE4F53CE2A}"/>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E3D9D933-3CCB-4438-BC2F-53974A8EF1C1}"/>
    <cellStyle name="40% - Accent4 3 2 5 2 3" xfId="12612" xr:uid="{158AFD1F-07FB-42BA-B7FD-71AA07881727}"/>
    <cellStyle name="40% - Accent4 3 2 5 3" xfId="6235" xr:uid="{00000000-0005-0000-0000-000003060000}"/>
    <cellStyle name="40% - Accent4 3 2 5 3 2" xfId="14685" xr:uid="{CA8827F0-44DF-4EEC-806D-4171B44E8C0E}"/>
    <cellStyle name="40% - Accent4 3 2 5 4" xfId="10467" xr:uid="{52CB64E1-7DAF-435D-A57C-DCF132CE9765}"/>
    <cellStyle name="40% - Accent4 3 2 6" xfId="2342" xr:uid="{00000000-0005-0000-0000-000004060000}"/>
    <cellStyle name="40% - Accent4 3 2 6 2" xfId="6648" xr:uid="{00000000-0005-0000-0000-000005060000}"/>
    <cellStyle name="40% - Accent4 3 2 6 2 2" xfId="15098" xr:uid="{78AB31BF-A671-47D1-A990-011D7DB0ABE4}"/>
    <cellStyle name="40% - Accent4 3 2 6 3" xfId="10880" xr:uid="{120A1BD5-8C11-4758-AB4E-32FE7523F766}"/>
    <cellStyle name="40% - Accent4 3 2 7" xfId="4582" xr:uid="{00000000-0005-0000-0000-000006060000}"/>
    <cellStyle name="40% - Accent4 3 2 7 2" xfId="13032" xr:uid="{85D371CF-B297-4892-9B6F-B630D051B8BA}"/>
    <cellStyle name="40% - Accent4 3 2 8" xfId="8814" xr:uid="{8AF3E50D-50BC-4D2C-8198-C8A6427BFF89}"/>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3B90F0DC-69C0-42B5-B4CA-8062DA48E386}"/>
    <cellStyle name="40% - Accent4 3 3 2 3" xfId="11372" xr:uid="{66F8CB8F-3A74-4F93-A445-9CC49AE1AF15}"/>
    <cellStyle name="40% - Accent4 3 3 3" xfId="4995" xr:uid="{00000000-0005-0000-0000-00000A060000}"/>
    <cellStyle name="40% - Accent4 3 3 3 2" xfId="13445" xr:uid="{EEC25973-F877-44A3-99BB-FB90612873D7}"/>
    <cellStyle name="40% - Accent4 3 3 4" xfId="9227" xr:uid="{28135910-6906-478F-B610-440110E03BE0}"/>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FC16294C-18B2-4E25-8567-01C3172124CC}"/>
    <cellStyle name="40% - Accent4 3 4 2 3" xfId="11785" xr:uid="{0BBEBC09-04C5-4BDC-8305-9818FC901086}"/>
    <cellStyle name="40% - Accent4 3 4 3" xfId="5408" xr:uid="{00000000-0005-0000-0000-00000E060000}"/>
    <cellStyle name="40% - Accent4 3 4 3 2" xfId="13858" xr:uid="{1A24255D-0778-4A0D-8FC5-B37D4187FDCE}"/>
    <cellStyle name="40% - Accent4 3 4 4" xfId="9640" xr:uid="{7DAB1C48-9B31-4F2F-BF69-FF5FC58633E8}"/>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822A4091-8B08-4C8B-B33D-D9E9584DEEBD}"/>
    <cellStyle name="40% - Accent4 3 5 2 3" xfId="12198" xr:uid="{A0F4A6E6-9C4C-4D77-A2FC-496091D781AD}"/>
    <cellStyle name="40% - Accent4 3 5 3" xfId="5821" xr:uid="{00000000-0005-0000-0000-000012060000}"/>
    <cellStyle name="40% - Accent4 3 5 3 2" xfId="14271" xr:uid="{22674402-9573-4739-9691-851E2E609681}"/>
    <cellStyle name="40% - Accent4 3 5 4" xfId="10053" xr:uid="{C92F1B5B-B6B0-4541-AAAE-4B853882514A}"/>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8E751347-A332-4ECB-BC00-6E3B7A28DEFC}"/>
    <cellStyle name="40% - Accent4 3 6 2 3" xfId="12611" xr:uid="{438D7B17-A31A-4372-A219-3B7F3616880C}"/>
    <cellStyle name="40% - Accent4 3 6 3" xfId="6234" xr:uid="{00000000-0005-0000-0000-000016060000}"/>
    <cellStyle name="40% - Accent4 3 6 3 2" xfId="14684" xr:uid="{7AC742ED-4EBE-4D95-AC1F-528AA8A679F6}"/>
    <cellStyle name="40% - Accent4 3 6 4" xfId="10466" xr:uid="{068B3242-DBC6-467E-AABB-6A0A2B4198FD}"/>
    <cellStyle name="40% - Accent4 3 7" xfId="2341" xr:uid="{00000000-0005-0000-0000-000017060000}"/>
    <cellStyle name="40% - Accent4 3 7 2" xfId="6647" xr:uid="{00000000-0005-0000-0000-000018060000}"/>
    <cellStyle name="40% - Accent4 3 7 2 2" xfId="15097" xr:uid="{CEC6891D-35FA-4619-8AAF-33A8EC757553}"/>
    <cellStyle name="40% - Accent4 3 7 3" xfId="10879" xr:uid="{C331E6A5-DA73-4499-B9C7-F4D491B0AC5D}"/>
    <cellStyle name="40% - Accent4 3 8" xfId="4581" xr:uid="{00000000-0005-0000-0000-000019060000}"/>
    <cellStyle name="40% - Accent4 3 8 2" xfId="13031" xr:uid="{687B8115-3C35-4466-ACED-66DEB56F1EF5}"/>
    <cellStyle name="40% - Accent4 3 9" xfId="8813" xr:uid="{E6ED23F6-A255-41BE-B9BD-2B2C073FBEA9}"/>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BC7177A7-ADBD-4E4B-8382-E7A09B022BF4}"/>
    <cellStyle name="40% - Accent4 4 2 2 3" xfId="11374" xr:uid="{9797D538-B233-4FA1-BD33-0B22301EDA82}"/>
    <cellStyle name="40% - Accent4 4 2 3" xfId="4997" xr:uid="{00000000-0005-0000-0000-00001E060000}"/>
    <cellStyle name="40% - Accent4 4 2 3 2" xfId="13447" xr:uid="{60CE2B57-D178-4C51-8AFD-EE2D2FE7C5AE}"/>
    <cellStyle name="40% - Accent4 4 2 4" xfId="9229" xr:uid="{31BC1A59-9C8C-4B98-9117-5A70B03381C3}"/>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E01B06C1-D655-4F70-843E-426B7FC12CD7}"/>
    <cellStyle name="40% - Accent4 4 3 2 3" xfId="11787" xr:uid="{49D2EEE8-75C1-4C9F-845D-297B6E2999DF}"/>
    <cellStyle name="40% - Accent4 4 3 3" xfId="5410" xr:uid="{00000000-0005-0000-0000-000022060000}"/>
    <cellStyle name="40% - Accent4 4 3 3 2" xfId="13860" xr:uid="{0DE3B289-AFB5-4433-9FD1-AB89532E6523}"/>
    <cellStyle name="40% - Accent4 4 3 4" xfId="9642" xr:uid="{4BD4C88A-8505-42FD-925E-F1C7A4E4FA59}"/>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EAE5EF00-8A0A-4A93-908B-F11960062842}"/>
    <cellStyle name="40% - Accent4 4 4 2 3" xfId="12200" xr:uid="{63B75FD8-9F05-428B-841B-5193855EDF66}"/>
    <cellStyle name="40% - Accent4 4 4 3" xfId="5823" xr:uid="{00000000-0005-0000-0000-000026060000}"/>
    <cellStyle name="40% - Accent4 4 4 3 2" xfId="14273" xr:uid="{2582571D-38D9-4C6C-A655-BDB64C5081DA}"/>
    <cellStyle name="40% - Accent4 4 4 4" xfId="10055" xr:uid="{96BC6AB4-604B-44AC-8E97-FF98B6505938}"/>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E1C4354B-95F3-49BB-8DBC-690547498447}"/>
    <cellStyle name="40% - Accent4 4 5 2 3" xfId="12613" xr:uid="{D06EB908-99B4-4466-8F3D-BA5E09DC0FE4}"/>
    <cellStyle name="40% - Accent4 4 5 3" xfId="6236" xr:uid="{00000000-0005-0000-0000-00002A060000}"/>
    <cellStyle name="40% - Accent4 4 5 3 2" xfId="14686" xr:uid="{6BD80A5D-27C5-452F-80C9-A022BAC8B0E7}"/>
    <cellStyle name="40% - Accent4 4 5 4" xfId="10468" xr:uid="{E287C09E-041C-4E87-9256-ACD40121382B}"/>
    <cellStyle name="40% - Accent4 4 6" xfId="2343" xr:uid="{00000000-0005-0000-0000-00002B060000}"/>
    <cellStyle name="40% - Accent4 4 6 2" xfId="6649" xr:uid="{00000000-0005-0000-0000-00002C060000}"/>
    <cellStyle name="40% - Accent4 4 6 2 2" xfId="15099" xr:uid="{55BBFEC8-6BB8-4BCA-A6AC-BB33555E8148}"/>
    <cellStyle name="40% - Accent4 4 6 3" xfId="10881" xr:uid="{B9495E3B-225D-43AA-A2CE-C1DBA7434038}"/>
    <cellStyle name="40% - Accent4 4 7" xfId="4583" xr:uid="{00000000-0005-0000-0000-00002D060000}"/>
    <cellStyle name="40% - Accent4 4 7 2" xfId="13033" xr:uid="{5E1137D8-463F-4B3E-97F1-94D2DE9595B4}"/>
    <cellStyle name="40% - Accent4 4 8" xfId="8815" xr:uid="{340F8FA5-7DBD-4BDB-9CF4-5182933C969F}"/>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169F13E3-CC9D-4E71-9535-F9B21EA7A285}"/>
    <cellStyle name="40% - Accent4 5 2 3" xfId="11367" xr:uid="{814A69DE-CF65-4EFD-A4E3-2E4D890060F5}"/>
    <cellStyle name="40% - Accent4 5 3" xfId="4990" xr:uid="{00000000-0005-0000-0000-000031060000}"/>
    <cellStyle name="40% - Accent4 5 3 2" xfId="13440" xr:uid="{FBB31692-F8B3-474D-8757-B6FF1F8EA226}"/>
    <cellStyle name="40% - Accent4 5 4" xfId="9222" xr:uid="{5FA115C5-7004-4D14-BC1D-F0CFDB252229}"/>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6B3EABBC-25ED-4FDE-8FDF-CDA8A83B84E2}"/>
    <cellStyle name="40% - Accent4 6 2 3" xfId="11780" xr:uid="{DD01CAAE-3FA9-41E3-B9AC-6073F50E8956}"/>
    <cellStyle name="40% - Accent4 6 3" xfId="5403" xr:uid="{00000000-0005-0000-0000-000035060000}"/>
    <cellStyle name="40% - Accent4 6 3 2" xfId="13853" xr:uid="{75BDB3E5-6150-4B23-A843-E95AABE84920}"/>
    <cellStyle name="40% - Accent4 6 4" xfId="9635" xr:uid="{741CABED-77FF-4F36-8ED8-6F26843D18A2}"/>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80E19B39-4DE2-4455-ADD0-F879E1C73C02}"/>
    <cellStyle name="40% - Accent4 7 2 3" xfId="12193" xr:uid="{71E2B1E1-A757-4562-ADDC-D8DC392A74F2}"/>
    <cellStyle name="40% - Accent4 7 3" xfId="5816" xr:uid="{00000000-0005-0000-0000-000039060000}"/>
    <cellStyle name="40% - Accent4 7 3 2" xfId="14266" xr:uid="{340DD686-92F7-4711-89C0-F254BAD5E47D}"/>
    <cellStyle name="40% - Accent4 7 4" xfId="10048" xr:uid="{3A5D3EDA-9F44-4409-8837-67C29A60BBC7}"/>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5CA244EB-45A2-4D5C-B9A2-A82E9B18A2E7}"/>
    <cellStyle name="40% - Accent4 8 2 3" xfId="12606" xr:uid="{AAE73CD3-692F-4812-85E2-C91366866555}"/>
    <cellStyle name="40% - Accent4 8 3" xfId="6229" xr:uid="{00000000-0005-0000-0000-00003D060000}"/>
    <cellStyle name="40% - Accent4 8 3 2" xfId="14679" xr:uid="{81BD2EFF-8236-400F-9DF6-129FB2AA9BE3}"/>
    <cellStyle name="40% - Accent4 8 4" xfId="10461" xr:uid="{F6BE3C14-15AB-412A-AC41-8B4E9D2C1DCC}"/>
    <cellStyle name="40% - Accent4 9" xfId="2336" xr:uid="{00000000-0005-0000-0000-00003E060000}"/>
    <cellStyle name="40% - Accent4 9 2" xfId="6642" xr:uid="{00000000-0005-0000-0000-00003F060000}"/>
    <cellStyle name="40% - Accent4 9 2 2" xfId="15092" xr:uid="{09B89A85-CE0D-463E-BB8F-2E2708E0C015}"/>
    <cellStyle name="40% - Accent4 9 3" xfId="10874" xr:uid="{06464B4B-D4CC-4A80-A2E1-A2E81832A380}"/>
    <cellStyle name="40% - Accent5" xfId="81" builtinId="47" customBuiltin="1"/>
    <cellStyle name="40% - Accent5 10" xfId="4584" xr:uid="{00000000-0005-0000-0000-000041060000}"/>
    <cellStyle name="40% - Accent5 10 2" xfId="13034" xr:uid="{64BD4D13-AE4F-4573-AC78-71C885FC58CF}"/>
    <cellStyle name="40% - Accent5 11" xfId="8816" xr:uid="{ECE1D843-8101-424F-B67E-A50982D0F33B}"/>
    <cellStyle name="40% - Accent5 2" xfId="82" xr:uid="{00000000-0005-0000-0000-000042060000}"/>
    <cellStyle name="40% - Accent5 2 10" xfId="8817" xr:uid="{709EB244-8561-487F-A925-F010E1469EC6}"/>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379D45E4-7A87-4121-AEF7-2C7884671972}"/>
    <cellStyle name="40% - Accent5 2 2 2 2 2 3" xfId="11378" xr:uid="{04A2BE1D-D580-43D0-96B3-093C414C3803}"/>
    <cellStyle name="40% - Accent5 2 2 2 2 3" xfId="5001" xr:uid="{00000000-0005-0000-0000-000048060000}"/>
    <cellStyle name="40% - Accent5 2 2 2 2 3 2" xfId="13451" xr:uid="{15C9A30E-BD0D-44AB-9BDC-BF828BB52970}"/>
    <cellStyle name="40% - Accent5 2 2 2 2 4" xfId="9233" xr:uid="{7E05B0E6-C57A-4764-A3E8-DBC4B75ADDE4}"/>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35799E0F-F982-4BB1-8E6B-E91F8C7F9F65}"/>
    <cellStyle name="40% - Accent5 2 2 2 3 2 3" xfId="11791" xr:uid="{A697396F-CE9E-447A-B1BC-2183B8B881E1}"/>
    <cellStyle name="40% - Accent5 2 2 2 3 3" xfId="5414" xr:uid="{00000000-0005-0000-0000-00004C060000}"/>
    <cellStyle name="40% - Accent5 2 2 2 3 3 2" xfId="13864" xr:uid="{5AD1C124-E62F-484C-8CF5-FA70128F7407}"/>
    <cellStyle name="40% - Accent5 2 2 2 3 4" xfId="9646" xr:uid="{09556800-4B54-49F5-BDF2-B6336B2AA159}"/>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385155C5-37DD-4E70-A612-2AF059A7498D}"/>
    <cellStyle name="40% - Accent5 2 2 2 4 2 3" xfId="12204" xr:uid="{D0AF8229-9FE9-4CD7-8B2E-4216896A3219}"/>
    <cellStyle name="40% - Accent5 2 2 2 4 3" xfId="5827" xr:uid="{00000000-0005-0000-0000-000050060000}"/>
    <cellStyle name="40% - Accent5 2 2 2 4 3 2" xfId="14277" xr:uid="{BA911778-4F6F-4F94-8101-3916179DB4A7}"/>
    <cellStyle name="40% - Accent5 2 2 2 4 4" xfId="10059" xr:uid="{40A6E5BD-C574-4519-AB01-49577F1F7322}"/>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DA0B3808-E636-406B-99E6-6019C30F1213}"/>
    <cellStyle name="40% - Accent5 2 2 2 5 2 3" xfId="12617" xr:uid="{37FA56A8-EA66-4D5D-91E9-D1B90778D994}"/>
    <cellStyle name="40% - Accent5 2 2 2 5 3" xfId="6240" xr:uid="{00000000-0005-0000-0000-000054060000}"/>
    <cellStyle name="40% - Accent5 2 2 2 5 3 2" xfId="14690" xr:uid="{72428DA3-62C5-49C5-AE1C-5C75F6B8892F}"/>
    <cellStyle name="40% - Accent5 2 2 2 5 4" xfId="10472" xr:uid="{1135E92E-95DD-40C4-AA70-84F235B0E208}"/>
    <cellStyle name="40% - Accent5 2 2 2 6" xfId="2347" xr:uid="{00000000-0005-0000-0000-000055060000}"/>
    <cellStyle name="40% - Accent5 2 2 2 6 2" xfId="6653" xr:uid="{00000000-0005-0000-0000-000056060000}"/>
    <cellStyle name="40% - Accent5 2 2 2 6 2 2" xfId="15103" xr:uid="{05786368-BE97-4634-AAB0-6EFCBE77E7BF}"/>
    <cellStyle name="40% - Accent5 2 2 2 6 3" xfId="10885" xr:uid="{55E697C1-4794-4525-B851-CA814DA5A228}"/>
    <cellStyle name="40% - Accent5 2 2 2 7" xfId="4587" xr:uid="{00000000-0005-0000-0000-000057060000}"/>
    <cellStyle name="40% - Accent5 2 2 2 7 2" xfId="13037" xr:uid="{8E15D7CD-4193-467F-ABC0-16196B3568FF}"/>
    <cellStyle name="40% - Accent5 2 2 2 8" xfId="8819" xr:uid="{EE2D38E0-8230-460B-850A-2846F1DE7FB4}"/>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46054DE9-030B-42E9-A6A9-EA54266623E1}"/>
    <cellStyle name="40% - Accent5 2 2 3 2 3" xfId="11377" xr:uid="{7EBFC022-0495-4278-9255-FF892C7FF98B}"/>
    <cellStyle name="40% - Accent5 2 2 3 3" xfId="5000" xr:uid="{00000000-0005-0000-0000-00005B060000}"/>
    <cellStyle name="40% - Accent5 2 2 3 3 2" xfId="13450" xr:uid="{432B55C6-DFFE-4E77-B362-C6ABA354CFA4}"/>
    <cellStyle name="40% - Accent5 2 2 3 4" xfId="9232" xr:uid="{63E9A2F7-2CB5-4490-9AFF-96E37F4CDD6D}"/>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20682327-77B2-4BAA-9F75-ED80ADC4271A}"/>
    <cellStyle name="40% - Accent5 2 2 4 2 3" xfId="11790" xr:uid="{95A12D50-621A-49C6-B5F5-391DB4060C40}"/>
    <cellStyle name="40% - Accent5 2 2 4 3" xfId="5413" xr:uid="{00000000-0005-0000-0000-00005F060000}"/>
    <cellStyle name="40% - Accent5 2 2 4 3 2" xfId="13863" xr:uid="{81602940-1B35-40A7-8589-6A0DBAE3209B}"/>
    <cellStyle name="40% - Accent5 2 2 4 4" xfId="9645" xr:uid="{D41E3F0A-219A-4FFC-98C3-C22784163414}"/>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CE89CF4F-A2E6-494F-8784-EEAD01292508}"/>
    <cellStyle name="40% - Accent5 2 2 5 2 3" xfId="12203" xr:uid="{69C8FF98-0F33-4C6E-AEB2-9793DC86CD05}"/>
    <cellStyle name="40% - Accent5 2 2 5 3" xfId="5826" xr:uid="{00000000-0005-0000-0000-000063060000}"/>
    <cellStyle name="40% - Accent5 2 2 5 3 2" xfId="14276" xr:uid="{DAE613FF-CFCC-46FF-AFFA-B50312B28D59}"/>
    <cellStyle name="40% - Accent5 2 2 5 4" xfId="10058" xr:uid="{01D49467-A4C4-4CBA-8502-6F240B87A13E}"/>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3D1EF054-9314-4119-B024-BAEE2F78922E}"/>
    <cellStyle name="40% - Accent5 2 2 6 2 3" xfId="12616" xr:uid="{C8EE74CF-BC52-426C-BEA4-70A9A8779936}"/>
    <cellStyle name="40% - Accent5 2 2 6 3" xfId="6239" xr:uid="{00000000-0005-0000-0000-000067060000}"/>
    <cellStyle name="40% - Accent5 2 2 6 3 2" xfId="14689" xr:uid="{850386EC-572C-4B09-90BD-3484C96ACBC7}"/>
    <cellStyle name="40% - Accent5 2 2 6 4" xfId="10471" xr:uid="{C0F802A0-EE8E-4809-BBE5-AFDA367E8BEC}"/>
    <cellStyle name="40% - Accent5 2 2 7" xfId="2346" xr:uid="{00000000-0005-0000-0000-000068060000}"/>
    <cellStyle name="40% - Accent5 2 2 7 2" xfId="6652" xr:uid="{00000000-0005-0000-0000-000069060000}"/>
    <cellStyle name="40% - Accent5 2 2 7 2 2" xfId="15102" xr:uid="{6C4611D0-4E99-4691-B43B-3EFC0B614875}"/>
    <cellStyle name="40% - Accent5 2 2 7 3" xfId="10884" xr:uid="{985CD3F5-DA16-406E-88F2-29981D2E36AE}"/>
    <cellStyle name="40% - Accent5 2 2 8" xfId="4586" xr:uid="{00000000-0005-0000-0000-00006A060000}"/>
    <cellStyle name="40% - Accent5 2 2 8 2" xfId="13036" xr:uid="{6DBAFE86-1AF1-4FE7-B8CC-6B71413C0C4B}"/>
    <cellStyle name="40% - Accent5 2 2 9" xfId="8818" xr:uid="{E4BC29A1-0C86-46D9-A602-E790BEB9E01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E95E6F94-FF28-4D18-9DD5-1FAE47A62914}"/>
    <cellStyle name="40% - Accent5 2 3 2 2 3" xfId="11379" xr:uid="{AB337542-DD78-479B-A118-707C50ACF77A}"/>
    <cellStyle name="40% - Accent5 2 3 2 3" xfId="5002" xr:uid="{00000000-0005-0000-0000-00006F060000}"/>
    <cellStyle name="40% - Accent5 2 3 2 3 2" xfId="13452" xr:uid="{BBFC500B-1DDC-4FD3-8A4D-9B3692C294EC}"/>
    <cellStyle name="40% - Accent5 2 3 2 4" xfId="9234" xr:uid="{91D3533A-AB7B-4B8C-9413-93D083AF9650}"/>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9FF28B57-0945-4AE4-8E2A-7051F8BE7B5B}"/>
    <cellStyle name="40% - Accent5 2 3 3 2 3" xfId="11792" xr:uid="{8D6C15A3-004A-4EC2-A0E2-721472719760}"/>
    <cellStyle name="40% - Accent5 2 3 3 3" xfId="5415" xr:uid="{00000000-0005-0000-0000-000073060000}"/>
    <cellStyle name="40% - Accent5 2 3 3 3 2" xfId="13865" xr:uid="{BF4CDC9C-F124-477F-93FA-2F28DC834543}"/>
    <cellStyle name="40% - Accent5 2 3 3 4" xfId="9647" xr:uid="{8E01AEF2-DCA6-4CBB-B20E-7F691DB45D8E}"/>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649BC68F-99C3-491C-82CC-4D176E52CBCD}"/>
    <cellStyle name="40% - Accent5 2 3 4 2 3" xfId="12205" xr:uid="{E5457477-0898-4B30-9C76-0D89496EE51F}"/>
    <cellStyle name="40% - Accent5 2 3 4 3" xfId="5828" xr:uid="{00000000-0005-0000-0000-000077060000}"/>
    <cellStyle name="40% - Accent5 2 3 4 3 2" xfId="14278" xr:uid="{29CA840C-B138-4EA5-81E1-76CBFAC8BA44}"/>
    <cellStyle name="40% - Accent5 2 3 4 4" xfId="10060" xr:uid="{C65E89DF-323B-4320-B499-B52257BDA106}"/>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A0D285D1-CB5C-432F-A300-EA6A2FE8F6C9}"/>
    <cellStyle name="40% - Accent5 2 3 5 2 3" xfId="12618" xr:uid="{F3757769-6CB2-43BE-B75F-7BD8895D075F}"/>
    <cellStyle name="40% - Accent5 2 3 5 3" xfId="6241" xr:uid="{00000000-0005-0000-0000-00007B060000}"/>
    <cellStyle name="40% - Accent5 2 3 5 3 2" xfId="14691" xr:uid="{153D1417-8A5F-4C8D-957D-6540845EEF63}"/>
    <cellStyle name="40% - Accent5 2 3 5 4" xfId="10473" xr:uid="{5493FF44-E8AA-4D85-8B64-7FF2DB8AB6A4}"/>
    <cellStyle name="40% - Accent5 2 3 6" xfId="2348" xr:uid="{00000000-0005-0000-0000-00007C060000}"/>
    <cellStyle name="40% - Accent5 2 3 6 2" xfId="6654" xr:uid="{00000000-0005-0000-0000-00007D060000}"/>
    <cellStyle name="40% - Accent5 2 3 6 2 2" xfId="15104" xr:uid="{FF0040E5-3B6C-4DAD-AAFE-3C9A7D227812}"/>
    <cellStyle name="40% - Accent5 2 3 6 3" xfId="10886" xr:uid="{FEE6571D-FE59-4D8A-95E6-3136636B4F76}"/>
    <cellStyle name="40% - Accent5 2 3 7" xfId="4588" xr:uid="{00000000-0005-0000-0000-00007E060000}"/>
    <cellStyle name="40% - Accent5 2 3 7 2" xfId="13038" xr:uid="{169564FF-12DE-48BC-885F-8B658F5D3B2C}"/>
    <cellStyle name="40% - Accent5 2 3 8" xfId="8820" xr:uid="{E9EC8802-E966-421B-BD5A-4709B698D434}"/>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9D7B1632-82D9-4510-B578-F958A6888301}"/>
    <cellStyle name="40% - Accent5 2 4 2 3" xfId="11376" xr:uid="{C13BB64B-59F6-453E-9381-F37556F44847}"/>
    <cellStyle name="40% - Accent5 2 4 3" xfId="4999" xr:uid="{00000000-0005-0000-0000-000082060000}"/>
    <cellStyle name="40% - Accent5 2 4 3 2" xfId="13449" xr:uid="{E28F856F-D056-41F0-90DF-CE6E24925BD1}"/>
    <cellStyle name="40% - Accent5 2 4 4" xfId="9231" xr:uid="{5B1AF598-4151-4165-989A-3AE1E5925F56}"/>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77DBC2DF-686B-4D3A-A192-80D943AC48AB}"/>
    <cellStyle name="40% - Accent5 2 5 2 3" xfId="11789" xr:uid="{3D409066-0335-48EA-8856-7EBF8C8E5B9E}"/>
    <cellStyle name="40% - Accent5 2 5 3" xfId="5412" xr:uid="{00000000-0005-0000-0000-000086060000}"/>
    <cellStyle name="40% - Accent5 2 5 3 2" xfId="13862" xr:uid="{79D502ED-E275-45B0-8AB1-F973A4127FD9}"/>
    <cellStyle name="40% - Accent5 2 5 4" xfId="9644" xr:uid="{A3E800CB-B112-4433-ABBE-8CCE6037E793}"/>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0F7E6D1F-8201-4CFC-AF4E-DA682E5F7515}"/>
    <cellStyle name="40% - Accent5 2 6 2 3" xfId="12202" xr:uid="{B9D1FA11-2F6D-4BCD-A486-29A1FC955ABE}"/>
    <cellStyle name="40% - Accent5 2 6 3" xfId="5825" xr:uid="{00000000-0005-0000-0000-00008A060000}"/>
    <cellStyle name="40% - Accent5 2 6 3 2" xfId="14275" xr:uid="{E5E7529E-61E9-4A07-A1BE-523D47FAA4CB}"/>
    <cellStyle name="40% - Accent5 2 6 4" xfId="10057" xr:uid="{7D6F135A-C845-4EBC-91F5-45DC61EB8331}"/>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ADB2A843-2D53-416A-9C2D-FAFD86812CE6}"/>
    <cellStyle name="40% - Accent5 2 7 2 3" xfId="12615" xr:uid="{68E80727-6007-464D-8B03-1F2E3E625471}"/>
    <cellStyle name="40% - Accent5 2 7 3" xfId="6238" xr:uid="{00000000-0005-0000-0000-00008E060000}"/>
    <cellStyle name="40% - Accent5 2 7 3 2" xfId="14688" xr:uid="{A9DB817E-85D5-417D-8B97-044ADD11DE66}"/>
    <cellStyle name="40% - Accent5 2 7 4" xfId="10470" xr:uid="{BC77B586-5CD5-43E7-B58A-AED6077FB0FC}"/>
    <cellStyle name="40% - Accent5 2 8" xfId="2345" xr:uid="{00000000-0005-0000-0000-00008F060000}"/>
    <cellStyle name="40% - Accent5 2 8 2" xfId="6651" xr:uid="{00000000-0005-0000-0000-000090060000}"/>
    <cellStyle name="40% - Accent5 2 8 2 2" xfId="15101" xr:uid="{20717AA0-9AB6-4388-BFBB-6BE5F13289B5}"/>
    <cellStyle name="40% - Accent5 2 8 3" xfId="10883" xr:uid="{BC7FA95F-7984-4583-8C21-1DEAC3034C5F}"/>
    <cellStyle name="40% - Accent5 2 9" xfId="4585" xr:uid="{00000000-0005-0000-0000-000091060000}"/>
    <cellStyle name="40% - Accent5 2 9 2" xfId="13035" xr:uid="{321AB6DD-B578-4858-9A57-80D98E053C42}"/>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E8F52274-DA7B-4917-B660-8F0EC2B0316F}"/>
    <cellStyle name="40% - Accent5 3 2 2 2 3" xfId="11381" xr:uid="{1456EEC1-1A21-4EDA-BF22-9EF71FBBDE75}"/>
    <cellStyle name="40% - Accent5 3 2 2 3" xfId="5004" xr:uid="{00000000-0005-0000-0000-000097060000}"/>
    <cellStyle name="40% - Accent5 3 2 2 3 2" xfId="13454" xr:uid="{62DC14BF-0EE8-4879-B366-D0D9BDBE7510}"/>
    <cellStyle name="40% - Accent5 3 2 2 4" xfId="9236" xr:uid="{DD21FC01-95FF-4D0D-823C-AAAB2F9F7340}"/>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A3D87EBF-8F0B-47CA-A73E-B5267A1FDD35}"/>
    <cellStyle name="40% - Accent5 3 2 3 2 3" xfId="11794" xr:uid="{47FCDFA4-44A3-4ACB-B7BC-A0F7FD999DBE}"/>
    <cellStyle name="40% - Accent5 3 2 3 3" xfId="5417" xr:uid="{00000000-0005-0000-0000-00009B060000}"/>
    <cellStyle name="40% - Accent5 3 2 3 3 2" xfId="13867" xr:uid="{8BBB2821-70A4-4AF6-87B0-F31EB6530A23}"/>
    <cellStyle name="40% - Accent5 3 2 3 4" xfId="9649" xr:uid="{F9378D49-5CA7-47CD-A829-8D4A758FFFCB}"/>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66A1AD7E-F127-4F16-8995-BC5CFD9D162E}"/>
    <cellStyle name="40% - Accent5 3 2 4 2 3" xfId="12207" xr:uid="{165ACFD8-62CD-4D8D-80CB-F5438540CB01}"/>
    <cellStyle name="40% - Accent5 3 2 4 3" xfId="5830" xr:uid="{00000000-0005-0000-0000-00009F060000}"/>
    <cellStyle name="40% - Accent5 3 2 4 3 2" xfId="14280" xr:uid="{71A86778-301B-413D-AFCB-A68773275FDE}"/>
    <cellStyle name="40% - Accent5 3 2 4 4" xfId="10062" xr:uid="{AE315DCC-A39F-42B7-8E06-0EC195726B68}"/>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B82772EC-A06D-4FD2-8D76-70F732458BBC}"/>
    <cellStyle name="40% - Accent5 3 2 5 2 3" xfId="12620" xr:uid="{673090E9-B784-42D6-BC2D-B288A9C3A2AC}"/>
    <cellStyle name="40% - Accent5 3 2 5 3" xfId="6243" xr:uid="{00000000-0005-0000-0000-0000A3060000}"/>
    <cellStyle name="40% - Accent5 3 2 5 3 2" xfId="14693" xr:uid="{013075E7-A7E2-4C13-B7E8-02F68C6F1230}"/>
    <cellStyle name="40% - Accent5 3 2 5 4" xfId="10475" xr:uid="{272F4C40-E559-4146-8A02-AA20A49ABA09}"/>
    <cellStyle name="40% - Accent5 3 2 6" xfId="2350" xr:uid="{00000000-0005-0000-0000-0000A4060000}"/>
    <cellStyle name="40% - Accent5 3 2 6 2" xfId="6656" xr:uid="{00000000-0005-0000-0000-0000A5060000}"/>
    <cellStyle name="40% - Accent5 3 2 6 2 2" xfId="15106" xr:uid="{4A93E103-6876-4662-81EA-9FBD204506CE}"/>
    <cellStyle name="40% - Accent5 3 2 6 3" xfId="10888" xr:uid="{E55EF9B1-0167-4D2D-80A9-754C6F3A922F}"/>
    <cellStyle name="40% - Accent5 3 2 7" xfId="4590" xr:uid="{00000000-0005-0000-0000-0000A6060000}"/>
    <cellStyle name="40% - Accent5 3 2 7 2" xfId="13040" xr:uid="{CE78E5E6-DBD5-4EED-9CA8-D66C49BCE33E}"/>
    <cellStyle name="40% - Accent5 3 2 8" xfId="8822" xr:uid="{7AED5D9E-E7BD-472A-BB2B-BDC4D0A137C6}"/>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82313B2E-6605-432E-9B13-D3CBFABC1E60}"/>
    <cellStyle name="40% - Accent5 3 3 2 3" xfId="11380" xr:uid="{2BE853B1-40B9-4AA1-8DE5-14C9166FB82B}"/>
    <cellStyle name="40% - Accent5 3 3 3" xfId="5003" xr:uid="{00000000-0005-0000-0000-0000AA060000}"/>
    <cellStyle name="40% - Accent5 3 3 3 2" xfId="13453" xr:uid="{4024AB3F-EFBA-4806-B97B-03C8484BF1AD}"/>
    <cellStyle name="40% - Accent5 3 3 4" xfId="9235" xr:uid="{8E9DDCDF-2308-4748-8D45-C04BFA421528}"/>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D64A2955-5AAF-4B37-B7FA-F7FB8EE0BD34}"/>
    <cellStyle name="40% - Accent5 3 4 2 3" xfId="11793" xr:uid="{AB76219B-E155-4A23-AFED-FB7392F79132}"/>
    <cellStyle name="40% - Accent5 3 4 3" xfId="5416" xr:uid="{00000000-0005-0000-0000-0000AE060000}"/>
    <cellStyle name="40% - Accent5 3 4 3 2" xfId="13866" xr:uid="{3CA9F3B8-F654-4150-BE4D-7F73ACE6BDA1}"/>
    <cellStyle name="40% - Accent5 3 4 4" xfId="9648" xr:uid="{794EB101-061A-45B2-B39F-0AFF1E704FDC}"/>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FB79F16E-5D19-4329-A94A-AC42886AB549}"/>
    <cellStyle name="40% - Accent5 3 5 2 3" xfId="12206" xr:uid="{F2BCB9F5-33AF-49AA-AB89-FDE6A5CE1519}"/>
    <cellStyle name="40% - Accent5 3 5 3" xfId="5829" xr:uid="{00000000-0005-0000-0000-0000B2060000}"/>
    <cellStyle name="40% - Accent5 3 5 3 2" xfId="14279" xr:uid="{BB1CD50C-B27B-4180-8DDE-151E3C5CF527}"/>
    <cellStyle name="40% - Accent5 3 5 4" xfId="10061" xr:uid="{3C2D61F7-9E4A-4F07-A99D-EF1E036F51CE}"/>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20ED4758-114C-487A-9602-04D4631A67EF}"/>
    <cellStyle name="40% - Accent5 3 6 2 3" xfId="12619" xr:uid="{13C456F1-4300-44BC-BFD4-1FDD2328E5F8}"/>
    <cellStyle name="40% - Accent5 3 6 3" xfId="6242" xr:uid="{00000000-0005-0000-0000-0000B6060000}"/>
    <cellStyle name="40% - Accent5 3 6 3 2" xfId="14692" xr:uid="{6225B451-5158-4FA7-A7F7-9F5EF6C6755B}"/>
    <cellStyle name="40% - Accent5 3 6 4" xfId="10474" xr:uid="{61AD763A-0E62-4C89-98C4-38A47F00CF1F}"/>
    <cellStyle name="40% - Accent5 3 7" xfId="2349" xr:uid="{00000000-0005-0000-0000-0000B7060000}"/>
    <cellStyle name="40% - Accent5 3 7 2" xfId="6655" xr:uid="{00000000-0005-0000-0000-0000B8060000}"/>
    <cellStyle name="40% - Accent5 3 7 2 2" xfId="15105" xr:uid="{55368769-818D-4F70-8190-E5F1C5D4D359}"/>
    <cellStyle name="40% - Accent5 3 7 3" xfId="10887" xr:uid="{036D095F-4A60-4501-ADB5-E3C378CEBBD2}"/>
    <cellStyle name="40% - Accent5 3 8" xfId="4589" xr:uid="{00000000-0005-0000-0000-0000B9060000}"/>
    <cellStyle name="40% - Accent5 3 8 2" xfId="13039" xr:uid="{911CB75C-C12F-4889-BED1-7BAEA96AFF58}"/>
    <cellStyle name="40% - Accent5 3 9" xfId="8821" xr:uid="{23CAE4C4-77CC-4B1C-9D91-538282FC3FB7}"/>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4E2FA696-238E-4533-A017-FE732C0D0C8B}"/>
    <cellStyle name="40% - Accent5 4 2 2 3" xfId="11382" xr:uid="{DDBDA57F-2CB2-433D-934D-D533CFB62BD3}"/>
    <cellStyle name="40% - Accent5 4 2 3" xfId="5005" xr:uid="{00000000-0005-0000-0000-0000BE060000}"/>
    <cellStyle name="40% - Accent5 4 2 3 2" xfId="13455" xr:uid="{8A76AF27-8A8C-4393-8398-64A0AC9D1677}"/>
    <cellStyle name="40% - Accent5 4 2 4" xfId="9237" xr:uid="{2D4F2BF2-75FB-4B2B-A76E-5DD9241BD5C5}"/>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DC12EC60-AC1F-4962-AF95-109964BE2070}"/>
    <cellStyle name="40% - Accent5 4 3 2 3" xfId="11795" xr:uid="{B8D73126-DF20-4488-8D74-E5D296440C96}"/>
    <cellStyle name="40% - Accent5 4 3 3" xfId="5418" xr:uid="{00000000-0005-0000-0000-0000C2060000}"/>
    <cellStyle name="40% - Accent5 4 3 3 2" xfId="13868" xr:uid="{9FDDE120-5909-4393-80FC-7269C7AE8F5A}"/>
    <cellStyle name="40% - Accent5 4 3 4" xfId="9650" xr:uid="{27C80D5B-2619-4DBA-9EB6-CAF3023E70E2}"/>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1CD6969A-E4D4-4CAD-8926-37C15AEAE0F4}"/>
    <cellStyle name="40% - Accent5 4 4 2 3" xfId="12208" xr:uid="{0AEB83B2-C2BC-4A46-BE44-E3AF54F4FE6B}"/>
    <cellStyle name="40% - Accent5 4 4 3" xfId="5831" xr:uid="{00000000-0005-0000-0000-0000C6060000}"/>
    <cellStyle name="40% - Accent5 4 4 3 2" xfId="14281" xr:uid="{14F2DCC3-A286-4A0D-9577-8BB82C0D7337}"/>
    <cellStyle name="40% - Accent5 4 4 4" xfId="10063" xr:uid="{6104FE51-F106-47A4-A849-B7E9D5382D22}"/>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97430A54-B939-47CD-A61D-FE95AF8269CB}"/>
    <cellStyle name="40% - Accent5 4 5 2 3" xfId="12621" xr:uid="{E0B0E6C3-A4C3-48C4-B2D6-8AF52FE20173}"/>
    <cellStyle name="40% - Accent5 4 5 3" xfId="6244" xr:uid="{00000000-0005-0000-0000-0000CA060000}"/>
    <cellStyle name="40% - Accent5 4 5 3 2" xfId="14694" xr:uid="{E07976DA-11CE-45B5-824F-73575D8CB523}"/>
    <cellStyle name="40% - Accent5 4 5 4" xfId="10476" xr:uid="{3139241D-FA3D-491C-9804-0F03533A0631}"/>
    <cellStyle name="40% - Accent5 4 6" xfId="2351" xr:uid="{00000000-0005-0000-0000-0000CB060000}"/>
    <cellStyle name="40% - Accent5 4 6 2" xfId="6657" xr:uid="{00000000-0005-0000-0000-0000CC060000}"/>
    <cellStyle name="40% - Accent5 4 6 2 2" xfId="15107" xr:uid="{E5B250F4-9016-4EAB-8C19-5EC1C0D4553E}"/>
    <cellStyle name="40% - Accent5 4 6 3" xfId="10889" xr:uid="{EB3F2B45-057B-4981-B54F-21CAF92659DE}"/>
    <cellStyle name="40% - Accent5 4 7" xfId="4591" xr:uid="{00000000-0005-0000-0000-0000CD060000}"/>
    <cellStyle name="40% - Accent5 4 7 2" xfId="13041" xr:uid="{069A786F-E998-449A-AA2D-8315A70D79A3}"/>
    <cellStyle name="40% - Accent5 4 8" xfId="8823" xr:uid="{D0A3F3F3-EB34-4474-9A6B-F8B2009D88FB}"/>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464C10B1-E791-47EC-9639-CB578E5C117A}"/>
    <cellStyle name="40% - Accent5 5 2 3" xfId="11375" xr:uid="{2EC585FB-3BC8-4530-8048-16AFB997CEC0}"/>
    <cellStyle name="40% - Accent5 5 3" xfId="4998" xr:uid="{00000000-0005-0000-0000-0000D1060000}"/>
    <cellStyle name="40% - Accent5 5 3 2" xfId="13448" xr:uid="{F78A8ACB-5621-448F-9FCF-CD73A4FFA17F}"/>
    <cellStyle name="40% - Accent5 5 4" xfId="9230" xr:uid="{45E6A393-D0E3-4933-87C1-D903C7D67BA6}"/>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07897231-79A3-4B2E-8FED-5747BF7A7069}"/>
    <cellStyle name="40% - Accent5 6 2 3" xfId="11788" xr:uid="{6D38DC8B-49B4-4148-96CC-67C2A58EB64B}"/>
    <cellStyle name="40% - Accent5 6 3" xfId="5411" xr:uid="{00000000-0005-0000-0000-0000D5060000}"/>
    <cellStyle name="40% - Accent5 6 3 2" xfId="13861" xr:uid="{F7E992B7-DDF1-4DAD-B77E-03CC82C709A7}"/>
    <cellStyle name="40% - Accent5 6 4" xfId="9643" xr:uid="{712B0FD2-796D-4DAD-86D8-8FD92BB45296}"/>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0F44E709-8CAD-4AF6-85A6-88063C489D27}"/>
    <cellStyle name="40% - Accent5 7 2 3" xfId="12201" xr:uid="{6DCFC9BE-E520-4235-B360-C22A03DCE18E}"/>
    <cellStyle name="40% - Accent5 7 3" xfId="5824" xr:uid="{00000000-0005-0000-0000-0000D9060000}"/>
    <cellStyle name="40% - Accent5 7 3 2" xfId="14274" xr:uid="{9A2594D6-E1A0-4008-AC64-D84041E83AEB}"/>
    <cellStyle name="40% - Accent5 7 4" xfId="10056" xr:uid="{F0326B9F-0970-4F84-8BD6-E4A9EDCC7B95}"/>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3A6EBBBC-94C2-4BD5-BA31-28DA5E148BD9}"/>
    <cellStyle name="40% - Accent5 8 2 3" xfId="12614" xr:uid="{22E25F16-6D02-45AF-9DCE-7CA4B6024315}"/>
    <cellStyle name="40% - Accent5 8 3" xfId="6237" xr:uid="{00000000-0005-0000-0000-0000DD060000}"/>
    <cellStyle name="40% - Accent5 8 3 2" xfId="14687" xr:uid="{2D04323C-B856-4B3E-B1D1-58798D3D0FD4}"/>
    <cellStyle name="40% - Accent5 8 4" xfId="10469" xr:uid="{7F76FBDA-59D6-4C49-A282-0AA658008DC2}"/>
    <cellStyle name="40% - Accent5 9" xfId="2344" xr:uid="{00000000-0005-0000-0000-0000DE060000}"/>
    <cellStyle name="40% - Accent5 9 2" xfId="6650" xr:uid="{00000000-0005-0000-0000-0000DF060000}"/>
    <cellStyle name="40% - Accent5 9 2 2" xfId="15100" xr:uid="{D443D5E9-F090-41F7-B130-E6A8D3A9A8FE}"/>
    <cellStyle name="40% - Accent5 9 3" xfId="10882" xr:uid="{C8A2FA50-3D94-4BB2-934F-06FA0CB8AD1B}"/>
    <cellStyle name="40% - Accent6" xfId="89" builtinId="51" customBuiltin="1"/>
    <cellStyle name="40% - Accent6 10" xfId="4592" xr:uid="{00000000-0005-0000-0000-0000E1060000}"/>
    <cellStyle name="40% - Accent6 10 2" xfId="13042" xr:uid="{BD641AF7-5DFB-4CE3-A632-B1ED1D51F8C4}"/>
    <cellStyle name="40% - Accent6 11" xfId="8824" xr:uid="{7E3357FC-B8C0-4F73-9556-84F21925B022}"/>
    <cellStyle name="40% - Accent6 2" xfId="90" xr:uid="{00000000-0005-0000-0000-0000E2060000}"/>
    <cellStyle name="40% - Accent6 2 10" xfId="8825" xr:uid="{6DE94EB9-B9DE-48DB-9854-CF5472C914D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10B134D2-74FC-4A29-8A8F-894A802A7D86}"/>
    <cellStyle name="40% - Accent6 2 2 2 2 2 3" xfId="11386" xr:uid="{EE683211-51FE-491B-843C-032C1AED60A3}"/>
    <cellStyle name="40% - Accent6 2 2 2 2 3" xfId="5009" xr:uid="{00000000-0005-0000-0000-0000E8060000}"/>
    <cellStyle name="40% - Accent6 2 2 2 2 3 2" xfId="13459" xr:uid="{CA7AC6A5-CF67-4426-A2A7-190FD5AE57A0}"/>
    <cellStyle name="40% - Accent6 2 2 2 2 4" xfId="9241" xr:uid="{4F68874E-4211-4614-A703-4C165EDA4403}"/>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B6E222B0-89A1-4B20-8C59-FCA1A0ECC7E4}"/>
    <cellStyle name="40% - Accent6 2 2 2 3 2 3" xfId="11799" xr:uid="{BB09A50D-00E6-49D5-96FB-2B756B0775E8}"/>
    <cellStyle name="40% - Accent6 2 2 2 3 3" xfId="5422" xr:uid="{00000000-0005-0000-0000-0000EC060000}"/>
    <cellStyle name="40% - Accent6 2 2 2 3 3 2" xfId="13872" xr:uid="{9825737F-A35E-4F77-A3DF-FC06509070A4}"/>
    <cellStyle name="40% - Accent6 2 2 2 3 4" xfId="9654" xr:uid="{BCE23F7D-5752-4F81-BD19-145D95CED7E9}"/>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4D8D48E5-0F2B-46E4-BB08-BF8C64BC1D44}"/>
    <cellStyle name="40% - Accent6 2 2 2 4 2 3" xfId="12212" xr:uid="{1D0EAD30-BE85-4450-8708-68795401EE2B}"/>
    <cellStyle name="40% - Accent6 2 2 2 4 3" xfId="5835" xr:uid="{00000000-0005-0000-0000-0000F0060000}"/>
    <cellStyle name="40% - Accent6 2 2 2 4 3 2" xfId="14285" xr:uid="{4EEFDBCD-DFC7-453A-BF37-030C7D24058A}"/>
    <cellStyle name="40% - Accent6 2 2 2 4 4" xfId="10067" xr:uid="{C4045F08-075D-42F9-A524-CED8FEEC9929}"/>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9460727F-E6C5-44EB-B912-48F50CDEB005}"/>
    <cellStyle name="40% - Accent6 2 2 2 5 2 3" xfId="12625" xr:uid="{FDED5320-209C-4A05-977C-B26C3B418D25}"/>
    <cellStyle name="40% - Accent6 2 2 2 5 3" xfId="6248" xr:uid="{00000000-0005-0000-0000-0000F4060000}"/>
    <cellStyle name="40% - Accent6 2 2 2 5 3 2" xfId="14698" xr:uid="{20B1E4CD-3C76-4B84-9C5B-1BF946AD3AFC}"/>
    <cellStyle name="40% - Accent6 2 2 2 5 4" xfId="10480" xr:uid="{0F40FFDA-7C09-458A-A60F-2F3C88CB555E}"/>
    <cellStyle name="40% - Accent6 2 2 2 6" xfId="2355" xr:uid="{00000000-0005-0000-0000-0000F5060000}"/>
    <cellStyle name="40% - Accent6 2 2 2 6 2" xfId="6661" xr:uid="{00000000-0005-0000-0000-0000F6060000}"/>
    <cellStyle name="40% - Accent6 2 2 2 6 2 2" xfId="15111" xr:uid="{6B090350-8DC5-44A1-B05A-9CCB73A5E68C}"/>
    <cellStyle name="40% - Accent6 2 2 2 6 3" xfId="10893" xr:uid="{8F1335F9-B82D-490C-A200-EABC75F7F504}"/>
    <cellStyle name="40% - Accent6 2 2 2 7" xfId="4595" xr:uid="{00000000-0005-0000-0000-0000F7060000}"/>
    <cellStyle name="40% - Accent6 2 2 2 7 2" xfId="13045" xr:uid="{7661D02E-13C3-4F41-A9EF-19106FB64289}"/>
    <cellStyle name="40% - Accent6 2 2 2 8" xfId="8827" xr:uid="{25B29C58-BF31-4590-825F-03EA9EEBB757}"/>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CFE7E1D7-A6A1-4D28-92C5-9B34A9DD0555}"/>
    <cellStyle name="40% - Accent6 2 2 3 2 3" xfId="11385" xr:uid="{1AF004F3-6352-4F73-8958-151F6C433189}"/>
    <cellStyle name="40% - Accent6 2 2 3 3" xfId="5008" xr:uid="{00000000-0005-0000-0000-0000FB060000}"/>
    <cellStyle name="40% - Accent6 2 2 3 3 2" xfId="13458" xr:uid="{FAFA4F1C-FB4E-4C43-A025-2DF10C4541DA}"/>
    <cellStyle name="40% - Accent6 2 2 3 4" xfId="9240" xr:uid="{B12A3476-5071-4551-A5F7-06AEA1EEBFDF}"/>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5822E7E8-7499-4BEE-93B4-B9E2B17A3571}"/>
    <cellStyle name="40% - Accent6 2 2 4 2 3" xfId="11798" xr:uid="{241D2926-BA4F-4C56-BCA6-D699F758D0C1}"/>
    <cellStyle name="40% - Accent6 2 2 4 3" xfId="5421" xr:uid="{00000000-0005-0000-0000-0000FF060000}"/>
    <cellStyle name="40% - Accent6 2 2 4 3 2" xfId="13871" xr:uid="{BF2AF53E-B347-4F55-9E3D-FC118E03B7D7}"/>
    <cellStyle name="40% - Accent6 2 2 4 4" xfId="9653" xr:uid="{7930B55C-E7DA-47B3-B6CF-94EC0D9D7138}"/>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22B21AA4-00F9-4E4E-B35C-2B31FE48EC7A}"/>
    <cellStyle name="40% - Accent6 2 2 5 2 3" xfId="12211" xr:uid="{337EB070-7237-4BC3-B864-68C951BB5E23}"/>
    <cellStyle name="40% - Accent6 2 2 5 3" xfId="5834" xr:uid="{00000000-0005-0000-0000-000003070000}"/>
    <cellStyle name="40% - Accent6 2 2 5 3 2" xfId="14284" xr:uid="{3C8B74FA-23F9-4E8B-A07D-F52045C4A8C6}"/>
    <cellStyle name="40% - Accent6 2 2 5 4" xfId="10066" xr:uid="{2207312A-5A24-4A56-BC72-F31DAF889028}"/>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C2FADE87-DE41-4E3E-82AC-A1ACEBDB7C63}"/>
    <cellStyle name="40% - Accent6 2 2 6 2 3" xfId="12624" xr:uid="{0A50BCD2-8ACE-4A39-856B-369647C49AEE}"/>
    <cellStyle name="40% - Accent6 2 2 6 3" xfId="6247" xr:uid="{00000000-0005-0000-0000-000007070000}"/>
    <cellStyle name="40% - Accent6 2 2 6 3 2" xfId="14697" xr:uid="{95439653-9174-49BC-A40B-A805F947CC29}"/>
    <cellStyle name="40% - Accent6 2 2 6 4" xfId="10479" xr:uid="{658B1268-D14E-4EF1-BC50-007752E6AE8C}"/>
    <cellStyle name="40% - Accent6 2 2 7" xfId="2354" xr:uid="{00000000-0005-0000-0000-000008070000}"/>
    <cellStyle name="40% - Accent6 2 2 7 2" xfId="6660" xr:uid="{00000000-0005-0000-0000-000009070000}"/>
    <cellStyle name="40% - Accent6 2 2 7 2 2" xfId="15110" xr:uid="{EE570AF4-FC38-4B01-872D-FAA627269336}"/>
    <cellStyle name="40% - Accent6 2 2 7 3" xfId="10892" xr:uid="{7C982F83-5033-4E1F-B991-799C9E89C77B}"/>
    <cellStyle name="40% - Accent6 2 2 8" xfId="4594" xr:uid="{00000000-0005-0000-0000-00000A070000}"/>
    <cellStyle name="40% - Accent6 2 2 8 2" xfId="13044" xr:uid="{58F4CD3D-B982-40FB-AEC9-BF182BB3676F}"/>
    <cellStyle name="40% - Accent6 2 2 9" xfId="8826" xr:uid="{4D57E721-FFE0-46C6-B06A-E2E56603A04A}"/>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90F402D7-9E07-4AA6-99AD-1F800D4CC49E}"/>
    <cellStyle name="40% - Accent6 2 3 2 2 3" xfId="11387" xr:uid="{3D9A4601-5159-4481-9FAE-81240E9383AF}"/>
    <cellStyle name="40% - Accent6 2 3 2 3" xfId="5010" xr:uid="{00000000-0005-0000-0000-00000F070000}"/>
    <cellStyle name="40% - Accent6 2 3 2 3 2" xfId="13460" xr:uid="{63898B0C-C4D1-40E6-A743-5BE502F194E4}"/>
    <cellStyle name="40% - Accent6 2 3 2 4" xfId="9242" xr:uid="{E302ABB8-BDB5-443F-B501-D5422E9B3B56}"/>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C847668E-75FC-4651-B186-0711C0F957DD}"/>
    <cellStyle name="40% - Accent6 2 3 3 2 3" xfId="11800" xr:uid="{75F2859C-BC49-4014-B2D3-6F85BA708F2C}"/>
    <cellStyle name="40% - Accent6 2 3 3 3" xfId="5423" xr:uid="{00000000-0005-0000-0000-000013070000}"/>
    <cellStyle name="40% - Accent6 2 3 3 3 2" xfId="13873" xr:uid="{C35D2EFD-CBB9-4733-BC7F-ACBB9C48452F}"/>
    <cellStyle name="40% - Accent6 2 3 3 4" xfId="9655" xr:uid="{FA02C441-AC0D-4238-A26E-F475908E9028}"/>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68F46411-93BB-4329-A24E-5DAE9A8D9FB3}"/>
    <cellStyle name="40% - Accent6 2 3 4 2 3" xfId="12213" xr:uid="{C79667AE-C919-4E5C-9EF7-59F336BB1629}"/>
    <cellStyle name="40% - Accent6 2 3 4 3" xfId="5836" xr:uid="{00000000-0005-0000-0000-000017070000}"/>
    <cellStyle name="40% - Accent6 2 3 4 3 2" xfId="14286" xr:uid="{38CEF8ED-80A1-4861-B4BC-103A984AEE56}"/>
    <cellStyle name="40% - Accent6 2 3 4 4" xfId="10068" xr:uid="{18495D8B-6823-4A0C-9AB6-88A70634CC21}"/>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5EBB886C-D33C-4D36-827B-90DAEA727413}"/>
    <cellStyle name="40% - Accent6 2 3 5 2 3" xfId="12626" xr:uid="{32349FE3-A40D-44A6-8270-345702348016}"/>
    <cellStyle name="40% - Accent6 2 3 5 3" xfId="6249" xr:uid="{00000000-0005-0000-0000-00001B070000}"/>
    <cellStyle name="40% - Accent6 2 3 5 3 2" xfId="14699" xr:uid="{5AF320C5-7E0D-4AFA-AA96-2AF17B186369}"/>
    <cellStyle name="40% - Accent6 2 3 5 4" xfId="10481" xr:uid="{4D793801-0476-49AB-8F89-441ABE9B9195}"/>
    <cellStyle name="40% - Accent6 2 3 6" xfId="2356" xr:uid="{00000000-0005-0000-0000-00001C070000}"/>
    <cellStyle name="40% - Accent6 2 3 6 2" xfId="6662" xr:uid="{00000000-0005-0000-0000-00001D070000}"/>
    <cellStyle name="40% - Accent6 2 3 6 2 2" xfId="15112" xr:uid="{D89AD91D-91AC-4EFD-BA31-3F788D7F12AB}"/>
    <cellStyle name="40% - Accent6 2 3 6 3" xfId="10894" xr:uid="{4175D042-B836-4202-B37F-80FCDBA0E68C}"/>
    <cellStyle name="40% - Accent6 2 3 7" xfId="4596" xr:uid="{00000000-0005-0000-0000-00001E070000}"/>
    <cellStyle name="40% - Accent6 2 3 7 2" xfId="13046" xr:uid="{EAF9335C-E9C9-46F7-B696-904856B50CBA}"/>
    <cellStyle name="40% - Accent6 2 3 8" xfId="8828" xr:uid="{B36F3BB4-DE9A-4C4F-8F39-69F239592411}"/>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BA39B645-72A8-43CA-BC3E-1B94289BA4D4}"/>
    <cellStyle name="40% - Accent6 2 4 2 3" xfId="11384" xr:uid="{315BEB0A-0C2C-406D-B8E1-45269D4E4ADA}"/>
    <cellStyle name="40% - Accent6 2 4 3" xfId="5007" xr:uid="{00000000-0005-0000-0000-000022070000}"/>
    <cellStyle name="40% - Accent6 2 4 3 2" xfId="13457" xr:uid="{508B67BB-AC24-4BD4-AE93-758E67CD57EE}"/>
    <cellStyle name="40% - Accent6 2 4 4" xfId="9239" xr:uid="{9E6FE365-B82A-4FF6-A736-7E65E6FDA8EA}"/>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745CFDA5-AAC2-4F1F-B85E-5790B2E4BC85}"/>
    <cellStyle name="40% - Accent6 2 5 2 3" xfId="11797" xr:uid="{A4134BA7-153C-4997-9B71-27497D025F2D}"/>
    <cellStyle name="40% - Accent6 2 5 3" xfId="5420" xr:uid="{00000000-0005-0000-0000-000026070000}"/>
    <cellStyle name="40% - Accent6 2 5 3 2" xfId="13870" xr:uid="{773F9E61-D210-47A6-A80D-79D774080986}"/>
    <cellStyle name="40% - Accent6 2 5 4" xfId="9652" xr:uid="{376A484D-A10A-4E75-9CB1-D7AFB1192DDB}"/>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279EB1F7-647B-4C85-B7A6-E25CE50141CB}"/>
    <cellStyle name="40% - Accent6 2 6 2 3" xfId="12210" xr:uid="{03B40D0B-675F-4F8B-9B69-84B280135796}"/>
    <cellStyle name="40% - Accent6 2 6 3" xfId="5833" xr:uid="{00000000-0005-0000-0000-00002A070000}"/>
    <cellStyle name="40% - Accent6 2 6 3 2" xfId="14283" xr:uid="{450C118B-9DE0-4A5D-8AC9-8CDA8DCBF3A4}"/>
    <cellStyle name="40% - Accent6 2 6 4" xfId="10065" xr:uid="{ABC3F63B-E0EF-4389-AAAC-D4A59E4C6C82}"/>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B3D27128-4E2B-4931-A203-98A81CF368A6}"/>
    <cellStyle name="40% - Accent6 2 7 2 3" xfId="12623" xr:uid="{512C9F5B-0350-4AC3-9F26-E3091A86A302}"/>
    <cellStyle name="40% - Accent6 2 7 3" xfId="6246" xr:uid="{00000000-0005-0000-0000-00002E070000}"/>
    <cellStyle name="40% - Accent6 2 7 3 2" xfId="14696" xr:uid="{1903DE35-C113-458E-ABB3-32921DEC31DC}"/>
    <cellStyle name="40% - Accent6 2 7 4" xfId="10478" xr:uid="{5C0C3A92-2212-46B2-B895-EBF6CDC04CD5}"/>
    <cellStyle name="40% - Accent6 2 8" xfId="2353" xr:uid="{00000000-0005-0000-0000-00002F070000}"/>
    <cellStyle name="40% - Accent6 2 8 2" xfId="6659" xr:uid="{00000000-0005-0000-0000-000030070000}"/>
    <cellStyle name="40% - Accent6 2 8 2 2" xfId="15109" xr:uid="{4AD8B9DD-15AB-4EE8-991B-F3BB65C9A30B}"/>
    <cellStyle name="40% - Accent6 2 8 3" xfId="10891" xr:uid="{1FC0B7D7-689E-45DB-B42C-9BAD8DB20F3F}"/>
    <cellStyle name="40% - Accent6 2 9" xfId="4593" xr:uid="{00000000-0005-0000-0000-000031070000}"/>
    <cellStyle name="40% - Accent6 2 9 2" xfId="13043" xr:uid="{8178EECA-D24C-4345-818C-F1CB07A6FA32}"/>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64380F63-45A9-456B-8B99-443B77D44111}"/>
    <cellStyle name="40% - Accent6 3 2 2 2 3" xfId="11389" xr:uid="{CF039E49-039E-4E97-8FED-B04308BB93C7}"/>
    <cellStyle name="40% - Accent6 3 2 2 3" xfId="5012" xr:uid="{00000000-0005-0000-0000-000037070000}"/>
    <cellStyle name="40% - Accent6 3 2 2 3 2" xfId="13462" xr:uid="{58052ECB-2015-4381-A20F-A19EDF622195}"/>
    <cellStyle name="40% - Accent6 3 2 2 4" xfId="9244" xr:uid="{1CA33E45-FBEA-4BA6-A592-2B9B8243BD19}"/>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F0B6F2BE-604F-4123-B1EA-A5D01A85E460}"/>
    <cellStyle name="40% - Accent6 3 2 3 2 3" xfId="11802" xr:uid="{A182F783-E9B0-4000-B2C8-94CA48EE259D}"/>
    <cellStyle name="40% - Accent6 3 2 3 3" xfId="5425" xr:uid="{00000000-0005-0000-0000-00003B070000}"/>
    <cellStyle name="40% - Accent6 3 2 3 3 2" xfId="13875" xr:uid="{F6DE98A8-5486-4C2C-A1F1-4C28D76BF87A}"/>
    <cellStyle name="40% - Accent6 3 2 3 4" xfId="9657" xr:uid="{6C78E6A1-C1CF-4397-9D89-26265AA31EA2}"/>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FE9493F2-033E-47DF-A0B5-46A4BC5F983B}"/>
    <cellStyle name="40% - Accent6 3 2 4 2 3" xfId="12215" xr:uid="{6C1749DD-141C-4029-9E63-210940C2035A}"/>
    <cellStyle name="40% - Accent6 3 2 4 3" xfId="5838" xr:uid="{00000000-0005-0000-0000-00003F070000}"/>
    <cellStyle name="40% - Accent6 3 2 4 3 2" xfId="14288" xr:uid="{D6523F22-BAEB-48BE-8272-890F855D2D1A}"/>
    <cellStyle name="40% - Accent6 3 2 4 4" xfId="10070" xr:uid="{D0E0B970-B9AB-4ACA-8D55-C64AB8D4A146}"/>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03811345-CA02-49BB-B126-8092B7E3474E}"/>
    <cellStyle name="40% - Accent6 3 2 5 2 3" xfId="12628" xr:uid="{1A97F0BA-1DB5-4431-A251-9BE09A010C9B}"/>
    <cellStyle name="40% - Accent6 3 2 5 3" xfId="6251" xr:uid="{00000000-0005-0000-0000-000043070000}"/>
    <cellStyle name="40% - Accent6 3 2 5 3 2" xfId="14701" xr:uid="{473ECAF7-538F-44A7-BD50-0276091E9679}"/>
    <cellStyle name="40% - Accent6 3 2 5 4" xfId="10483" xr:uid="{63229AF2-525A-4C25-A7EA-15468F66B9D2}"/>
    <cellStyle name="40% - Accent6 3 2 6" xfId="2358" xr:uid="{00000000-0005-0000-0000-000044070000}"/>
    <cellStyle name="40% - Accent6 3 2 6 2" xfId="6664" xr:uid="{00000000-0005-0000-0000-000045070000}"/>
    <cellStyle name="40% - Accent6 3 2 6 2 2" xfId="15114" xr:uid="{6097DA9A-A21D-4C00-A42A-614070976F3C}"/>
    <cellStyle name="40% - Accent6 3 2 6 3" xfId="10896" xr:uid="{84A6C6FE-E706-40F2-9551-7D06192A6696}"/>
    <cellStyle name="40% - Accent6 3 2 7" xfId="4598" xr:uid="{00000000-0005-0000-0000-000046070000}"/>
    <cellStyle name="40% - Accent6 3 2 7 2" xfId="13048" xr:uid="{BFE01C6F-2A0B-497F-B274-4ECB392F3557}"/>
    <cellStyle name="40% - Accent6 3 2 8" xfId="8830" xr:uid="{3EA05902-89C0-44F5-86AE-19D7566D2A57}"/>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C5804754-A7C0-43C3-9388-DC17FF90A538}"/>
    <cellStyle name="40% - Accent6 3 3 2 3" xfId="11388" xr:uid="{9FA4D34B-1C0A-4E09-8772-20ABEA93A130}"/>
    <cellStyle name="40% - Accent6 3 3 3" xfId="5011" xr:uid="{00000000-0005-0000-0000-00004A070000}"/>
    <cellStyle name="40% - Accent6 3 3 3 2" xfId="13461" xr:uid="{8490AB72-D959-45D7-8BEE-4E7418512E2A}"/>
    <cellStyle name="40% - Accent6 3 3 4" xfId="9243" xr:uid="{3427F5DD-50BE-4692-B993-4E08DCB9DD0E}"/>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D84F5497-E893-463A-B3FA-94CCBE9FE2CE}"/>
    <cellStyle name="40% - Accent6 3 4 2 3" xfId="11801" xr:uid="{88227CCE-DAA0-40CE-90D2-AED60B97BA5A}"/>
    <cellStyle name="40% - Accent6 3 4 3" xfId="5424" xr:uid="{00000000-0005-0000-0000-00004E070000}"/>
    <cellStyle name="40% - Accent6 3 4 3 2" xfId="13874" xr:uid="{DA316D00-2010-4843-9777-D630AAD73F5B}"/>
    <cellStyle name="40% - Accent6 3 4 4" xfId="9656" xr:uid="{9264A832-416D-420E-9014-55573CC74220}"/>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4D9AD8C5-2C05-4247-8BAF-84B56AA68F0F}"/>
    <cellStyle name="40% - Accent6 3 5 2 3" xfId="12214" xr:uid="{360D5989-481C-46A0-AF32-4F816611E5AA}"/>
    <cellStyle name="40% - Accent6 3 5 3" xfId="5837" xr:uid="{00000000-0005-0000-0000-000052070000}"/>
    <cellStyle name="40% - Accent6 3 5 3 2" xfId="14287" xr:uid="{7906FAA5-9F2F-485B-8E16-AAC0F199F8CE}"/>
    <cellStyle name="40% - Accent6 3 5 4" xfId="10069" xr:uid="{739B684A-D4E4-46EA-9413-4AD8157D5EB7}"/>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11927CC5-6217-4BB0-94D0-30E8A868FF27}"/>
    <cellStyle name="40% - Accent6 3 6 2 3" xfId="12627" xr:uid="{8DF0923D-BC61-40D4-82F0-8AE82FD6938D}"/>
    <cellStyle name="40% - Accent6 3 6 3" xfId="6250" xr:uid="{00000000-0005-0000-0000-000056070000}"/>
    <cellStyle name="40% - Accent6 3 6 3 2" xfId="14700" xr:uid="{569EED4A-E008-4060-8CE1-F3F8E1D225AA}"/>
    <cellStyle name="40% - Accent6 3 6 4" xfId="10482" xr:uid="{7E136F50-724C-4CCB-9FB2-BF60F18B0EF0}"/>
    <cellStyle name="40% - Accent6 3 7" xfId="2357" xr:uid="{00000000-0005-0000-0000-000057070000}"/>
    <cellStyle name="40% - Accent6 3 7 2" xfId="6663" xr:uid="{00000000-0005-0000-0000-000058070000}"/>
    <cellStyle name="40% - Accent6 3 7 2 2" xfId="15113" xr:uid="{73C9CE6C-4077-400D-8DE5-21F66E046E88}"/>
    <cellStyle name="40% - Accent6 3 7 3" xfId="10895" xr:uid="{5C6F4569-5089-497B-AD7A-2B821F8C6E1D}"/>
    <cellStyle name="40% - Accent6 3 8" xfId="4597" xr:uid="{00000000-0005-0000-0000-000059070000}"/>
    <cellStyle name="40% - Accent6 3 8 2" xfId="13047" xr:uid="{7820C4FD-50A6-4D83-BF53-BB426DF8C2A4}"/>
    <cellStyle name="40% - Accent6 3 9" xfId="8829" xr:uid="{AE5CB5BD-617F-447F-BB9F-E2156447F264}"/>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20D67DD5-7958-4974-88E3-FCAB8AA9EE91}"/>
    <cellStyle name="40% - Accent6 4 2 2 3" xfId="11390" xr:uid="{FE3FAEAA-CAFD-42B5-B916-32E0879E5AEB}"/>
    <cellStyle name="40% - Accent6 4 2 3" xfId="5013" xr:uid="{00000000-0005-0000-0000-00005E070000}"/>
    <cellStyle name="40% - Accent6 4 2 3 2" xfId="13463" xr:uid="{AD17610A-14BC-47B2-9414-C22448EB3DB2}"/>
    <cellStyle name="40% - Accent6 4 2 4" xfId="9245" xr:uid="{1DF3FA61-862B-4A39-B53A-B3082E215CEA}"/>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B2F949C7-9407-47AB-9FA9-F56FEF68F351}"/>
    <cellStyle name="40% - Accent6 4 3 2 3" xfId="11803" xr:uid="{FDF5E7BC-B029-4AA1-AA71-1F4963AE316E}"/>
    <cellStyle name="40% - Accent6 4 3 3" xfId="5426" xr:uid="{00000000-0005-0000-0000-000062070000}"/>
    <cellStyle name="40% - Accent6 4 3 3 2" xfId="13876" xr:uid="{4BDF8F76-5E0F-4BB7-BC44-4C0985B9332B}"/>
    <cellStyle name="40% - Accent6 4 3 4" xfId="9658" xr:uid="{C98129CF-B58E-4B7A-857D-8EF25A11B2D3}"/>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A816DF59-69E8-439E-A5F8-4100886B6450}"/>
    <cellStyle name="40% - Accent6 4 4 2 3" xfId="12216" xr:uid="{6623371B-024F-470B-A807-014ADE72CF81}"/>
    <cellStyle name="40% - Accent6 4 4 3" xfId="5839" xr:uid="{00000000-0005-0000-0000-000066070000}"/>
    <cellStyle name="40% - Accent6 4 4 3 2" xfId="14289" xr:uid="{5F50295F-A5A7-4694-9EBC-E17AF4AA4022}"/>
    <cellStyle name="40% - Accent6 4 4 4" xfId="10071" xr:uid="{A72ACE37-1FF6-4264-AF2A-CB59DCEA9DD4}"/>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4830E645-9960-49C6-B059-90BE343FBBE3}"/>
    <cellStyle name="40% - Accent6 4 5 2 3" xfId="12629" xr:uid="{271C88E1-EB0A-48A4-9CF8-93E8BD36DF48}"/>
    <cellStyle name="40% - Accent6 4 5 3" xfId="6252" xr:uid="{00000000-0005-0000-0000-00006A070000}"/>
    <cellStyle name="40% - Accent6 4 5 3 2" xfId="14702" xr:uid="{F6AB986C-D623-4C85-8045-36C86B7501EA}"/>
    <cellStyle name="40% - Accent6 4 5 4" xfId="10484" xr:uid="{5DC7AA5E-771A-4C00-B2AD-C67CFAD951A3}"/>
    <cellStyle name="40% - Accent6 4 6" xfId="2359" xr:uid="{00000000-0005-0000-0000-00006B070000}"/>
    <cellStyle name="40% - Accent6 4 6 2" xfId="6665" xr:uid="{00000000-0005-0000-0000-00006C070000}"/>
    <cellStyle name="40% - Accent6 4 6 2 2" xfId="15115" xr:uid="{FF8691E0-1633-4A11-95D4-364804DC8B2C}"/>
    <cellStyle name="40% - Accent6 4 6 3" xfId="10897" xr:uid="{C7E14272-A6FC-47DB-9AD6-2B9516F7482E}"/>
    <cellStyle name="40% - Accent6 4 7" xfId="4599" xr:uid="{00000000-0005-0000-0000-00006D070000}"/>
    <cellStyle name="40% - Accent6 4 7 2" xfId="13049" xr:uid="{2E5CA1FF-75F7-4CA7-9378-791D6763B327}"/>
    <cellStyle name="40% - Accent6 4 8" xfId="8831" xr:uid="{BED56081-2F82-4689-8E2E-49C3D8A73759}"/>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B505A976-909C-4723-AC9C-0B077D6D95EC}"/>
    <cellStyle name="40% - Accent6 5 2 3" xfId="11383" xr:uid="{450E9D65-1012-4D0B-A3C1-3700C38DEA50}"/>
    <cellStyle name="40% - Accent6 5 3" xfId="5006" xr:uid="{00000000-0005-0000-0000-000071070000}"/>
    <cellStyle name="40% - Accent6 5 3 2" xfId="13456" xr:uid="{859CAD5B-E354-40B6-BC69-438B2FD6FBF4}"/>
    <cellStyle name="40% - Accent6 5 4" xfId="9238" xr:uid="{9FAD8254-F95E-4709-823E-8EC412DA3EA6}"/>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F3336BAA-5E40-456A-8224-747B784AD39C}"/>
    <cellStyle name="40% - Accent6 6 2 3" xfId="11796" xr:uid="{C69AFC50-571F-4F29-873B-1CCE2CE9C6B9}"/>
    <cellStyle name="40% - Accent6 6 3" xfId="5419" xr:uid="{00000000-0005-0000-0000-000075070000}"/>
    <cellStyle name="40% - Accent6 6 3 2" xfId="13869" xr:uid="{7157ADD2-D647-47F7-A504-ACD4ABD3134C}"/>
    <cellStyle name="40% - Accent6 6 4" xfId="9651" xr:uid="{E09324D1-DBF3-4198-A76F-61BCF4461B5D}"/>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4500091D-844F-4ECD-86F9-AE8216B9A271}"/>
    <cellStyle name="40% - Accent6 7 2 3" xfId="12209" xr:uid="{85738AB2-6302-4C82-9A68-04ED1AFF87E2}"/>
    <cellStyle name="40% - Accent6 7 3" xfId="5832" xr:uid="{00000000-0005-0000-0000-000079070000}"/>
    <cellStyle name="40% - Accent6 7 3 2" xfId="14282" xr:uid="{CE4BB993-EE5E-4CA3-AA81-19C27EB72ACB}"/>
    <cellStyle name="40% - Accent6 7 4" xfId="10064" xr:uid="{2C6045ED-97E6-44E0-943B-1129780DFD69}"/>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FE93537A-BC30-4574-B61D-5835EAB04B89}"/>
    <cellStyle name="40% - Accent6 8 2 3" xfId="12622" xr:uid="{E138A725-E0B6-439E-AEA9-6100DBF78E63}"/>
    <cellStyle name="40% - Accent6 8 3" xfId="6245" xr:uid="{00000000-0005-0000-0000-00007D070000}"/>
    <cellStyle name="40% - Accent6 8 3 2" xfId="14695" xr:uid="{E6C2DDF8-501C-44C8-95E2-B0127F922635}"/>
    <cellStyle name="40% - Accent6 8 4" xfId="10477" xr:uid="{36C6195D-BFEB-4037-92A5-B2AD1D0C6F64}"/>
    <cellStyle name="40% - Accent6 9" xfId="2352" xr:uid="{00000000-0005-0000-0000-00007E070000}"/>
    <cellStyle name="40% - Accent6 9 2" xfId="6658" xr:uid="{00000000-0005-0000-0000-00007F070000}"/>
    <cellStyle name="40% - Accent6 9 2 2" xfId="15108" xr:uid="{86122B4D-330C-4B07-A2A1-1D24B1D49C6E}"/>
    <cellStyle name="40% - Accent6 9 3" xfId="10890" xr:uid="{FF9B65D5-0323-48F7-956B-17DDF1D10139}"/>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34206253-47E0-471E-AB0D-B0B46F1BEA1C}"/>
    <cellStyle name="Comma 4 2 2 2 10 3" xfId="11215" xr:uid="{388D986D-556B-4EBD-A9C7-B9ACECB1A36E}"/>
    <cellStyle name="Comma 4 2 2 2 11" xfId="4600" xr:uid="{00000000-0005-0000-0000-0000A3070000}"/>
    <cellStyle name="Comma 4 2 2 2 11 2" xfId="13050" xr:uid="{371E5463-F85C-40D8-A7D4-B90F07E96EEE}"/>
    <cellStyle name="Comma 4 2 2 2 12" xfId="8832" xr:uid="{6ABE8431-6CBF-416C-845C-2BE33608B7BE}"/>
    <cellStyle name="Comma 4 2 2 2 2" xfId="129" xr:uid="{00000000-0005-0000-0000-0000A4070000}"/>
    <cellStyle name="Comma 4 2 2 2 2 10" xfId="4601" xr:uid="{00000000-0005-0000-0000-0000A5070000}"/>
    <cellStyle name="Comma 4 2 2 2 2 10 2" xfId="13051" xr:uid="{8844EBC7-9E67-450D-A344-CA2F5D9515B9}"/>
    <cellStyle name="Comma 4 2 2 2 2 11" xfId="8833" xr:uid="{091BF578-000F-47D1-8E6D-87C8369E4C56}"/>
    <cellStyle name="Comma 4 2 2 2 2 2" xfId="130" xr:uid="{00000000-0005-0000-0000-0000A6070000}"/>
    <cellStyle name="Comma 4 2 2 2 2 2 10" xfId="8834" xr:uid="{71B31F31-0F44-4F02-80D5-C1463436EFDD}"/>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C78922BB-1E73-43D7-9D34-C3FC3EB6AE2C}"/>
    <cellStyle name="Comma 4 2 2 2 2 2 2 2 3" xfId="11393" xr:uid="{148272A2-482F-4DCB-B7A1-AB51E9C08F75}"/>
    <cellStyle name="Comma 4 2 2 2 2 2 2 3" xfId="5016" xr:uid="{00000000-0005-0000-0000-0000AA070000}"/>
    <cellStyle name="Comma 4 2 2 2 2 2 2 3 2" xfId="13466" xr:uid="{CA293A97-64DF-4985-8B3F-B2F9C0204497}"/>
    <cellStyle name="Comma 4 2 2 2 2 2 2 4" xfId="9248" xr:uid="{2F01C2B8-7384-47F5-A818-22EF0D340156}"/>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776B52D1-A986-4BEE-AC50-EC0B8AA4141A}"/>
    <cellStyle name="Comma 4 2 2 2 2 2 3 2 3" xfId="11806" xr:uid="{36FD2CCE-364A-42D9-97E7-CB43A8FF4B25}"/>
    <cellStyle name="Comma 4 2 2 2 2 2 3 3" xfId="5429" xr:uid="{00000000-0005-0000-0000-0000AE070000}"/>
    <cellStyle name="Comma 4 2 2 2 2 2 3 3 2" xfId="13879" xr:uid="{494CB238-714D-4CF4-88CF-D13F3A260716}"/>
    <cellStyle name="Comma 4 2 2 2 2 2 3 4" xfId="9661" xr:uid="{AB7C2D4F-0542-46E5-B5F1-30A935D19052}"/>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1E5D775F-0A65-4C92-BBA8-550226E94971}"/>
    <cellStyle name="Comma 4 2 2 2 2 2 4 2 3" xfId="12219" xr:uid="{3BA531AD-860C-4D06-94C3-1F99FD3E3AAA}"/>
    <cellStyle name="Comma 4 2 2 2 2 2 4 3" xfId="5842" xr:uid="{00000000-0005-0000-0000-0000B2070000}"/>
    <cellStyle name="Comma 4 2 2 2 2 2 4 3 2" xfId="14292" xr:uid="{DD7199C2-5378-47FA-BD2E-4BDDE22F9292}"/>
    <cellStyle name="Comma 4 2 2 2 2 2 4 4" xfId="10074" xr:uid="{2318C5D8-E129-4DFB-A292-1C17261C33A8}"/>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38CFEF7F-3869-4FDC-9864-9DFB9F0D9E5E}"/>
    <cellStyle name="Comma 4 2 2 2 2 2 5 2 3" xfId="12632" xr:uid="{72CC2277-4677-4CDD-8D24-EB939ED5DC11}"/>
    <cellStyle name="Comma 4 2 2 2 2 2 5 3" xfId="6255" xr:uid="{00000000-0005-0000-0000-0000B6070000}"/>
    <cellStyle name="Comma 4 2 2 2 2 2 5 3 2" xfId="14705" xr:uid="{CBA5F495-ED3D-4EE0-ACFE-88603C3ADB4B}"/>
    <cellStyle name="Comma 4 2 2 2 2 2 5 4" xfId="10487" xr:uid="{B47FD73E-4F4A-489E-BF50-0060FEAB75BD}"/>
    <cellStyle name="Comma 4 2 2 2 2 2 6" xfId="2384" xr:uid="{00000000-0005-0000-0000-0000B7070000}"/>
    <cellStyle name="Comma 4 2 2 2 2 2 6 2" xfId="6668" xr:uid="{00000000-0005-0000-0000-0000B8070000}"/>
    <cellStyle name="Comma 4 2 2 2 2 2 6 2 2" xfId="15118" xr:uid="{AF703853-A3DF-436C-85D6-2FEB712D11A0}"/>
    <cellStyle name="Comma 4 2 2 2 2 2 6 3" xfId="10900" xr:uid="{9ECFD765-9587-4BB2-91BD-17F529CE3728}"/>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34B74411-AF03-4854-A441-B5030CA2837E}"/>
    <cellStyle name="Comma 4 2 2 2 2 2 8 3" xfId="11217" xr:uid="{C6E5D127-4268-43BE-8140-04137E85AD52}"/>
    <cellStyle name="Comma 4 2 2 2 2 2 9" xfId="4602" xr:uid="{00000000-0005-0000-0000-0000BC070000}"/>
    <cellStyle name="Comma 4 2 2 2 2 2 9 2" xfId="13052" xr:uid="{3B4D79A3-1982-4BC9-9717-20B8DB61564F}"/>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898781C7-A4AB-48F5-ADF7-793475D279D8}"/>
    <cellStyle name="Comma 4 2 2 2 2 3 2 3" xfId="11392" xr:uid="{6A1CE498-1CCB-4BF6-877E-6D349E854A0F}"/>
    <cellStyle name="Comma 4 2 2 2 2 3 3" xfId="5015" xr:uid="{00000000-0005-0000-0000-0000C0070000}"/>
    <cellStyle name="Comma 4 2 2 2 2 3 3 2" xfId="13465" xr:uid="{262B3EBD-650F-41AA-AA92-297EC6EB3EFC}"/>
    <cellStyle name="Comma 4 2 2 2 2 3 4" xfId="9247" xr:uid="{D275AE8E-463F-4124-A17E-099E89B6907A}"/>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5627F168-C8D0-456F-BA4A-64F63406D6BA}"/>
    <cellStyle name="Comma 4 2 2 2 2 4 2 3" xfId="11805" xr:uid="{9D5F803C-BB7F-4A74-89A8-28393EC0AA58}"/>
    <cellStyle name="Comma 4 2 2 2 2 4 3" xfId="5428" xr:uid="{00000000-0005-0000-0000-0000C4070000}"/>
    <cellStyle name="Comma 4 2 2 2 2 4 3 2" xfId="13878" xr:uid="{B4273A33-BB5F-4394-9C4C-85F8D8751B38}"/>
    <cellStyle name="Comma 4 2 2 2 2 4 4" xfId="9660" xr:uid="{05CEE33A-19DE-4429-97C7-BE3B07E164A9}"/>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9C9566C5-F9E0-487E-A474-D8EFEB6AD814}"/>
    <cellStyle name="Comma 4 2 2 2 2 5 2 3" xfId="12218" xr:uid="{73A005C5-EE0E-4E23-9BB6-728F393EF5BD}"/>
    <cellStyle name="Comma 4 2 2 2 2 5 3" xfId="5841" xr:uid="{00000000-0005-0000-0000-0000C8070000}"/>
    <cellStyle name="Comma 4 2 2 2 2 5 3 2" xfId="14291" xr:uid="{A57856A3-F520-4509-B20A-55DC833883D6}"/>
    <cellStyle name="Comma 4 2 2 2 2 5 4" xfId="10073" xr:uid="{F9DDAC51-6CFE-42DE-8CBB-25E1D62A6B87}"/>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2C5420AB-8B01-4A5C-92C4-CA8BEA1694BB}"/>
    <cellStyle name="Comma 4 2 2 2 2 6 2 3" xfId="12631" xr:uid="{88C53240-6EC3-4789-B1D6-9A4B5BFF5860}"/>
    <cellStyle name="Comma 4 2 2 2 2 6 3" xfId="6254" xr:uid="{00000000-0005-0000-0000-0000CC070000}"/>
    <cellStyle name="Comma 4 2 2 2 2 6 3 2" xfId="14704" xr:uid="{0FB11555-8046-4DD8-96E0-1A55BC03F6A4}"/>
    <cellStyle name="Comma 4 2 2 2 2 6 4" xfId="10486" xr:uid="{F88D9830-E17E-4C5C-8261-3B0330EECD77}"/>
    <cellStyle name="Comma 4 2 2 2 2 7" xfId="2383" xr:uid="{00000000-0005-0000-0000-0000CD070000}"/>
    <cellStyle name="Comma 4 2 2 2 2 7 2" xfId="6667" xr:uid="{00000000-0005-0000-0000-0000CE070000}"/>
    <cellStyle name="Comma 4 2 2 2 2 7 2 2" xfId="15117" xr:uid="{A853D999-8C3E-4BEC-B4D1-6298C9A9C9D0}"/>
    <cellStyle name="Comma 4 2 2 2 2 7 3" xfId="10899" xr:uid="{DDBC7275-75C0-45ED-8A0D-B95097D78E11}"/>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B0A03E8E-BF7C-4BA6-9D4D-282570360DE1}"/>
    <cellStyle name="Comma 4 2 2 2 2 9 3" xfId="11216" xr:uid="{5527148A-C99A-4321-8A90-BE47BABC9589}"/>
    <cellStyle name="Comma 4 2 2 2 3" xfId="131" xr:uid="{00000000-0005-0000-0000-0000D2070000}"/>
    <cellStyle name="Comma 4 2 2 2 3 10" xfId="8835" xr:uid="{B0AE8E0C-9FCA-4847-8893-91A6323B3643}"/>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E5D3AD02-D25C-4F49-B383-31EEA611BE9C}"/>
    <cellStyle name="Comma 4 2 2 2 3 2 2 3" xfId="11394" xr:uid="{5CAD942C-5E32-4146-A992-9D25C594F000}"/>
    <cellStyle name="Comma 4 2 2 2 3 2 3" xfId="5017" xr:uid="{00000000-0005-0000-0000-0000D6070000}"/>
    <cellStyle name="Comma 4 2 2 2 3 2 3 2" xfId="13467" xr:uid="{2D5E0B0A-6A7D-447F-BE2F-98FD5D284A83}"/>
    <cellStyle name="Comma 4 2 2 2 3 2 4" xfId="9249" xr:uid="{8BAFAD37-F760-43AD-9694-9CA22D1336C8}"/>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F86ED8BF-A6B5-4B68-9DF5-05B5826F6DE5}"/>
    <cellStyle name="Comma 4 2 2 2 3 3 2 3" xfId="11807" xr:uid="{A2BEA64C-B8DB-4776-9BA2-958AD6084A0C}"/>
    <cellStyle name="Comma 4 2 2 2 3 3 3" xfId="5430" xr:uid="{00000000-0005-0000-0000-0000DA070000}"/>
    <cellStyle name="Comma 4 2 2 2 3 3 3 2" xfId="13880" xr:uid="{A0EC96AF-C2D7-4CB7-8849-0DBA4E42E825}"/>
    <cellStyle name="Comma 4 2 2 2 3 3 4" xfId="9662" xr:uid="{DB12746E-E4F1-488A-8505-BAE63624DC50}"/>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CE255A2C-EAD1-4F29-A973-DC95441723A3}"/>
    <cellStyle name="Comma 4 2 2 2 3 4 2 3" xfId="12220" xr:uid="{509EB915-F145-48B0-B538-E1D997B12C20}"/>
    <cellStyle name="Comma 4 2 2 2 3 4 3" xfId="5843" xr:uid="{00000000-0005-0000-0000-0000DE070000}"/>
    <cellStyle name="Comma 4 2 2 2 3 4 3 2" xfId="14293" xr:uid="{D7F824DB-1BFD-4B53-AB3E-ADBDF6B8531E}"/>
    <cellStyle name="Comma 4 2 2 2 3 4 4" xfId="10075" xr:uid="{B166B6E7-3E0E-455E-B872-0AF74B2C4FD6}"/>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CE711FB7-B094-4D90-A4F1-F0BEE2F0AA55}"/>
    <cellStyle name="Comma 4 2 2 2 3 5 2 3" xfId="12633" xr:uid="{FE67ED15-D267-40FE-8B45-2811C6F76786}"/>
    <cellStyle name="Comma 4 2 2 2 3 5 3" xfId="6256" xr:uid="{00000000-0005-0000-0000-0000E2070000}"/>
    <cellStyle name="Comma 4 2 2 2 3 5 3 2" xfId="14706" xr:uid="{3E5067D5-9EA7-426F-8E7B-12F15CE66257}"/>
    <cellStyle name="Comma 4 2 2 2 3 5 4" xfId="10488" xr:uid="{512656E6-CD7E-47C9-BC39-42CA91698E07}"/>
    <cellStyle name="Comma 4 2 2 2 3 6" xfId="2385" xr:uid="{00000000-0005-0000-0000-0000E3070000}"/>
    <cellStyle name="Comma 4 2 2 2 3 6 2" xfId="6669" xr:uid="{00000000-0005-0000-0000-0000E4070000}"/>
    <cellStyle name="Comma 4 2 2 2 3 6 2 2" xfId="15119" xr:uid="{F3BE8372-8A5C-44A4-90CD-3E8916EBABF7}"/>
    <cellStyle name="Comma 4 2 2 2 3 6 3" xfId="10901" xr:uid="{5F7A44BB-319A-43F6-9DAB-FE6AA819417C}"/>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B059E2C1-99AA-4763-9EB1-86E208803747}"/>
    <cellStyle name="Comma 4 2 2 2 3 8 3" xfId="11218" xr:uid="{51583726-8163-4E19-A0D8-84311E2391BA}"/>
    <cellStyle name="Comma 4 2 2 2 3 9" xfId="4603" xr:uid="{00000000-0005-0000-0000-0000E8070000}"/>
    <cellStyle name="Comma 4 2 2 2 3 9 2" xfId="13053" xr:uid="{B195F879-BF70-4452-BE5B-2CE54E02993D}"/>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401E8942-24BB-4019-8B5A-3C5DE02248E1}"/>
    <cellStyle name="Comma 4 2 2 2 4 2 3" xfId="11391" xr:uid="{0DB67EBF-06A6-4F67-BBD9-800323DEFCE3}"/>
    <cellStyle name="Comma 4 2 2 2 4 3" xfId="5014" xr:uid="{00000000-0005-0000-0000-0000EC070000}"/>
    <cellStyle name="Comma 4 2 2 2 4 3 2" xfId="13464" xr:uid="{259D4824-2754-4D75-BED5-0D2FDBA8ED58}"/>
    <cellStyle name="Comma 4 2 2 2 4 4" xfId="9246" xr:uid="{4CB29924-386E-44D0-9745-AA775FC06D69}"/>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0EABAE76-2E72-4D5C-AB5B-D8B6160D9CAC}"/>
    <cellStyle name="Comma 4 2 2 2 5 2 3" xfId="11804" xr:uid="{638A57EA-2091-4D5D-8C24-2AE2CBF58ED1}"/>
    <cellStyle name="Comma 4 2 2 2 5 3" xfId="5427" xr:uid="{00000000-0005-0000-0000-0000F0070000}"/>
    <cellStyle name="Comma 4 2 2 2 5 3 2" xfId="13877" xr:uid="{CD9D753C-3ECB-4CF4-9C68-CED987690C8D}"/>
    <cellStyle name="Comma 4 2 2 2 5 4" xfId="9659" xr:uid="{07B08FB6-3F97-44D5-81CF-A8D556C2193A}"/>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67DAB566-73E9-4B34-9B13-F14A94B8A7FF}"/>
    <cellStyle name="Comma 4 2 2 2 6 2 3" xfId="12217" xr:uid="{9E555502-EF6F-43E8-84BA-761D5A96A755}"/>
    <cellStyle name="Comma 4 2 2 2 6 3" xfId="5840" xr:uid="{00000000-0005-0000-0000-0000F4070000}"/>
    <cellStyle name="Comma 4 2 2 2 6 3 2" xfId="14290" xr:uid="{1FD2CF72-C664-4767-A0FC-D59F7E7C0204}"/>
    <cellStyle name="Comma 4 2 2 2 6 4" xfId="10072" xr:uid="{055BF6C5-2A50-4047-B7EA-3AEB419FEF5B}"/>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9350E309-8763-499B-8189-00457F2043C0}"/>
    <cellStyle name="Comma 4 2 2 2 7 2 3" xfId="12630" xr:uid="{90FD422E-6D78-4DCC-8FE9-773C10696DF7}"/>
    <cellStyle name="Comma 4 2 2 2 7 3" xfId="6253" xr:uid="{00000000-0005-0000-0000-0000F8070000}"/>
    <cellStyle name="Comma 4 2 2 2 7 3 2" xfId="14703" xr:uid="{71BA6254-0213-40FD-83C9-6CF462485FF5}"/>
    <cellStyle name="Comma 4 2 2 2 7 4" xfId="10485" xr:uid="{1A3D0246-F291-48B2-8AA5-DEA70E4699D3}"/>
    <cellStyle name="Comma 4 2 2 2 8" xfId="2382" xr:uid="{00000000-0005-0000-0000-0000F9070000}"/>
    <cellStyle name="Comma 4 2 2 2 8 2" xfId="6666" xr:uid="{00000000-0005-0000-0000-0000FA070000}"/>
    <cellStyle name="Comma 4 2 2 2 8 2 2" xfId="15116" xr:uid="{C2EA9D19-2BC0-4C35-8843-96A507C98B5F}"/>
    <cellStyle name="Comma 4 2 2 2 8 3" xfId="10898" xr:uid="{5FFD1869-5B11-46A8-A72E-A095E77F8032}"/>
    <cellStyle name="Comma 4 2 2 2 9" xfId="2381" xr:uid="{00000000-0005-0000-0000-0000FB070000}"/>
    <cellStyle name="Comma 4 2 2 3" xfId="132" xr:uid="{00000000-0005-0000-0000-0000FC070000}"/>
    <cellStyle name="Comma 4 2 2 3 10" xfId="4604" xr:uid="{00000000-0005-0000-0000-0000FD070000}"/>
    <cellStyle name="Comma 4 2 2 3 10 2" xfId="13054" xr:uid="{5F8544DF-7FAA-4432-924A-96B9C6112E8D}"/>
    <cellStyle name="Comma 4 2 2 3 11" xfId="8836" xr:uid="{539AB8FB-9613-45F0-A7AA-957FA3C536F5}"/>
    <cellStyle name="Comma 4 2 2 3 2" xfId="133" xr:uid="{00000000-0005-0000-0000-0000FE070000}"/>
    <cellStyle name="Comma 4 2 2 3 2 10" xfId="8837" xr:uid="{20D666F5-7844-42B4-9ED5-DAA10B5107FC}"/>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13AFE746-35AB-4581-8DC4-2815188D2289}"/>
    <cellStyle name="Comma 4 2 2 3 2 2 2 3" xfId="11396" xr:uid="{6761F012-B789-4D67-8D0A-3A79E8C957E8}"/>
    <cellStyle name="Comma 4 2 2 3 2 2 3" xfId="5019" xr:uid="{00000000-0005-0000-0000-000002080000}"/>
    <cellStyle name="Comma 4 2 2 3 2 2 3 2" xfId="13469" xr:uid="{DAD38E72-302B-4B87-A60D-9CC512BADF71}"/>
    <cellStyle name="Comma 4 2 2 3 2 2 4" xfId="9251" xr:uid="{0C03753D-092E-449A-B855-666CE73E91F4}"/>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3CE1DD11-E38A-4EC6-9D0A-C38C9F844FF1}"/>
    <cellStyle name="Comma 4 2 2 3 2 3 2 3" xfId="11809" xr:uid="{AFE4908F-E286-4DDD-8C93-A04E3FF2788F}"/>
    <cellStyle name="Comma 4 2 2 3 2 3 3" xfId="5432" xr:uid="{00000000-0005-0000-0000-000006080000}"/>
    <cellStyle name="Comma 4 2 2 3 2 3 3 2" xfId="13882" xr:uid="{8844E841-E8E4-49BB-80F0-CFF927F18538}"/>
    <cellStyle name="Comma 4 2 2 3 2 3 4" xfId="9664" xr:uid="{0965A832-6E07-49DB-B4DB-3FF87023BDB9}"/>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F5E9FD30-C352-42CC-9AE7-4BFBC4EEF6E9}"/>
    <cellStyle name="Comma 4 2 2 3 2 4 2 3" xfId="12222" xr:uid="{8E4EB2DF-44D7-47EA-9D97-9F5BB9504579}"/>
    <cellStyle name="Comma 4 2 2 3 2 4 3" xfId="5845" xr:uid="{00000000-0005-0000-0000-00000A080000}"/>
    <cellStyle name="Comma 4 2 2 3 2 4 3 2" xfId="14295" xr:uid="{81F442DE-2E66-47C5-913A-BF25F4D8A0B9}"/>
    <cellStyle name="Comma 4 2 2 3 2 4 4" xfId="10077" xr:uid="{62DBFF18-DDB6-40A8-9C8F-0174D5A1646F}"/>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82CF2DDF-091A-43A8-8ADB-4DA383FCB588}"/>
    <cellStyle name="Comma 4 2 2 3 2 5 2 3" xfId="12635" xr:uid="{5E5C90AB-9E06-4E6A-9CE5-F1FE963A7F86}"/>
    <cellStyle name="Comma 4 2 2 3 2 5 3" xfId="6258" xr:uid="{00000000-0005-0000-0000-00000E080000}"/>
    <cellStyle name="Comma 4 2 2 3 2 5 3 2" xfId="14708" xr:uid="{181A1A17-DA2F-480A-8DDF-843B1E202972}"/>
    <cellStyle name="Comma 4 2 2 3 2 5 4" xfId="10490" xr:uid="{6783EF30-45CC-4039-A465-E431D9BAFE8E}"/>
    <cellStyle name="Comma 4 2 2 3 2 6" xfId="2387" xr:uid="{00000000-0005-0000-0000-00000F080000}"/>
    <cellStyle name="Comma 4 2 2 3 2 6 2" xfId="6671" xr:uid="{00000000-0005-0000-0000-000010080000}"/>
    <cellStyle name="Comma 4 2 2 3 2 6 2 2" xfId="15121" xr:uid="{422AE832-9BAF-47AF-9DF7-4150BE3C5019}"/>
    <cellStyle name="Comma 4 2 2 3 2 6 3" xfId="10903" xr:uid="{41E37DCC-E70F-4E2B-95CE-05B90E63C2DD}"/>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572A3030-F1BE-46D2-A5AB-D2F608D38CE5}"/>
    <cellStyle name="Comma 4 2 2 3 2 8 3" xfId="11220" xr:uid="{1D692041-5E26-47D1-A53B-3D299438AFC8}"/>
    <cellStyle name="Comma 4 2 2 3 2 9" xfId="4605" xr:uid="{00000000-0005-0000-0000-000014080000}"/>
    <cellStyle name="Comma 4 2 2 3 2 9 2" xfId="13055" xr:uid="{BF9AE776-854E-4A31-AE58-27408DDBAEC7}"/>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8EB8B8AA-3D87-4182-8DE1-23F64571ED69}"/>
    <cellStyle name="Comma 4 2 2 3 3 2 3" xfId="11395" xr:uid="{2C4BBA40-76AB-4B21-8845-7A17DA9B7D29}"/>
    <cellStyle name="Comma 4 2 2 3 3 3" xfId="5018" xr:uid="{00000000-0005-0000-0000-000018080000}"/>
    <cellStyle name="Comma 4 2 2 3 3 3 2" xfId="13468" xr:uid="{9636E426-F9F0-43C8-A9F6-5BC381EDC65D}"/>
    <cellStyle name="Comma 4 2 2 3 3 4" xfId="9250" xr:uid="{AEF47871-A1C7-4FDC-ADAF-40D90C8760B0}"/>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D9ADFAC8-7A77-4394-8E1B-5B47866F5718}"/>
    <cellStyle name="Comma 4 2 2 3 4 2 3" xfId="11808" xr:uid="{C2997BD0-47AF-4F5E-B708-B197237BE17F}"/>
    <cellStyle name="Comma 4 2 2 3 4 3" xfId="5431" xr:uid="{00000000-0005-0000-0000-00001C080000}"/>
    <cellStyle name="Comma 4 2 2 3 4 3 2" xfId="13881" xr:uid="{C586AA43-99DF-413F-8EF7-5141FA5C9F82}"/>
    <cellStyle name="Comma 4 2 2 3 4 4" xfId="9663" xr:uid="{8CE2B2E6-CF3D-45D9-9015-8B75788A81AB}"/>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3A4742C6-F95E-4F89-8A02-FDD15AA8EE63}"/>
    <cellStyle name="Comma 4 2 2 3 5 2 3" xfId="12221" xr:uid="{30A2A372-13C0-4AD1-82D2-8BD606E42A57}"/>
    <cellStyle name="Comma 4 2 2 3 5 3" xfId="5844" xr:uid="{00000000-0005-0000-0000-000020080000}"/>
    <cellStyle name="Comma 4 2 2 3 5 3 2" xfId="14294" xr:uid="{195804FC-DEF6-4F4F-8181-E54C5DF0F68E}"/>
    <cellStyle name="Comma 4 2 2 3 5 4" xfId="10076" xr:uid="{14F5E2FE-2BEC-48EC-962D-DA292D5C07D2}"/>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364CEE2D-1788-489A-826F-EB2B14B69842}"/>
    <cellStyle name="Comma 4 2 2 3 6 2 3" xfId="12634" xr:uid="{AC5CE64C-DE40-48A8-B633-5720D3CFB425}"/>
    <cellStyle name="Comma 4 2 2 3 6 3" xfId="6257" xr:uid="{00000000-0005-0000-0000-000024080000}"/>
    <cellStyle name="Comma 4 2 2 3 6 3 2" xfId="14707" xr:uid="{EFD53BE8-13CD-45E5-A888-17E466F46D40}"/>
    <cellStyle name="Comma 4 2 2 3 6 4" xfId="10489" xr:uid="{798AA46A-5C45-44DD-9423-2D135D46203E}"/>
    <cellStyle name="Comma 4 2 2 3 7" xfId="2386" xr:uid="{00000000-0005-0000-0000-000025080000}"/>
    <cellStyle name="Comma 4 2 2 3 7 2" xfId="6670" xr:uid="{00000000-0005-0000-0000-000026080000}"/>
    <cellStyle name="Comma 4 2 2 3 7 2 2" xfId="15120" xr:uid="{4D5B013A-D318-44FA-8A29-8A956C83494A}"/>
    <cellStyle name="Comma 4 2 2 3 7 3" xfId="10902" xr:uid="{0B9BB72C-3FFB-4AFB-AD55-A7E141F625ED}"/>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2E22D3DE-F3E5-48F9-BC5C-1D18B8BE03B4}"/>
    <cellStyle name="Comma 4 2 2 3 9 3" xfId="11219" xr:uid="{7353077D-A61E-4DEF-9DD3-BD6447770616}"/>
    <cellStyle name="Comma 4 2 2 4" xfId="134" xr:uid="{00000000-0005-0000-0000-00002A080000}"/>
    <cellStyle name="Comma 4 2 2 4 10" xfId="8838" xr:uid="{B9CAFB3A-8A10-42FE-BD58-F8B952893886}"/>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00BC4CA0-FF2E-4079-A505-1ED13BEA92A8}"/>
    <cellStyle name="Comma 4 2 2 4 2 2 3" xfId="11397" xr:uid="{3DAEA7EF-6C94-4BB4-97C6-0DEF9DD74834}"/>
    <cellStyle name="Comma 4 2 2 4 2 3" xfId="5020" xr:uid="{00000000-0005-0000-0000-00002E080000}"/>
    <cellStyle name="Comma 4 2 2 4 2 3 2" xfId="13470" xr:uid="{5873D625-02A4-4C57-AD6E-275C4E4E29FB}"/>
    <cellStyle name="Comma 4 2 2 4 2 4" xfId="9252" xr:uid="{8750B780-9AD8-4A80-B8A5-0F7D08499616}"/>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9431E540-FC2D-4100-AE31-1982F7AEDA8F}"/>
    <cellStyle name="Comma 4 2 2 4 3 2 3" xfId="11810" xr:uid="{86CDF403-86D3-4FAD-B498-2EA2AC84567A}"/>
    <cellStyle name="Comma 4 2 2 4 3 3" xfId="5433" xr:uid="{00000000-0005-0000-0000-000032080000}"/>
    <cellStyle name="Comma 4 2 2 4 3 3 2" xfId="13883" xr:uid="{77E6223D-9942-458F-9CCA-48C45B51AFA4}"/>
    <cellStyle name="Comma 4 2 2 4 3 4" xfId="9665" xr:uid="{F5D39C3A-8D21-4558-AA65-718832E1E37D}"/>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5935EFEF-3985-498D-BA95-5F67385F5CB2}"/>
    <cellStyle name="Comma 4 2 2 4 4 2 3" xfId="12223" xr:uid="{E6A9367C-6302-4D55-A035-6C0C2384E495}"/>
    <cellStyle name="Comma 4 2 2 4 4 3" xfId="5846" xr:uid="{00000000-0005-0000-0000-000036080000}"/>
    <cellStyle name="Comma 4 2 2 4 4 3 2" xfId="14296" xr:uid="{79F2FF71-8A0C-4574-9372-DC36721A8058}"/>
    <cellStyle name="Comma 4 2 2 4 4 4" xfId="10078" xr:uid="{B0306BED-EE09-4299-8888-17FDA6373F7B}"/>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99FD32F7-3153-4961-942A-68F41E76490D}"/>
    <cellStyle name="Comma 4 2 2 4 5 2 3" xfId="12636" xr:uid="{E7ABA72E-6C45-492A-A56A-65CFA0858E82}"/>
    <cellStyle name="Comma 4 2 2 4 5 3" xfId="6259" xr:uid="{00000000-0005-0000-0000-00003A080000}"/>
    <cellStyle name="Comma 4 2 2 4 5 3 2" xfId="14709" xr:uid="{59410AC5-084E-4045-AD31-42077B52868F}"/>
    <cellStyle name="Comma 4 2 2 4 5 4" xfId="10491" xr:uid="{065815D2-4113-4A76-A63C-CEE66D6C354D}"/>
    <cellStyle name="Comma 4 2 2 4 6" xfId="2388" xr:uid="{00000000-0005-0000-0000-00003B080000}"/>
    <cellStyle name="Comma 4 2 2 4 6 2" xfId="6672" xr:uid="{00000000-0005-0000-0000-00003C080000}"/>
    <cellStyle name="Comma 4 2 2 4 6 2 2" xfId="15122" xr:uid="{19654802-AEE7-4147-A54E-58AD09B6417C}"/>
    <cellStyle name="Comma 4 2 2 4 6 3" xfId="10904" xr:uid="{DF9936F4-52C6-4770-A953-166D6E6051C2}"/>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97D2C992-4231-4C07-93AF-B33C4ECC221D}"/>
    <cellStyle name="Comma 4 2 2 4 8 3" xfId="11221" xr:uid="{13BCBDE9-3723-45FF-ADF3-147A6083AB67}"/>
    <cellStyle name="Comma 4 2 2 4 9" xfId="4606" xr:uid="{00000000-0005-0000-0000-000040080000}"/>
    <cellStyle name="Comma 4 2 2 4 9 2" xfId="13056" xr:uid="{2BC8F7AA-7242-4525-913B-F31AB8AF3BD2}"/>
    <cellStyle name="Comma 4 2 2 5" xfId="135" xr:uid="{00000000-0005-0000-0000-000041080000}"/>
    <cellStyle name="Comma 4 2 2 5 10" xfId="8839" xr:uid="{B4CB6BF3-C637-49F8-A0E6-39CF47A35538}"/>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0C34137E-749F-4A9C-8B20-13106CA6ECAD}"/>
    <cellStyle name="Comma 4 2 2 5 2 2 3" xfId="11398" xr:uid="{AFF34A6D-8686-4366-8457-78A6FC437107}"/>
    <cellStyle name="Comma 4 2 2 5 2 3" xfId="5021" xr:uid="{00000000-0005-0000-0000-000045080000}"/>
    <cellStyle name="Comma 4 2 2 5 2 3 2" xfId="13471" xr:uid="{2A04E1FC-93A1-402A-AE9F-7504364DE687}"/>
    <cellStyle name="Comma 4 2 2 5 2 4" xfId="9253" xr:uid="{C9CC7081-AC13-4031-AFBC-D44901D39877}"/>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74DDBBEA-8A54-4176-A634-241117928906}"/>
    <cellStyle name="Comma 4 2 2 5 3 2 3" xfId="11811" xr:uid="{1CB256F6-0B63-45DD-A730-328F43232AD0}"/>
    <cellStyle name="Comma 4 2 2 5 3 3" xfId="5434" xr:uid="{00000000-0005-0000-0000-000049080000}"/>
    <cellStyle name="Comma 4 2 2 5 3 3 2" xfId="13884" xr:uid="{8DBE860F-1278-4F71-A547-6A92C2BB5652}"/>
    <cellStyle name="Comma 4 2 2 5 3 4" xfId="9666" xr:uid="{EEA8FAA0-C718-4327-B67B-112A6844205B}"/>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2687D0CA-767F-4249-BD0E-8632D4481AB1}"/>
    <cellStyle name="Comma 4 2 2 5 4 2 3" xfId="12224" xr:uid="{7821595E-B00A-4FA1-B706-47B1E256E395}"/>
    <cellStyle name="Comma 4 2 2 5 4 3" xfId="5847" xr:uid="{00000000-0005-0000-0000-00004D080000}"/>
    <cellStyle name="Comma 4 2 2 5 4 3 2" xfId="14297" xr:uid="{B42765B3-0361-4A55-8401-18D00B5CD234}"/>
    <cellStyle name="Comma 4 2 2 5 4 4" xfId="10079" xr:uid="{FAA5CB3F-5C45-41C9-BBA3-10E596CBF66C}"/>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764205B7-FA08-4FCA-9715-71F5B0195030}"/>
    <cellStyle name="Comma 4 2 2 5 5 2 3" xfId="12637" xr:uid="{BE6C9343-40A7-4852-9E77-D042C17D4545}"/>
    <cellStyle name="Comma 4 2 2 5 5 3" xfId="6260" xr:uid="{00000000-0005-0000-0000-000051080000}"/>
    <cellStyle name="Comma 4 2 2 5 5 3 2" xfId="14710" xr:uid="{200520D3-9790-4D70-96F4-1DF80F14D8E9}"/>
    <cellStyle name="Comma 4 2 2 5 5 4" xfId="10492" xr:uid="{306CCAF9-4B99-4FD3-AFE0-9AB875354FED}"/>
    <cellStyle name="Comma 4 2 2 5 6" xfId="2389" xr:uid="{00000000-0005-0000-0000-000052080000}"/>
    <cellStyle name="Comma 4 2 2 5 6 2" xfId="6673" xr:uid="{00000000-0005-0000-0000-000053080000}"/>
    <cellStyle name="Comma 4 2 2 5 6 2 2" xfId="15123" xr:uid="{36DD6601-A923-4D91-9EB7-D433DDF74863}"/>
    <cellStyle name="Comma 4 2 2 5 6 3" xfId="10905" xr:uid="{390C4098-E80F-492C-858D-5F083B407FF2}"/>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F8094566-CC26-425F-9801-BAB81A4C7E3C}"/>
    <cellStyle name="Comma 4 2 2 5 8 3" xfId="11222" xr:uid="{43024CD1-E34C-4188-B14D-865DC8D8C000}"/>
    <cellStyle name="Comma 4 2 2 5 9" xfId="4607" xr:uid="{00000000-0005-0000-0000-000057080000}"/>
    <cellStyle name="Comma 4 2 2 5 9 2" xfId="13057" xr:uid="{17939AE6-DB3E-442C-AE0E-9F80094E5727}"/>
    <cellStyle name="Comma 4 2 3" xfId="136" xr:uid="{00000000-0005-0000-0000-000058080000}"/>
    <cellStyle name="Comma 4 2 3 10" xfId="2768" xr:uid="{00000000-0005-0000-0000-000059080000}"/>
    <cellStyle name="Comma 4 2 3 10 2" xfId="6991" xr:uid="{00000000-0005-0000-0000-00005A080000}"/>
    <cellStyle name="Comma 4 2 3 10 2 2" xfId="15441" xr:uid="{BCFC081F-E34F-480F-85EC-1F7E78A14510}"/>
    <cellStyle name="Comma 4 2 3 10 3" xfId="11223" xr:uid="{63A71564-4010-49CE-B691-A211D06BB4A8}"/>
    <cellStyle name="Comma 4 2 3 11" xfId="4608" xr:uid="{00000000-0005-0000-0000-00005B080000}"/>
    <cellStyle name="Comma 4 2 3 11 2" xfId="13058" xr:uid="{1039C857-B129-4388-B2DF-97B19DEDFA10}"/>
    <cellStyle name="Comma 4 2 3 12" xfId="8840" xr:uid="{128654A9-9B5A-4873-8E14-DBE39ABB7524}"/>
    <cellStyle name="Comma 4 2 3 2" xfId="137" xr:uid="{00000000-0005-0000-0000-00005C080000}"/>
    <cellStyle name="Comma 4 2 3 2 10" xfId="4609" xr:uid="{00000000-0005-0000-0000-00005D080000}"/>
    <cellStyle name="Comma 4 2 3 2 10 2" xfId="13059" xr:uid="{1C878A14-E183-406C-9EAB-A462E52906C3}"/>
    <cellStyle name="Comma 4 2 3 2 11" xfId="8841" xr:uid="{ACC2AF1B-E646-4584-8B33-31B41723FDB8}"/>
    <cellStyle name="Comma 4 2 3 2 2" xfId="138" xr:uid="{00000000-0005-0000-0000-00005E080000}"/>
    <cellStyle name="Comma 4 2 3 2 2 10" xfId="8842" xr:uid="{F5DC03F0-0467-4268-A835-62C1431090AB}"/>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735CD923-85AA-4B6C-BA86-9C75071696DA}"/>
    <cellStyle name="Comma 4 2 3 2 2 2 2 3" xfId="11401" xr:uid="{956D6D03-AF96-449A-B42E-2B95C89139FD}"/>
    <cellStyle name="Comma 4 2 3 2 2 2 3" xfId="5024" xr:uid="{00000000-0005-0000-0000-000062080000}"/>
    <cellStyle name="Comma 4 2 3 2 2 2 3 2" xfId="13474" xr:uid="{81F0972A-6439-4992-BC6D-0E6702F7916E}"/>
    <cellStyle name="Comma 4 2 3 2 2 2 4" xfId="9256" xr:uid="{D1257A34-8E8A-4E6B-A350-8BCB0D68F9FB}"/>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D9890881-F60D-4366-BA3B-47EE85D8E39B}"/>
    <cellStyle name="Comma 4 2 3 2 2 3 2 3" xfId="11814" xr:uid="{B1880D43-353B-40B8-B155-FE74A3E063A0}"/>
    <cellStyle name="Comma 4 2 3 2 2 3 3" xfId="5437" xr:uid="{00000000-0005-0000-0000-000066080000}"/>
    <cellStyle name="Comma 4 2 3 2 2 3 3 2" xfId="13887" xr:uid="{58C596F3-01E4-4B2C-AFB0-49D6F24BB0D0}"/>
    <cellStyle name="Comma 4 2 3 2 2 3 4" xfId="9669" xr:uid="{CB7FBDED-86EF-4E0B-B3D5-54831D852D0A}"/>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5CEDF61C-B55E-4DCA-8A06-02BC26F8F118}"/>
    <cellStyle name="Comma 4 2 3 2 2 4 2 3" xfId="12227" xr:uid="{38F413B3-5531-4AA1-8B14-C4948C8626AE}"/>
    <cellStyle name="Comma 4 2 3 2 2 4 3" xfId="5850" xr:uid="{00000000-0005-0000-0000-00006A080000}"/>
    <cellStyle name="Comma 4 2 3 2 2 4 3 2" xfId="14300" xr:uid="{0F22B6FF-EF9D-44BB-B206-B04A170AD68B}"/>
    <cellStyle name="Comma 4 2 3 2 2 4 4" xfId="10082" xr:uid="{D46AF5D8-1C64-40A8-9009-8D76A0FAA9EA}"/>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52A7E6BE-020F-4E3F-8EFE-8FE5A7644F4C}"/>
    <cellStyle name="Comma 4 2 3 2 2 5 2 3" xfId="12640" xr:uid="{FE4E876B-2673-44D2-B91E-2439A95EBF81}"/>
    <cellStyle name="Comma 4 2 3 2 2 5 3" xfId="6263" xr:uid="{00000000-0005-0000-0000-00006E080000}"/>
    <cellStyle name="Comma 4 2 3 2 2 5 3 2" xfId="14713" xr:uid="{E398C990-73BA-48B5-96CD-B4DAC817F65F}"/>
    <cellStyle name="Comma 4 2 3 2 2 5 4" xfId="10495" xr:uid="{2CC40200-639B-40F8-ADCB-0FAD151195CA}"/>
    <cellStyle name="Comma 4 2 3 2 2 6" xfId="2392" xr:uid="{00000000-0005-0000-0000-00006F080000}"/>
    <cellStyle name="Comma 4 2 3 2 2 6 2" xfId="6676" xr:uid="{00000000-0005-0000-0000-000070080000}"/>
    <cellStyle name="Comma 4 2 3 2 2 6 2 2" xfId="15126" xr:uid="{359FD1F4-DA08-4242-9073-0138A9FD69DA}"/>
    <cellStyle name="Comma 4 2 3 2 2 6 3" xfId="10908" xr:uid="{2BE4FB09-430B-47A6-9DF6-B12715E5C1C6}"/>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6E4F9B02-62A9-47BA-8678-CEE3802CF7E9}"/>
    <cellStyle name="Comma 4 2 3 2 2 8 3" xfId="11225" xr:uid="{3066537B-898F-4946-866C-F99BD5A3A8C9}"/>
    <cellStyle name="Comma 4 2 3 2 2 9" xfId="4610" xr:uid="{00000000-0005-0000-0000-000074080000}"/>
    <cellStyle name="Comma 4 2 3 2 2 9 2" xfId="13060" xr:uid="{DE07CE8F-594A-4735-9789-1C6D96EE2CEB}"/>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C53BAF09-5FED-4EAC-8977-7487CD474B47}"/>
    <cellStyle name="Comma 4 2 3 2 3 2 3" xfId="11400" xr:uid="{B1E7DE7C-3C0D-4928-B641-43CB3FA5E7B8}"/>
    <cellStyle name="Comma 4 2 3 2 3 3" xfId="5023" xr:uid="{00000000-0005-0000-0000-000078080000}"/>
    <cellStyle name="Comma 4 2 3 2 3 3 2" xfId="13473" xr:uid="{F5F68518-837E-412D-874B-DD5F7CD9AFA2}"/>
    <cellStyle name="Comma 4 2 3 2 3 4" xfId="9255" xr:uid="{CCC25756-4C45-4A7E-9770-75E449D49828}"/>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FA1366EA-009E-46BB-B6C5-8DA787DF1B88}"/>
    <cellStyle name="Comma 4 2 3 2 4 2 3" xfId="11813" xr:uid="{6CD21800-0371-426C-83F8-C6E352D7DD03}"/>
    <cellStyle name="Comma 4 2 3 2 4 3" xfId="5436" xr:uid="{00000000-0005-0000-0000-00007C080000}"/>
    <cellStyle name="Comma 4 2 3 2 4 3 2" xfId="13886" xr:uid="{73CF3E70-8722-4C7F-ACC3-A99D0FE9616D}"/>
    <cellStyle name="Comma 4 2 3 2 4 4" xfId="9668" xr:uid="{23084E3A-5837-47E1-B7D4-16F4F5214CD2}"/>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06FB4C20-8588-49B2-9420-94A0C94EA6E4}"/>
    <cellStyle name="Comma 4 2 3 2 5 2 3" xfId="12226" xr:uid="{4D8343EC-0854-4769-A0D3-0E56657F6AEB}"/>
    <cellStyle name="Comma 4 2 3 2 5 3" xfId="5849" xr:uid="{00000000-0005-0000-0000-000080080000}"/>
    <cellStyle name="Comma 4 2 3 2 5 3 2" xfId="14299" xr:uid="{3AFF3777-3850-4B17-A839-82681B9A5028}"/>
    <cellStyle name="Comma 4 2 3 2 5 4" xfId="10081" xr:uid="{10A421DF-CB62-4090-8FC4-08CAF28C9FB5}"/>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2A061076-1D9C-48F3-8247-83C4993E1C62}"/>
    <cellStyle name="Comma 4 2 3 2 6 2 3" xfId="12639" xr:uid="{D86DA979-F890-4371-B318-C3F0A4512BA6}"/>
    <cellStyle name="Comma 4 2 3 2 6 3" xfId="6262" xr:uid="{00000000-0005-0000-0000-000084080000}"/>
    <cellStyle name="Comma 4 2 3 2 6 3 2" xfId="14712" xr:uid="{1480A541-F693-43F6-A46D-81B9EA09717D}"/>
    <cellStyle name="Comma 4 2 3 2 6 4" xfId="10494" xr:uid="{1F261134-7EB7-48E8-93F6-7D8B2AAAC08F}"/>
    <cellStyle name="Comma 4 2 3 2 7" xfId="2391" xr:uid="{00000000-0005-0000-0000-000085080000}"/>
    <cellStyle name="Comma 4 2 3 2 7 2" xfId="6675" xr:uid="{00000000-0005-0000-0000-000086080000}"/>
    <cellStyle name="Comma 4 2 3 2 7 2 2" xfId="15125" xr:uid="{B6C3898E-67DC-46B5-8C5C-9178CA3B4EF9}"/>
    <cellStyle name="Comma 4 2 3 2 7 3" xfId="10907" xr:uid="{EB0D0B28-00A3-4F63-963D-01965250E6D6}"/>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4031F5BF-C8D6-4A52-A7F4-8AF292CBEE9A}"/>
    <cellStyle name="Comma 4 2 3 2 9 3" xfId="11224" xr:uid="{5E711DC8-0CA8-4E9C-A836-0BF0CC85C6CA}"/>
    <cellStyle name="Comma 4 2 3 3" xfId="139" xr:uid="{00000000-0005-0000-0000-00008A080000}"/>
    <cellStyle name="Comma 4 2 3 3 10" xfId="8843" xr:uid="{2F7965C8-37BC-4B61-B131-75E9DBE8531F}"/>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72DABCBF-701B-4BA2-9EE3-03DC7280B277}"/>
    <cellStyle name="Comma 4 2 3 3 2 2 3" xfId="11402" xr:uid="{D2D08BFC-7929-4E9C-BAB3-B5D2E2045C46}"/>
    <cellStyle name="Comma 4 2 3 3 2 3" xfId="5025" xr:uid="{00000000-0005-0000-0000-00008E080000}"/>
    <cellStyle name="Comma 4 2 3 3 2 3 2" xfId="13475" xr:uid="{C941F43D-E9A8-40F9-BCDD-34A1FA9A8828}"/>
    <cellStyle name="Comma 4 2 3 3 2 4" xfId="9257" xr:uid="{74315CAA-8ACE-4918-B1DD-0CC0A594524A}"/>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2136314C-DBCF-4A9E-A57C-85678AAEAF72}"/>
    <cellStyle name="Comma 4 2 3 3 3 2 3" xfId="11815" xr:uid="{3AD30723-D241-49D7-9459-4905B1AC08A9}"/>
    <cellStyle name="Comma 4 2 3 3 3 3" xfId="5438" xr:uid="{00000000-0005-0000-0000-000092080000}"/>
    <cellStyle name="Comma 4 2 3 3 3 3 2" xfId="13888" xr:uid="{BDDE515D-8C9E-4876-BCEC-3B774CF3DAD5}"/>
    <cellStyle name="Comma 4 2 3 3 3 4" xfId="9670" xr:uid="{116008B9-16B5-4376-A635-AB29B0AAF06F}"/>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8CF1F320-29E7-49D9-BE63-E09E335D8A9F}"/>
    <cellStyle name="Comma 4 2 3 3 4 2 3" xfId="12228" xr:uid="{31F56DE8-B33F-44BC-8421-236CB49A7BDE}"/>
    <cellStyle name="Comma 4 2 3 3 4 3" xfId="5851" xr:uid="{00000000-0005-0000-0000-000096080000}"/>
    <cellStyle name="Comma 4 2 3 3 4 3 2" xfId="14301" xr:uid="{EE4473BB-EF1C-4278-A4A4-B45A8796CA5E}"/>
    <cellStyle name="Comma 4 2 3 3 4 4" xfId="10083" xr:uid="{F6079CC5-47FE-4E44-ACBE-61E61C39E135}"/>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5A1D4CDC-B116-4C44-B21C-63CC5D39873C}"/>
    <cellStyle name="Comma 4 2 3 3 5 2 3" xfId="12641" xr:uid="{3B919AEE-BB90-44E7-8AA5-9B2CCAD1E99D}"/>
    <cellStyle name="Comma 4 2 3 3 5 3" xfId="6264" xr:uid="{00000000-0005-0000-0000-00009A080000}"/>
    <cellStyle name="Comma 4 2 3 3 5 3 2" xfId="14714" xr:uid="{B9BFE723-5D14-48A8-BE73-86B093F51622}"/>
    <cellStyle name="Comma 4 2 3 3 5 4" xfId="10496" xr:uid="{A4B22474-B08B-4CD9-8526-2A1D7E5EC7DC}"/>
    <cellStyle name="Comma 4 2 3 3 6" xfId="2393" xr:uid="{00000000-0005-0000-0000-00009B080000}"/>
    <cellStyle name="Comma 4 2 3 3 6 2" xfId="6677" xr:uid="{00000000-0005-0000-0000-00009C080000}"/>
    <cellStyle name="Comma 4 2 3 3 6 2 2" xfId="15127" xr:uid="{FFFD1355-4159-42A0-B231-34B97A2B646C}"/>
    <cellStyle name="Comma 4 2 3 3 6 3" xfId="10909" xr:uid="{421E090E-F7FD-4123-BD4C-329522087BC9}"/>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B4777F57-D011-4138-9A44-4B6983A73E62}"/>
    <cellStyle name="Comma 4 2 3 3 8 3" xfId="11226" xr:uid="{50B3B823-9DA5-4A4E-886B-76A3A587FA53}"/>
    <cellStyle name="Comma 4 2 3 3 9" xfId="4611" xr:uid="{00000000-0005-0000-0000-0000A0080000}"/>
    <cellStyle name="Comma 4 2 3 3 9 2" xfId="13061" xr:uid="{4BC52BCC-20F5-4822-90E4-D0425C63DF82}"/>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3AB5B5E4-B938-4C0B-92B1-2A1996875B75}"/>
    <cellStyle name="Comma 4 2 3 4 2 3" xfId="11399" xr:uid="{85A32D64-A2DF-4431-8BCE-B3852FDE2489}"/>
    <cellStyle name="Comma 4 2 3 4 3" xfId="5022" xr:uid="{00000000-0005-0000-0000-0000A4080000}"/>
    <cellStyle name="Comma 4 2 3 4 3 2" xfId="13472" xr:uid="{5D627D1A-70FE-40CF-B213-2EF886EA9573}"/>
    <cellStyle name="Comma 4 2 3 4 4" xfId="9254" xr:uid="{8608CE46-5726-4F99-9957-49786D5299F8}"/>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410633F5-A663-4B23-93C0-E9F617F58EFB}"/>
    <cellStyle name="Comma 4 2 3 5 2 3" xfId="11812" xr:uid="{309BDA98-BDCC-4716-9347-BB7ECC7CA6C7}"/>
    <cellStyle name="Comma 4 2 3 5 3" xfId="5435" xr:uid="{00000000-0005-0000-0000-0000A8080000}"/>
    <cellStyle name="Comma 4 2 3 5 3 2" xfId="13885" xr:uid="{62E5682F-3851-4524-91FB-1ABD35113DF5}"/>
    <cellStyle name="Comma 4 2 3 5 4" xfId="9667" xr:uid="{8A245C4A-9674-46E6-9EB1-9BD348876036}"/>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F74B1D83-0899-4D60-8095-F22D62A07400}"/>
    <cellStyle name="Comma 4 2 3 6 2 3" xfId="12225" xr:uid="{C1223FC0-84C9-44A8-A263-FF7CDD576852}"/>
    <cellStyle name="Comma 4 2 3 6 3" xfId="5848" xr:uid="{00000000-0005-0000-0000-0000AC080000}"/>
    <cellStyle name="Comma 4 2 3 6 3 2" xfId="14298" xr:uid="{319B0670-F580-480C-AAD6-95501C7F75D2}"/>
    <cellStyle name="Comma 4 2 3 6 4" xfId="10080" xr:uid="{E79E1A2A-D437-40D8-AC36-42B3704D1FFD}"/>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A4D42754-07AA-42A1-AA53-81C04453FEBC}"/>
    <cellStyle name="Comma 4 2 3 7 2 3" xfId="12638" xr:uid="{C914607B-C0CE-413E-9AE3-C674E7E374D4}"/>
    <cellStyle name="Comma 4 2 3 7 3" xfId="6261" xr:uid="{00000000-0005-0000-0000-0000B0080000}"/>
    <cellStyle name="Comma 4 2 3 7 3 2" xfId="14711" xr:uid="{7172809F-84E3-4D95-8EA2-3303FE81A11D}"/>
    <cellStyle name="Comma 4 2 3 7 4" xfId="10493" xr:uid="{B0C0C4AB-707F-4436-8753-C85E12E2FCE2}"/>
    <cellStyle name="Comma 4 2 3 8" xfId="2390" xr:uid="{00000000-0005-0000-0000-0000B1080000}"/>
    <cellStyle name="Comma 4 2 3 8 2" xfId="6674" xr:uid="{00000000-0005-0000-0000-0000B2080000}"/>
    <cellStyle name="Comma 4 2 3 8 2 2" xfId="15124" xr:uid="{4031B7EE-5524-48A1-8E41-A389F29EFA75}"/>
    <cellStyle name="Comma 4 2 3 8 3" xfId="10906" xr:uid="{1D1D6718-1F21-499A-BF86-53D9833185C5}"/>
    <cellStyle name="Comma 4 2 3 9" xfId="2373" xr:uid="{00000000-0005-0000-0000-0000B3080000}"/>
    <cellStyle name="Comma 4 2 4" xfId="140" xr:uid="{00000000-0005-0000-0000-0000B4080000}"/>
    <cellStyle name="Comma 4 2 4 10" xfId="4612" xr:uid="{00000000-0005-0000-0000-0000B5080000}"/>
    <cellStyle name="Comma 4 2 4 10 2" xfId="13062" xr:uid="{7369C4DC-4DC0-46A4-8BF6-F29977F9F162}"/>
    <cellStyle name="Comma 4 2 4 11" xfId="8844" xr:uid="{AA122CA4-A222-43BA-B336-4344F17E64C7}"/>
    <cellStyle name="Comma 4 2 4 2" xfId="141" xr:uid="{00000000-0005-0000-0000-0000B6080000}"/>
    <cellStyle name="Comma 4 2 4 2 10" xfId="8845" xr:uid="{8C5B6054-D945-45D3-BDB8-2DB2097F5E88}"/>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94F391DD-146F-480F-87BE-C300E4695F63}"/>
    <cellStyle name="Comma 4 2 4 2 2 2 3" xfId="11404" xr:uid="{9386308B-582D-4925-B60F-69949FF4EF5A}"/>
    <cellStyle name="Comma 4 2 4 2 2 3" xfId="5027" xr:uid="{00000000-0005-0000-0000-0000BA080000}"/>
    <cellStyle name="Comma 4 2 4 2 2 3 2" xfId="13477" xr:uid="{95596647-E160-4228-902F-39F07A244D72}"/>
    <cellStyle name="Comma 4 2 4 2 2 4" xfId="9259" xr:uid="{A210CB64-90AA-431E-94D2-4BC575678A11}"/>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A0B17AD5-5D95-452F-B98B-B9AB565114ED}"/>
    <cellStyle name="Comma 4 2 4 2 3 2 3" xfId="11817" xr:uid="{D6BA8206-9099-4337-A5E7-07BE9C0A2881}"/>
    <cellStyle name="Comma 4 2 4 2 3 3" xfId="5440" xr:uid="{00000000-0005-0000-0000-0000BE080000}"/>
    <cellStyle name="Comma 4 2 4 2 3 3 2" xfId="13890" xr:uid="{157D8BEF-273B-4CBF-B90D-169B25FE50D0}"/>
    <cellStyle name="Comma 4 2 4 2 3 4" xfId="9672" xr:uid="{006A9602-4C6C-44C4-99A2-814B7150D1CC}"/>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6ADB56C3-B4A7-4339-873E-03CC48171355}"/>
    <cellStyle name="Comma 4 2 4 2 4 2 3" xfId="12230" xr:uid="{A95039B5-CF5F-4555-A1F0-E9524B1DA554}"/>
    <cellStyle name="Comma 4 2 4 2 4 3" xfId="5853" xr:uid="{00000000-0005-0000-0000-0000C2080000}"/>
    <cellStyle name="Comma 4 2 4 2 4 3 2" xfId="14303" xr:uid="{A44D9132-7895-4C72-9ACF-234F60989AC5}"/>
    <cellStyle name="Comma 4 2 4 2 4 4" xfId="10085" xr:uid="{D0928211-CF88-4A9C-B9A5-B51B463A8321}"/>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DF73C13E-335F-4D8D-9160-96F904DB0757}"/>
    <cellStyle name="Comma 4 2 4 2 5 2 3" xfId="12643" xr:uid="{FD50A77E-EDF3-4C74-B908-093F53631C71}"/>
    <cellStyle name="Comma 4 2 4 2 5 3" xfId="6266" xr:uid="{00000000-0005-0000-0000-0000C6080000}"/>
    <cellStyle name="Comma 4 2 4 2 5 3 2" xfId="14716" xr:uid="{8E028784-7D7F-45A5-9D80-A8DB1CBD0BBB}"/>
    <cellStyle name="Comma 4 2 4 2 5 4" xfId="10498" xr:uid="{4C18897E-F868-4A32-BB95-574690F92E34}"/>
    <cellStyle name="Comma 4 2 4 2 6" xfId="2395" xr:uid="{00000000-0005-0000-0000-0000C7080000}"/>
    <cellStyle name="Comma 4 2 4 2 6 2" xfId="6679" xr:uid="{00000000-0005-0000-0000-0000C8080000}"/>
    <cellStyle name="Comma 4 2 4 2 6 2 2" xfId="15129" xr:uid="{2D3D2D51-1A7C-4CA3-839C-553DCEABDD3F}"/>
    <cellStyle name="Comma 4 2 4 2 6 3" xfId="10911" xr:uid="{5645B0D1-FAED-4A5C-B0EE-009C21A4BDBE}"/>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1554DCE0-A411-4E81-B3B8-6B5F573E59D5}"/>
    <cellStyle name="Comma 4 2 4 2 8 3" xfId="11228" xr:uid="{EE2A2881-3242-4F7B-B32F-9BA28051B0EC}"/>
    <cellStyle name="Comma 4 2 4 2 9" xfId="4613" xr:uid="{00000000-0005-0000-0000-0000CC080000}"/>
    <cellStyle name="Comma 4 2 4 2 9 2" xfId="13063" xr:uid="{781D17EE-4DA5-49A6-BBFC-96FDDC8F8DC1}"/>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02B129BD-F776-4534-95B8-3BA239829E18}"/>
    <cellStyle name="Comma 4 2 4 3 2 3" xfId="11403" xr:uid="{F9D2EAED-CCFE-4344-9308-900138CAAF38}"/>
    <cellStyle name="Comma 4 2 4 3 3" xfId="5026" xr:uid="{00000000-0005-0000-0000-0000D0080000}"/>
    <cellStyle name="Comma 4 2 4 3 3 2" xfId="13476" xr:uid="{BEE60EA6-1EAB-417C-BA0C-E49B56432900}"/>
    <cellStyle name="Comma 4 2 4 3 4" xfId="9258" xr:uid="{352DDC16-8ABD-493C-9857-42A62A722316}"/>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27DC330C-8BB9-4C97-BA99-1F8557A67A65}"/>
    <cellStyle name="Comma 4 2 4 4 2 3" xfId="11816" xr:uid="{CC042B8A-9727-4FA0-879E-BBA322A7FA79}"/>
    <cellStyle name="Comma 4 2 4 4 3" xfId="5439" xr:uid="{00000000-0005-0000-0000-0000D4080000}"/>
    <cellStyle name="Comma 4 2 4 4 3 2" xfId="13889" xr:uid="{51C7438F-03A0-4C2D-A0C4-B348D7D426FB}"/>
    <cellStyle name="Comma 4 2 4 4 4" xfId="9671" xr:uid="{42D73852-22CD-4C6B-A10B-1C3DBE65FA97}"/>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5F52238D-EDA9-442A-9A2A-C969B033B99E}"/>
    <cellStyle name="Comma 4 2 4 5 2 3" xfId="12229" xr:uid="{CB8D638E-7054-4053-9586-3997F5D8C83D}"/>
    <cellStyle name="Comma 4 2 4 5 3" xfId="5852" xr:uid="{00000000-0005-0000-0000-0000D8080000}"/>
    <cellStyle name="Comma 4 2 4 5 3 2" xfId="14302" xr:uid="{5C2BEB1A-4FFC-45BD-9EFB-63AC1F2C5330}"/>
    <cellStyle name="Comma 4 2 4 5 4" xfId="10084" xr:uid="{5FB3282F-BE80-4347-8285-6CED0A48D15E}"/>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CA5C62A4-0A6D-42B5-9D19-AE3A5A94DFE5}"/>
    <cellStyle name="Comma 4 2 4 6 2 3" xfId="12642" xr:uid="{1F7E528E-1455-4710-AADA-62CCDE432089}"/>
    <cellStyle name="Comma 4 2 4 6 3" xfId="6265" xr:uid="{00000000-0005-0000-0000-0000DC080000}"/>
    <cellStyle name="Comma 4 2 4 6 3 2" xfId="14715" xr:uid="{C6C3B2C4-F551-4A27-9D2B-8D178D981742}"/>
    <cellStyle name="Comma 4 2 4 6 4" xfId="10497" xr:uid="{6FEE168F-9A0B-4972-B7DE-051FFA1479B6}"/>
    <cellStyle name="Comma 4 2 4 7" xfId="2394" xr:uid="{00000000-0005-0000-0000-0000DD080000}"/>
    <cellStyle name="Comma 4 2 4 7 2" xfId="6678" xr:uid="{00000000-0005-0000-0000-0000DE080000}"/>
    <cellStyle name="Comma 4 2 4 7 2 2" xfId="15128" xr:uid="{035801BC-922D-4F98-90A3-7AC053B88C8A}"/>
    <cellStyle name="Comma 4 2 4 7 3" xfId="10910" xr:uid="{8A1C8F59-1F04-4855-A6BF-0A52E216FC37}"/>
    <cellStyle name="Comma 4 2 4 8" xfId="2369" xr:uid="{00000000-0005-0000-0000-0000DF080000}"/>
    <cellStyle name="Comma 4 2 4 9" xfId="2772" xr:uid="{00000000-0005-0000-0000-0000E0080000}"/>
    <cellStyle name="Comma 4 2 4 9 2" xfId="6995" xr:uid="{00000000-0005-0000-0000-0000E1080000}"/>
    <cellStyle name="Comma 4 2 4 9 2 2" xfId="15445" xr:uid="{E6A76310-3452-4F39-890E-F532A0C38C3D}"/>
    <cellStyle name="Comma 4 2 4 9 3" xfId="11227" xr:uid="{581CFCB4-421F-45D3-82CA-82A9663A48EB}"/>
    <cellStyle name="Comma 4 2 5" xfId="142" xr:uid="{00000000-0005-0000-0000-0000E2080000}"/>
    <cellStyle name="Comma 4 2 5 10" xfId="8846" xr:uid="{3B7BB412-5F9C-4938-B1BE-DBEE5E55F737}"/>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0F76212E-2828-4E38-AE28-D3E9431E40B5}"/>
    <cellStyle name="Comma 4 2 5 2 2 3" xfId="11405" xr:uid="{5946D274-BF8D-49D4-A497-7BD783521F27}"/>
    <cellStyle name="Comma 4 2 5 2 3" xfId="5028" xr:uid="{00000000-0005-0000-0000-0000E6080000}"/>
    <cellStyle name="Comma 4 2 5 2 3 2" xfId="13478" xr:uid="{E8CDEA38-08C4-491E-9246-BD5A5E9B70BB}"/>
    <cellStyle name="Comma 4 2 5 2 4" xfId="9260" xr:uid="{E27206E1-FEFA-4B07-8DA1-EDBD15988D23}"/>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843AF793-97A0-4EA6-B616-C3AD05AA9AF2}"/>
    <cellStyle name="Comma 4 2 5 3 2 3" xfId="11818" xr:uid="{874613D7-F160-4225-AFE3-249882B99496}"/>
    <cellStyle name="Comma 4 2 5 3 3" xfId="5441" xr:uid="{00000000-0005-0000-0000-0000EA080000}"/>
    <cellStyle name="Comma 4 2 5 3 3 2" xfId="13891" xr:uid="{80729830-C486-4F2E-B3E8-15BDE8B573C3}"/>
    <cellStyle name="Comma 4 2 5 3 4" xfId="9673" xr:uid="{5FAAF3E2-6621-443D-A5F5-A9AB87EB6E06}"/>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48DCC1F1-E6A3-4509-9BCB-F68F75DA4877}"/>
    <cellStyle name="Comma 4 2 5 4 2 3" xfId="12231" xr:uid="{59DD55D5-D979-4D3A-979F-C3936FE357B0}"/>
    <cellStyle name="Comma 4 2 5 4 3" xfId="5854" xr:uid="{00000000-0005-0000-0000-0000EE080000}"/>
    <cellStyle name="Comma 4 2 5 4 3 2" xfId="14304" xr:uid="{E94DFE06-3865-4CE2-8C01-472CC5AC4EBF}"/>
    <cellStyle name="Comma 4 2 5 4 4" xfId="10086" xr:uid="{4F623C73-EBC5-4B3F-BC3A-0DD69FE61AD2}"/>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D580FED1-F5FB-4437-879C-2CDC6700E792}"/>
    <cellStyle name="Comma 4 2 5 5 2 3" xfId="12644" xr:uid="{B8646F3B-C8E6-42D4-885C-03BF8F7EBCE1}"/>
    <cellStyle name="Comma 4 2 5 5 3" xfId="6267" xr:uid="{00000000-0005-0000-0000-0000F2080000}"/>
    <cellStyle name="Comma 4 2 5 5 3 2" xfId="14717" xr:uid="{E0D9DF39-5283-4C68-BAE2-BC962F85D512}"/>
    <cellStyle name="Comma 4 2 5 5 4" xfId="10499" xr:uid="{F60463FC-F773-41AD-AA6C-517FC04320B9}"/>
    <cellStyle name="Comma 4 2 5 6" xfId="2396" xr:uid="{00000000-0005-0000-0000-0000F3080000}"/>
    <cellStyle name="Comma 4 2 5 6 2" xfId="6680" xr:uid="{00000000-0005-0000-0000-0000F4080000}"/>
    <cellStyle name="Comma 4 2 5 6 2 2" xfId="15130" xr:uid="{FD27E5D3-6202-4AA2-95BE-B7D31E1B7DA2}"/>
    <cellStyle name="Comma 4 2 5 6 3" xfId="10912" xr:uid="{6CFE3EF6-AFE8-46A4-A378-AED357447C3C}"/>
    <cellStyle name="Comma 4 2 5 7" xfId="2367" xr:uid="{00000000-0005-0000-0000-0000F5080000}"/>
    <cellStyle name="Comma 4 2 5 8" xfId="2774" xr:uid="{00000000-0005-0000-0000-0000F6080000}"/>
    <cellStyle name="Comma 4 2 5 8 2" xfId="6997" xr:uid="{00000000-0005-0000-0000-0000F7080000}"/>
    <cellStyle name="Comma 4 2 5 8 2 2" xfId="15447" xr:uid="{B44EC2AD-8794-454C-B00D-AEFDDD4CFA0B}"/>
    <cellStyle name="Comma 4 2 5 8 3" xfId="11229" xr:uid="{7D482588-58E7-4FFF-B20B-2C4E4BEAC65F}"/>
    <cellStyle name="Comma 4 2 5 9" xfId="4614" xr:uid="{00000000-0005-0000-0000-0000F8080000}"/>
    <cellStyle name="Comma 4 2 5 9 2" xfId="13064" xr:uid="{2ECC47E4-3076-457B-B832-A18326A9A1FB}"/>
    <cellStyle name="Comma 4 2 6" xfId="143" xr:uid="{00000000-0005-0000-0000-0000F9080000}"/>
    <cellStyle name="Comma 4 2 6 10" xfId="8847" xr:uid="{EA3891D7-7E90-498D-B593-483F4EC1B551}"/>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59232B5B-BF12-491B-9F8D-B68D1A76E9D9}"/>
    <cellStyle name="Comma 4 2 6 2 2 3" xfId="11406" xr:uid="{B441DD37-8085-4C5E-AAE7-FDCDA4707766}"/>
    <cellStyle name="Comma 4 2 6 2 3" xfId="5029" xr:uid="{00000000-0005-0000-0000-0000FD080000}"/>
    <cellStyle name="Comma 4 2 6 2 3 2" xfId="13479" xr:uid="{7DE98A83-B7C8-4AFF-B668-47EA6F9D374A}"/>
    <cellStyle name="Comma 4 2 6 2 4" xfId="9261" xr:uid="{B26077E8-BDFA-49A5-9740-74DA1E245CC7}"/>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1AAC62CF-E6A2-4046-8757-DDB8F240E296}"/>
    <cellStyle name="Comma 4 2 6 3 2 3" xfId="11819" xr:uid="{D9040EFF-6646-4A49-81FA-A71E44276D65}"/>
    <cellStyle name="Comma 4 2 6 3 3" xfId="5442" xr:uid="{00000000-0005-0000-0000-000001090000}"/>
    <cellStyle name="Comma 4 2 6 3 3 2" xfId="13892" xr:uid="{8D75EB38-AAC1-48D3-8FCE-5CCEEF6AFA6F}"/>
    <cellStyle name="Comma 4 2 6 3 4" xfId="9674" xr:uid="{47FF44E8-A3D4-4817-9FFA-695593C5AACA}"/>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D6ABCEB2-3151-4407-ADF0-45273BFC5395}"/>
    <cellStyle name="Comma 4 2 6 4 2 3" xfId="12232" xr:uid="{19601D85-BF98-48D9-A813-3CF26D0A4C3A}"/>
    <cellStyle name="Comma 4 2 6 4 3" xfId="5855" xr:uid="{00000000-0005-0000-0000-000005090000}"/>
    <cellStyle name="Comma 4 2 6 4 3 2" xfId="14305" xr:uid="{1264209C-1566-466A-960D-D4E72235FF9F}"/>
    <cellStyle name="Comma 4 2 6 4 4" xfId="10087" xr:uid="{2B99F114-ACC7-4BA5-BB6C-6F101563C95E}"/>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204CAC69-B905-4857-ACE4-20FBBD8A630B}"/>
    <cellStyle name="Comma 4 2 6 5 2 3" xfId="12645" xr:uid="{2C3E3CF0-B68A-43DC-B1F4-D87FC0268023}"/>
    <cellStyle name="Comma 4 2 6 5 3" xfId="6268" xr:uid="{00000000-0005-0000-0000-000009090000}"/>
    <cellStyle name="Comma 4 2 6 5 3 2" xfId="14718" xr:uid="{4AD7C1C2-C6C7-48AF-AB8B-0547C722B674}"/>
    <cellStyle name="Comma 4 2 6 5 4" xfId="10500" xr:uid="{41591B6B-109B-447F-894C-FC7DEA4A9653}"/>
    <cellStyle name="Comma 4 2 6 6" xfId="2397" xr:uid="{00000000-0005-0000-0000-00000A090000}"/>
    <cellStyle name="Comma 4 2 6 6 2" xfId="6681" xr:uid="{00000000-0005-0000-0000-00000B090000}"/>
    <cellStyle name="Comma 4 2 6 6 2 2" xfId="15131" xr:uid="{6D0DE0D9-4426-4AA1-9A0B-10BDD6AF140B}"/>
    <cellStyle name="Comma 4 2 6 6 3" xfId="10913" xr:uid="{A0301C2C-8D71-4AA3-99F5-F1D1AC0A7A0A}"/>
    <cellStyle name="Comma 4 2 6 7" xfId="2366" xr:uid="{00000000-0005-0000-0000-00000C090000}"/>
    <cellStyle name="Comma 4 2 6 8" xfId="2775" xr:uid="{00000000-0005-0000-0000-00000D090000}"/>
    <cellStyle name="Comma 4 2 6 8 2" xfId="6998" xr:uid="{00000000-0005-0000-0000-00000E090000}"/>
    <cellStyle name="Comma 4 2 6 8 2 2" xfId="15448" xr:uid="{08F1749E-57E3-4ACF-B85A-66936F9ABC58}"/>
    <cellStyle name="Comma 4 2 6 8 3" xfId="11230" xr:uid="{796BB220-581B-4704-B524-AB9C416733AC}"/>
    <cellStyle name="Comma 4 2 6 9" xfId="4615" xr:uid="{00000000-0005-0000-0000-00000F090000}"/>
    <cellStyle name="Comma 4 2 6 9 2" xfId="13065" xr:uid="{B5D3DB53-44DD-4E4E-B06C-95D11068709F}"/>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77D7280C-CEA6-470D-9A68-CEF76B473417}"/>
    <cellStyle name="Comma 4 3 2 10 3" xfId="11231" xr:uid="{97CC3061-0899-4BEC-A3B6-B8A4B119DB15}"/>
    <cellStyle name="Comma 4 3 2 11" xfId="4616" xr:uid="{00000000-0005-0000-0000-000014090000}"/>
    <cellStyle name="Comma 4 3 2 11 2" xfId="13066" xr:uid="{BACF9C76-F660-4720-A6F6-ACA7D74C4169}"/>
    <cellStyle name="Comma 4 3 2 12" xfId="8848" xr:uid="{6710B432-D731-4364-9D8E-F9A0F1D58FB9}"/>
    <cellStyle name="Comma 4 3 2 2" xfId="146" xr:uid="{00000000-0005-0000-0000-000015090000}"/>
    <cellStyle name="Comma 4 3 2 2 10" xfId="4617" xr:uid="{00000000-0005-0000-0000-000016090000}"/>
    <cellStyle name="Comma 4 3 2 2 10 2" xfId="13067" xr:uid="{4C450BA2-195E-48CB-8F8C-E1288E98A1AA}"/>
    <cellStyle name="Comma 4 3 2 2 11" xfId="8849" xr:uid="{D8B7B372-5F68-4DAE-8ED1-14BC11F9D601}"/>
    <cellStyle name="Comma 4 3 2 2 2" xfId="147" xr:uid="{00000000-0005-0000-0000-000017090000}"/>
    <cellStyle name="Comma 4 3 2 2 2 10" xfId="8850" xr:uid="{6C19BF7D-8FDE-4009-AD28-397D61CFF234}"/>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DDCEB741-52BD-49AC-8FF9-67CE50F7C651}"/>
    <cellStyle name="Comma 4 3 2 2 2 2 2 3" xfId="11409" xr:uid="{89ABFDA2-05FD-45EE-8D5F-38E459F1F7D8}"/>
    <cellStyle name="Comma 4 3 2 2 2 2 3" xfId="5032" xr:uid="{00000000-0005-0000-0000-00001B090000}"/>
    <cellStyle name="Comma 4 3 2 2 2 2 3 2" xfId="13482" xr:uid="{1686F882-FBD8-4950-9871-289CA6115A1B}"/>
    <cellStyle name="Comma 4 3 2 2 2 2 4" xfId="9264" xr:uid="{1F98F464-B7B2-4052-8B87-5B14C7D75EF6}"/>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B247C85E-BD98-4D6B-8A80-332055770500}"/>
    <cellStyle name="Comma 4 3 2 2 2 3 2 3" xfId="11822" xr:uid="{8B2E8FD2-8E24-48E4-B13E-2E644F6E1D3B}"/>
    <cellStyle name="Comma 4 3 2 2 2 3 3" xfId="5445" xr:uid="{00000000-0005-0000-0000-00001F090000}"/>
    <cellStyle name="Comma 4 3 2 2 2 3 3 2" xfId="13895" xr:uid="{F3EE64B8-2B83-4505-A45A-A3B13B06D913}"/>
    <cellStyle name="Comma 4 3 2 2 2 3 4" xfId="9677" xr:uid="{D94088CD-63B8-4D2E-B5CF-CAB5BED6B17A}"/>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00EAC66F-1911-44A3-AF7D-D263F3C37B60}"/>
    <cellStyle name="Comma 4 3 2 2 2 4 2 3" xfId="12235" xr:uid="{A4009EDA-EFD7-45CA-8FCB-5E112A57F64C}"/>
    <cellStyle name="Comma 4 3 2 2 2 4 3" xfId="5858" xr:uid="{00000000-0005-0000-0000-000023090000}"/>
    <cellStyle name="Comma 4 3 2 2 2 4 3 2" xfId="14308" xr:uid="{DBDC47C6-3728-48BE-A677-3A7CBF92EF20}"/>
    <cellStyle name="Comma 4 3 2 2 2 4 4" xfId="10090" xr:uid="{155AC4DA-152A-4901-A3EF-B6291CD33613}"/>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70C1365B-14EB-4291-ACE5-7C1622F958B6}"/>
    <cellStyle name="Comma 4 3 2 2 2 5 2 3" xfId="12648" xr:uid="{6F4F4BD5-B191-4C9A-B221-B04D67BD60BB}"/>
    <cellStyle name="Comma 4 3 2 2 2 5 3" xfId="6271" xr:uid="{00000000-0005-0000-0000-000027090000}"/>
    <cellStyle name="Comma 4 3 2 2 2 5 3 2" xfId="14721" xr:uid="{9BD6BF81-8914-4A02-866F-4E180D7D97F7}"/>
    <cellStyle name="Comma 4 3 2 2 2 5 4" xfId="10503" xr:uid="{583480B5-9D47-4685-9A1C-BB7890A4D46C}"/>
    <cellStyle name="Comma 4 3 2 2 2 6" xfId="2400" xr:uid="{00000000-0005-0000-0000-000028090000}"/>
    <cellStyle name="Comma 4 3 2 2 2 6 2" xfId="6684" xr:uid="{00000000-0005-0000-0000-000029090000}"/>
    <cellStyle name="Comma 4 3 2 2 2 6 2 2" xfId="15134" xr:uid="{616AF714-754F-4A1D-A44F-D0253BBAFCA0}"/>
    <cellStyle name="Comma 4 3 2 2 2 6 3" xfId="10916" xr:uid="{D57FFAD7-D7F0-4AE1-8773-DD52CFDD9863}"/>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83FDC2FC-BAFF-46F1-AEBB-D742C60EB936}"/>
    <cellStyle name="Comma 4 3 2 2 2 8 3" xfId="11233" xr:uid="{B124AAF1-2FBC-46EC-BB43-CA156C31145D}"/>
    <cellStyle name="Comma 4 3 2 2 2 9" xfId="4618" xr:uid="{00000000-0005-0000-0000-00002D090000}"/>
    <cellStyle name="Comma 4 3 2 2 2 9 2" xfId="13068" xr:uid="{D8E8E7CC-AF40-49ED-8EC0-DF419A3AEF85}"/>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D1ED196B-B838-42A1-9321-A82475C330A0}"/>
    <cellStyle name="Comma 4 3 2 2 3 2 3" xfId="11408" xr:uid="{38479C93-6FE1-4C6C-9948-7951994AE61E}"/>
    <cellStyle name="Comma 4 3 2 2 3 3" xfId="5031" xr:uid="{00000000-0005-0000-0000-000031090000}"/>
    <cellStyle name="Comma 4 3 2 2 3 3 2" xfId="13481" xr:uid="{C8FC3A49-C0AB-44BE-BB75-985AC766D293}"/>
    <cellStyle name="Comma 4 3 2 2 3 4" xfId="9263" xr:uid="{F95950DA-04F3-4595-A0C2-95E0131F6F0A}"/>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7D5687C3-B0F1-4999-92D4-8F486487C9DC}"/>
    <cellStyle name="Comma 4 3 2 2 4 2 3" xfId="11821" xr:uid="{EAD578AA-1879-403C-8285-0E46E1C0D7BC}"/>
    <cellStyle name="Comma 4 3 2 2 4 3" xfId="5444" xr:uid="{00000000-0005-0000-0000-000035090000}"/>
    <cellStyle name="Comma 4 3 2 2 4 3 2" xfId="13894" xr:uid="{525E4313-91A0-4D89-A106-2202877204FC}"/>
    <cellStyle name="Comma 4 3 2 2 4 4" xfId="9676" xr:uid="{F9D3E079-D12D-4A2E-BF6B-057F064F9B73}"/>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FC799A2D-9583-4573-A85C-7A40409A7EEE}"/>
    <cellStyle name="Comma 4 3 2 2 5 2 3" xfId="12234" xr:uid="{43293111-E143-4E53-9BCC-BD77FEDFDE33}"/>
    <cellStyle name="Comma 4 3 2 2 5 3" xfId="5857" xr:uid="{00000000-0005-0000-0000-000039090000}"/>
    <cellStyle name="Comma 4 3 2 2 5 3 2" xfId="14307" xr:uid="{2527B8B2-33FE-4A8D-AB07-0A070B9A6640}"/>
    <cellStyle name="Comma 4 3 2 2 5 4" xfId="10089" xr:uid="{CD746A7F-63D0-4364-8FD3-BF84785F9C87}"/>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67BA9C04-7F50-4AE2-B642-EC93DD4C8891}"/>
    <cellStyle name="Comma 4 3 2 2 6 2 3" xfId="12647" xr:uid="{34C9D032-C0FD-49E8-8DBF-1C8FBD8F9C4F}"/>
    <cellStyle name="Comma 4 3 2 2 6 3" xfId="6270" xr:uid="{00000000-0005-0000-0000-00003D090000}"/>
    <cellStyle name="Comma 4 3 2 2 6 3 2" xfId="14720" xr:uid="{3483D665-264C-4B4C-8253-BA6A149E4BC6}"/>
    <cellStyle name="Comma 4 3 2 2 6 4" xfId="10502" xr:uid="{2925B796-840C-471E-8AD6-92ACD9F0CFA1}"/>
    <cellStyle name="Comma 4 3 2 2 7" xfId="2399" xr:uid="{00000000-0005-0000-0000-00003E090000}"/>
    <cellStyle name="Comma 4 3 2 2 7 2" xfId="6683" xr:uid="{00000000-0005-0000-0000-00003F090000}"/>
    <cellStyle name="Comma 4 3 2 2 7 2 2" xfId="15133" xr:uid="{350E8B5C-7086-4500-BA01-C4ABCBAF5A21}"/>
    <cellStyle name="Comma 4 3 2 2 7 3" xfId="10915" xr:uid="{D92815B2-FCC2-4E70-AF5B-8F3A15BFEDE8}"/>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1BA711CC-65F2-464C-919B-4186F0F69EF8}"/>
    <cellStyle name="Comma 4 3 2 2 9 3" xfId="11232" xr:uid="{3AE90941-DDAE-4E44-A6E7-871062909456}"/>
    <cellStyle name="Comma 4 3 2 3" xfId="148" xr:uid="{00000000-0005-0000-0000-000043090000}"/>
    <cellStyle name="Comma 4 3 2 3 10" xfId="8851" xr:uid="{1E7DE0C6-C927-4754-8C5A-B8C9868DF0D4}"/>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A8174081-DCA1-4E8F-BBB2-330EB503E86C}"/>
    <cellStyle name="Comma 4 3 2 3 2 2 3" xfId="11410" xr:uid="{1C090C04-FAB3-43E0-A68E-D85BD1A360BB}"/>
    <cellStyle name="Comma 4 3 2 3 2 3" xfId="5033" xr:uid="{00000000-0005-0000-0000-000047090000}"/>
    <cellStyle name="Comma 4 3 2 3 2 3 2" xfId="13483" xr:uid="{6A85751F-F1F6-433A-A617-C53195E31EBA}"/>
    <cellStyle name="Comma 4 3 2 3 2 4" xfId="9265" xr:uid="{3F987FA7-71FE-48CC-94B0-E8C35A39023A}"/>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FE67FA45-E0C5-4E58-9A07-80438C046D15}"/>
    <cellStyle name="Comma 4 3 2 3 3 2 3" xfId="11823" xr:uid="{C0214F0C-4A26-4FE1-B200-04D043AF2FC6}"/>
    <cellStyle name="Comma 4 3 2 3 3 3" xfId="5446" xr:uid="{00000000-0005-0000-0000-00004B090000}"/>
    <cellStyle name="Comma 4 3 2 3 3 3 2" xfId="13896" xr:uid="{A7793907-455E-4586-93CD-BD6EE66B39F7}"/>
    <cellStyle name="Comma 4 3 2 3 3 4" xfId="9678" xr:uid="{DA0B9CE7-F277-417A-8430-7A60A4A1FA45}"/>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6FEE92D5-672B-4505-BA13-B530837C2B1E}"/>
    <cellStyle name="Comma 4 3 2 3 4 2 3" xfId="12236" xr:uid="{2C948519-2BB5-4842-B3E3-809C570449E5}"/>
    <cellStyle name="Comma 4 3 2 3 4 3" xfId="5859" xr:uid="{00000000-0005-0000-0000-00004F090000}"/>
    <cellStyle name="Comma 4 3 2 3 4 3 2" xfId="14309" xr:uid="{C4D379E5-762B-4DD2-922E-60C7E2D51A76}"/>
    <cellStyle name="Comma 4 3 2 3 4 4" xfId="10091" xr:uid="{FBDCF50F-D530-4BFA-A9D7-EBB34F3A3F66}"/>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FC037FDC-2319-4949-AECC-C29CC2A7DB60}"/>
    <cellStyle name="Comma 4 3 2 3 5 2 3" xfId="12649" xr:uid="{1A052322-8CB6-4FE6-8BAE-71A7FF6E97D6}"/>
    <cellStyle name="Comma 4 3 2 3 5 3" xfId="6272" xr:uid="{00000000-0005-0000-0000-000053090000}"/>
    <cellStyle name="Comma 4 3 2 3 5 3 2" xfId="14722" xr:uid="{97742652-7561-48C5-B5FF-A83C5BF975D5}"/>
    <cellStyle name="Comma 4 3 2 3 5 4" xfId="10504" xr:uid="{0F55DD6A-2E3C-4021-9EC7-B9D694E45104}"/>
    <cellStyle name="Comma 4 3 2 3 6" xfId="2401" xr:uid="{00000000-0005-0000-0000-000054090000}"/>
    <cellStyle name="Comma 4 3 2 3 6 2" xfId="6685" xr:uid="{00000000-0005-0000-0000-000055090000}"/>
    <cellStyle name="Comma 4 3 2 3 6 2 2" xfId="15135" xr:uid="{2158D1D1-0E91-4048-A520-B5A092BD0E02}"/>
    <cellStyle name="Comma 4 3 2 3 6 3" xfId="10917" xr:uid="{7F29DA37-E07A-42DF-8411-B4231D024511}"/>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CF5FD9E9-D663-436E-800E-17AFBB39A2A7}"/>
    <cellStyle name="Comma 4 3 2 3 8 3" xfId="11234" xr:uid="{8FD5A3B4-C95B-431F-B37C-19F3605808D8}"/>
    <cellStyle name="Comma 4 3 2 3 9" xfId="4619" xr:uid="{00000000-0005-0000-0000-000059090000}"/>
    <cellStyle name="Comma 4 3 2 3 9 2" xfId="13069" xr:uid="{2337B835-9BA6-48EB-8933-154AD7F7519A}"/>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E48FE568-026A-495E-86A5-F8DD18A57B72}"/>
    <cellStyle name="Comma 4 3 2 4 2 3" xfId="11407" xr:uid="{BECAAFBD-042C-4384-AFEC-0DF9F8A25B9A}"/>
    <cellStyle name="Comma 4 3 2 4 3" xfId="5030" xr:uid="{00000000-0005-0000-0000-00005D090000}"/>
    <cellStyle name="Comma 4 3 2 4 3 2" xfId="13480" xr:uid="{EB6AD8A3-EE73-43DB-A2B9-1B1DFE093362}"/>
    <cellStyle name="Comma 4 3 2 4 4" xfId="9262" xr:uid="{22FBDDED-1E85-41A4-A602-8DB561F4A4AA}"/>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E4D40F08-349F-4A8A-BA75-7CDC9005045D}"/>
    <cellStyle name="Comma 4 3 2 5 2 3" xfId="11820" xr:uid="{2E6E0EAD-0809-4C5E-AEA5-444151889B51}"/>
    <cellStyle name="Comma 4 3 2 5 3" xfId="5443" xr:uid="{00000000-0005-0000-0000-000061090000}"/>
    <cellStyle name="Comma 4 3 2 5 3 2" xfId="13893" xr:uid="{6AAA9A4B-307B-4D12-830B-E6D23FE9E6D7}"/>
    <cellStyle name="Comma 4 3 2 5 4" xfId="9675" xr:uid="{FA296720-3DC4-41A2-9151-5268DE83EAFB}"/>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E81ED9B8-43C6-442D-BA7F-EA83824FCD49}"/>
    <cellStyle name="Comma 4 3 2 6 2 3" xfId="12233" xr:uid="{9D5295A4-B2B0-4002-B352-2D3C3B0DC453}"/>
    <cellStyle name="Comma 4 3 2 6 3" xfId="5856" xr:uid="{00000000-0005-0000-0000-000065090000}"/>
    <cellStyle name="Comma 4 3 2 6 3 2" xfId="14306" xr:uid="{AF2E53D8-AA8D-4F58-AFA8-C2D83EFC6BDB}"/>
    <cellStyle name="Comma 4 3 2 6 4" xfId="10088" xr:uid="{8DB120F8-7E3A-4923-982D-98EC042BB33A}"/>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6A7810AE-CFE9-41A6-98A7-A75245C6BD29}"/>
    <cellStyle name="Comma 4 3 2 7 2 3" xfId="12646" xr:uid="{A7F6EE84-AB7D-458C-BD2A-D5C135243E4A}"/>
    <cellStyle name="Comma 4 3 2 7 3" xfId="6269" xr:uid="{00000000-0005-0000-0000-000069090000}"/>
    <cellStyle name="Comma 4 3 2 7 3 2" xfId="14719" xr:uid="{45831DB7-53C0-4B5B-8712-376D343EE5A3}"/>
    <cellStyle name="Comma 4 3 2 7 4" xfId="10501" xr:uid="{2ECBDFD7-DB33-43D7-9EE3-8BD308CE694C}"/>
    <cellStyle name="Comma 4 3 2 8" xfId="2398" xr:uid="{00000000-0005-0000-0000-00006A090000}"/>
    <cellStyle name="Comma 4 3 2 8 2" xfId="6682" xr:uid="{00000000-0005-0000-0000-00006B090000}"/>
    <cellStyle name="Comma 4 3 2 8 2 2" xfId="15132" xr:uid="{842B17B2-2528-419F-A6E4-257A1D5E18F2}"/>
    <cellStyle name="Comma 4 3 2 8 3" xfId="10914" xr:uid="{26061A06-BCD1-42DD-B31F-8B1549F6A09B}"/>
    <cellStyle name="Comma 4 3 2 9" xfId="2365" xr:uid="{00000000-0005-0000-0000-00006C090000}"/>
    <cellStyle name="Comma 4 3 3" xfId="149" xr:uid="{00000000-0005-0000-0000-00006D090000}"/>
    <cellStyle name="Comma 4 3 3 10" xfId="4620" xr:uid="{00000000-0005-0000-0000-00006E090000}"/>
    <cellStyle name="Comma 4 3 3 10 2" xfId="13070" xr:uid="{E47CC6B7-800E-4F26-A016-E144FBA1F5F9}"/>
    <cellStyle name="Comma 4 3 3 11" xfId="8852" xr:uid="{F97F33DF-EE28-422F-BEE5-E1BD50143F99}"/>
    <cellStyle name="Comma 4 3 3 2" xfId="150" xr:uid="{00000000-0005-0000-0000-00006F090000}"/>
    <cellStyle name="Comma 4 3 3 2 10" xfId="8853" xr:uid="{2BFFDCC0-B77A-4801-B251-95154B6F4D28}"/>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44822B02-9E2C-4087-91CE-8FCD2B13ECAB}"/>
    <cellStyle name="Comma 4 3 3 2 2 2 3" xfId="11412" xr:uid="{C1F1E5F2-8152-4D23-9088-E0B7CF1C6A69}"/>
    <cellStyle name="Comma 4 3 3 2 2 3" xfId="5035" xr:uid="{00000000-0005-0000-0000-000073090000}"/>
    <cellStyle name="Comma 4 3 3 2 2 3 2" xfId="13485" xr:uid="{82D562CA-166B-4E75-B43F-AA8FDCD4B42D}"/>
    <cellStyle name="Comma 4 3 3 2 2 4" xfId="9267" xr:uid="{0ABBF701-C07A-4FC2-A9F3-ED15554F858A}"/>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2AFF0AE6-390F-469D-B01C-408CC00513A8}"/>
    <cellStyle name="Comma 4 3 3 2 3 2 3" xfId="11825" xr:uid="{39666E97-B683-40E2-A14A-9135A2F29638}"/>
    <cellStyle name="Comma 4 3 3 2 3 3" xfId="5448" xr:uid="{00000000-0005-0000-0000-000077090000}"/>
    <cellStyle name="Comma 4 3 3 2 3 3 2" xfId="13898" xr:uid="{EDD8C21A-2A39-4E1F-9D1B-F7716F75E92F}"/>
    <cellStyle name="Comma 4 3 3 2 3 4" xfId="9680" xr:uid="{D2320B3D-3624-48DD-8A12-183B50DC3CCD}"/>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E6F85485-3F62-4A4C-AE89-6F044509A840}"/>
    <cellStyle name="Comma 4 3 3 2 4 2 3" xfId="12238" xr:uid="{E5B327FC-C63D-4F46-9F34-167B7120387B}"/>
    <cellStyle name="Comma 4 3 3 2 4 3" xfId="5861" xr:uid="{00000000-0005-0000-0000-00007B090000}"/>
    <cellStyle name="Comma 4 3 3 2 4 3 2" xfId="14311" xr:uid="{0AEADF8C-E927-47EC-ABB5-23206260341E}"/>
    <cellStyle name="Comma 4 3 3 2 4 4" xfId="10093" xr:uid="{C815E442-354F-4769-98FF-CF0A2BC1A7AB}"/>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5A5BA42C-D854-4E40-B4D1-36E0841051E8}"/>
    <cellStyle name="Comma 4 3 3 2 5 2 3" xfId="12651" xr:uid="{D23E41D6-3C85-4E0A-88B2-0F09BB9B17E1}"/>
    <cellStyle name="Comma 4 3 3 2 5 3" xfId="6274" xr:uid="{00000000-0005-0000-0000-00007F090000}"/>
    <cellStyle name="Comma 4 3 3 2 5 3 2" xfId="14724" xr:uid="{C5DBF267-0B7A-4FEE-93B3-1630F9F7B61E}"/>
    <cellStyle name="Comma 4 3 3 2 5 4" xfId="10506" xr:uid="{26E641F7-F5A2-4BB8-9985-94D9BE108527}"/>
    <cellStyle name="Comma 4 3 3 2 6" xfId="2403" xr:uid="{00000000-0005-0000-0000-000080090000}"/>
    <cellStyle name="Comma 4 3 3 2 6 2" xfId="6687" xr:uid="{00000000-0005-0000-0000-000081090000}"/>
    <cellStyle name="Comma 4 3 3 2 6 2 2" xfId="15137" xr:uid="{9469B7B3-965A-4A21-A97C-E62F3875D800}"/>
    <cellStyle name="Comma 4 3 3 2 6 3" xfId="10919" xr:uid="{90A07E13-5145-43A7-A65B-0AE29123BE6C}"/>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057138EC-60DC-4BB0-B2D5-527B95BAC26C}"/>
    <cellStyle name="Comma 4 3 3 2 8 3" xfId="11236" xr:uid="{6E4E90CD-10A6-4080-90E0-59C2A90400A6}"/>
    <cellStyle name="Comma 4 3 3 2 9" xfId="4621" xr:uid="{00000000-0005-0000-0000-000085090000}"/>
    <cellStyle name="Comma 4 3 3 2 9 2" xfId="13071" xr:uid="{CC6217D7-0B82-4364-A8DA-E4B900469C7E}"/>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16E74C44-A61A-4C2D-8742-8B38E4C1B2E5}"/>
    <cellStyle name="Comma 4 3 3 3 2 3" xfId="11411" xr:uid="{3C0C5373-64FD-4A6A-9E27-68888FFC340C}"/>
    <cellStyle name="Comma 4 3 3 3 3" xfId="5034" xr:uid="{00000000-0005-0000-0000-000089090000}"/>
    <cellStyle name="Comma 4 3 3 3 3 2" xfId="13484" xr:uid="{C7838A0D-8210-4CD2-AC03-F0B5283552EC}"/>
    <cellStyle name="Comma 4 3 3 3 4" xfId="9266" xr:uid="{470D0FBD-6AEC-426C-8B88-793F87516E2B}"/>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9C41C9FE-B38E-4CDE-AD76-84A2928F035D}"/>
    <cellStyle name="Comma 4 3 3 4 2 3" xfId="11824" xr:uid="{07DB8E11-53C7-4409-BA3C-B9D644691FEE}"/>
    <cellStyle name="Comma 4 3 3 4 3" xfId="5447" xr:uid="{00000000-0005-0000-0000-00008D090000}"/>
    <cellStyle name="Comma 4 3 3 4 3 2" xfId="13897" xr:uid="{2536A3E4-4C8D-4A69-B0C7-EAA2959920A4}"/>
    <cellStyle name="Comma 4 3 3 4 4" xfId="9679" xr:uid="{475E4B66-235E-4FB1-ACC9-4DAD791ABD33}"/>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012ED756-E97B-4B39-B342-C99CC04BC41A}"/>
    <cellStyle name="Comma 4 3 3 5 2 3" xfId="12237" xr:uid="{40B943E3-D699-4C40-B48B-B6E42A3D3B5D}"/>
    <cellStyle name="Comma 4 3 3 5 3" xfId="5860" xr:uid="{00000000-0005-0000-0000-000091090000}"/>
    <cellStyle name="Comma 4 3 3 5 3 2" xfId="14310" xr:uid="{D17597B2-FAFD-4ABB-A8B9-749483E12C38}"/>
    <cellStyle name="Comma 4 3 3 5 4" xfId="10092" xr:uid="{8AA42568-2D14-46F0-9B09-C09A5295AAF9}"/>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28873822-DF08-40D3-83F8-7B28A2786770}"/>
    <cellStyle name="Comma 4 3 3 6 2 3" xfId="12650" xr:uid="{52AF8D9A-99C3-486D-AFCA-3EAF31658898}"/>
    <cellStyle name="Comma 4 3 3 6 3" xfId="6273" xr:uid="{00000000-0005-0000-0000-000095090000}"/>
    <cellStyle name="Comma 4 3 3 6 3 2" xfId="14723" xr:uid="{9D4F1999-8999-4E8A-BDFC-15D351D69A3E}"/>
    <cellStyle name="Comma 4 3 3 6 4" xfId="10505" xr:uid="{A11B59EB-8EAF-4D0B-BE4B-5FAA3F9038F2}"/>
    <cellStyle name="Comma 4 3 3 7" xfId="2402" xr:uid="{00000000-0005-0000-0000-000096090000}"/>
    <cellStyle name="Comma 4 3 3 7 2" xfId="6686" xr:uid="{00000000-0005-0000-0000-000097090000}"/>
    <cellStyle name="Comma 4 3 3 7 2 2" xfId="15136" xr:uid="{DA5E6226-8436-47C0-9B7C-DCFD088991DE}"/>
    <cellStyle name="Comma 4 3 3 7 3" xfId="10918" xr:uid="{1B630414-B593-4B60-8228-15FDFDCBE7EE}"/>
    <cellStyle name="Comma 4 3 3 8" xfId="2361" xr:uid="{00000000-0005-0000-0000-000098090000}"/>
    <cellStyle name="Comma 4 3 3 9" xfId="2780" xr:uid="{00000000-0005-0000-0000-000099090000}"/>
    <cellStyle name="Comma 4 3 3 9 2" xfId="7003" xr:uid="{00000000-0005-0000-0000-00009A090000}"/>
    <cellStyle name="Comma 4 3 3 9 2 2" xfId="15453" xr:uid="{154F1BE5-DC1E-4D9D-A12A-CACD299F82C9}"/>
    <cellStyle name="Comma 4 3 3 9 3" xfId="11235" xr:uid="{A8C729C0-D9FE-4D76-A443-1120E3A4FFF1}"/>
    <cellStyle name="Comma 4 3 4" xfId="151" xr:uid="{00000000-0005-0000-0000-00009B090000}"/>
    <cellStyle name="Comma 4 3 4 10" xfId="8854" xr:uid="{F2C73283-AB02-4F2D-B59C-9A90592F471B}"/>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7F920EB7-BE1A-438E-9D64-E38F7DC13C87}"/>
    <cellStyle name="Comma 4 3 4 2 2 3" xfId="11413" xr:uid="{A436552D-821F-452A-9C77-D116B70577D8}"/>
    <cellStyle name="Comma 4 3 4 2 3" xfId="5036" xr:uid="{00000000-0005-0000-0000-00009F090000}"/>
    <cellStyle name="Comma 4 3 4 2 3 2" xfId="13486" xr:uid="{01864CE0-9190-4A60-A9DF-5308FA4BABB4}"/>
    <cellStyle name="Comma 4 3 4 2 4" xfId="9268" xr:uid="{24E5C3E2-90A6-4E1F-B3DF-3ECF0271294C}"/>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78A03D9C-E217-4A8D-984C-4C2392398BF7}"/>
    <cellStyle name="Comma 4 3 4 3 2 3" xfId="11826" xr:uid="{8C1BAA9D-FE0D-4699-A26C-E9CDE6620F42}"/>
    <cellStyle name="Comma 4 3 4 3 3" xfId="5449" xr:uid="{00000000-0005-0000-0000-0000A3090000}"/>
    <cellStyle name="Comma 4 3 4 3 3 2" xfId="13899" xr:uid="{AE932A8A-A8D4-46DC-B0E8-DCD879845F09}"/>
    <cellStyle name="Comma 4 3 4 3 4" xfId="9681" xr:uid="{83CE87D5-6B71-4E03-BA0F-0EDCD9965AE2}"/>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C59A0EB1-5922-4611-99A7-ACBA4034B6EB}"/>
    <cellStyle name="Comma 4 3 4 4 2 3" xfId="12239" xr:uid="{72D3399D-3005-46E1-82B9-4C6AD3B47973}"/>
    <cellStyle name="Comma 4 3 4 4 3" xfId="5862" xr:uid="{00000000-0005-0000-0000-0000A7090000}"/>
    <cellStyle name="Comma 4 3 4 4 3 2" xfId="14312" xr:uid="{4F1E6DC1-9B43-4D0F-BB33-F03CB188D005}"/>
    <cellStyle name="Comma 4 3 4 4 4" xfId="10094" xr:uid="{304229D5-DBD9-4561-AB29-7D1734542302}"/>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2DB4B0D0-FA98-4631-9781-8A6496AB1435}"/>
    <cellStyle name="Comma 4 3 4 5 2 3" xfId="12652" xr:uid="{14347552-7521-4D97-9C79-BA6CF36AD6A8}"/>
    <cellStyle name="Comma 4 3 4 5 3" xfId="6275" xr:uid="{00000000-0005-0000-0000-0000AB090000}"/>
    <cellStyle name="Comma 4 3 4 5 3 2" xfId="14725" xr:uid="{B5593973-C7C0-4228-BA1F-8FBCB6AF0700}"/>
    <cellStyle name="Comma 4 3 4 5 4" xfId="10507" xr:uid="{DDEEDE77-C02B-4CE8-BD3C-0728C3464286}"/>
    <cellStyle name="Comma 4 3 4 6" xfId="2404" xr:uid="{00000000-0005-0000-0000-0000AC090000}"/>
    <cellStyle name="Comma 4 3 4 6 2" xfId="6688" xr:uid="{00000000-0005-0000-0000-0000AD090000}"/>
    <cellStyle name="Comma 4 3 4 6 2 2" xfId="15138" xr:uid="{B58D47A6-577C-4080-824A-7225BB3AB140}"/>
    <cellStyle name="Comma 4 3 4 6 3" xfId="10920" xr:uid="{7734ED8B-88A6-4F6D-8D1B-ABD9A1C55E13}"/>
    <cellStyle name="Comma 4 3 4 7" xfId="2700" xr:uid="{00000000-0005-0000-0000-0000AE090000}"/>
    <cellStyle name="Comma 4 3 4 8" xfId="2782" xr:uid="{00000000-0005-0000-0000-0000AF090000}"/>
    <cellStyle name="Comma 4 3 4 8 2" xfId="7005" xr:uid="{00000000-0005-0000-0000-0000B0090000}"/>
    <cellStyle name="Comma 4 3 4 8 2 2" xfId="15455" xr:uid="{BF82BEB0-590A-4DD2-92E9-75EC13C605E0}"/>
    <cellStyle name="Comma 4 3 4 8 3" xfId="11237" xr:uid="{5B54F947-4CED-4D71-9DAE-CFED19618BEC}"/>
    <cellStyle name="Comma 4 3 4 9" xfId="4622" xr:uid="{00000000-0005-0000-0000-0000B1090000}"/>
    <cellStyle name="Comma 4 3 4 9 2" xfId="13072" xr:uid="{5F04AB1F-16FB-404D-8D47-CE5C800A0DC5}"/>
    <cellStyle name="Comma 4 3 5" xfId="152" xr:uid="{00000000-0005-0000-0000-0000B2090000}"/>
    <cellStyle name="Comma 4 3 5 10" xfId="8855" xr:uid="{0C3C318D-DB6D-4143-9FD6-EB217410B43F}"/>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EDA5C798-05C3-4455-AF64-1451022B3983}"/>
    <cellStyle name="Comma 4 3 5 2 2 3" xfId="11414" xr:uid="{3B788B72-E5C2-420D-9BF4-35FC03F74E67}"/>
    <cellStyle name="Comma 4 3 5 2 3" xfId="5037" xr:uid="{00000000-0005-0000-0000-0000B6090000}"/>
    <cellStyle name="Comma 4 3 5 2 3 2" xfId="13487" xr:uid="{1533A590-21C2-4A00-8BE6-67D9870C8741}"/>
    <cellStyle name="Comma 4 3 5 2 4" xfId="9269" xr:uid="{37C14D3B-0768-4225-A81A-2009E10B1B1A}"/>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AD8223F5-C512-4C3A-9496-96F9FB6B7455}"/>
    <cellStyle name="Comma 4 3 5 3 2 3" xfId="11827" xr:uid="{FC6FDBE3-6A78-41C1-A07D-71044D1DCE3F}"/>
    <cellStyle name="Comma 4 3 5 3 3" xfId="5450" xr:uid="{00000000-0005-0000-0000-0000BA090000}"/>
    <cellStyle name="Comma 4 3 5 3 3 2" xfId="13900" xr:uid="{AB8BC9DF-AFF8-48C1-9158-EC0659D0F4D9}"/>
    <cellStyle name="Comma 4 3 5 3 4" xfId="9682" xr:uid="{75AA6882-EEFB-4411-9A1B-5487164C43B2}"/>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9E47641C-52E7-4D4C-B2BE-FF452A4BAC8F}"/>
    <cellStyle name="Comma 4 3 5 4 2 3" xfId="12240" xr:uid="{F1E68951-3F73-4F16-BD49-C2CA15DB6C43}"/>
    <cellStyle name="Comma 4 3 5 4 3" xfId="5863" xr:uid="{00000000-0005-0000-0000-0000BE090000}"/>
    <cellStyle name="Comma 4 3 5 4 3 2" xfId="14313" xr:uid="{E27DDCCD-F4C5-49C9-B705-2E1C32EC1052}"/>
    <cellStyle name="Comma 4 3 5 4 4" xfId="10095" xr:uid="{F30E0145-BE45-4506-84EB-F87E77AA4795}"/>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35BB302B-003D-4D06-A15E-B74EE4BBE678}"/>
    <cellStyle name="Comma 4 3 5 5 2 3" xfId="12653" xr:uid="{78474314-772A-4DE0-AE7F-5750E0A9FA7F}"/>
    <cellStyle name="Comma 4 3 5 5 3" xfId="6276" xr:uid="{00000000-0005-0000-0000-0000C2090000}"/>
    <cellStyle name="Comma 4 3 5 5 3 2" xfId="14726" xr:uid="{EC4A159A-88D0-4463-BD02-EC9E33771406}"/>
    <cellStyle name="Comma 4 3 5 5 4" xfId="10508" xr:uid="{280FB5FB-2220-48B1-972D-FC36B710A484}"/>
    <cellStyle name="Comma 4 3 5 6" xfId="2405" xr:uid="{00000000-0005-0000-0000-0000C3090000}"/>
    <cellStyle name="Comma 4 3 5 6 2" xfId="6689" xr:uid="{00000000-0005-0000-0000-0000C4090000}"/>
    <cellStyle name="Comma 4 3 5 6 2 2" xfId="15139" xr:uid="{F8B3BCD8-17C0-49EA-AAD2-B9989DDD0341}"/>
    <cellStyle name="Comma 4 3 5 6 3" xfId="10921" xr:uid="{043044A1-3B80-4A5A-AABB-5FA354715AD8}"/>
    <cellStyle name="Comma 4 3 5 7" xfId="2701" xr:uid="{00000000-0005-0000-0000-0000C5090000}"/>
    <cellStyle name="Comma 4 3 5 8" xfId="2783" xr:uid="{00000000-0005-0000-0000-0000C6090000}"/>
    <cellStyle name="Comma 4 3 5 8 2" xfId="7006" xr:uid="{00000000-0005-0000-0000-0000C7090000}"/>
    <cellStyle name="Comma 4 3 5 8 2 2" xfId="15456" xr:uid="{F6AAADF3-437E-4EF0-B3C2-3B7159A0BF18}"/>
    <cellStyle name="Comma 4 3 5 8 3" xfId="11238" xr:uid="{A752FE9C-0E84-4D39-B7FA-55304DF1ED5F}"/>
    <cellStyle name="Comma 4 3 5 9" xfId="4623" xr:uid="{00000000-0005-0000-0000-0000C8090000}"/>
    <cellStyle name="Comma 4 3 5 9 2" xfId="13073" xr:uid="{4ED7DF7D-6AEB-4D38-94BD-C5DFFE68ED43}"/>
    <cellStyle name="Comma 4 4" xfId="153" xr:uid="{00000000-0005-0000-0000-0000C9090000}"/>
    <cellStyle name="Comma 4 4 10" xfId="2784" xr:uid="{00000000-0005-0000-0000-0000CA090000}"/>
    <cellStyle name="Comma 4 4 10 2" xfId="7007" xr:uid="{00000000-0005-0000-0000-0000CB090000}"/>
    <cellStyle name="Comma 4 4 10 2 2" xfId="15457" xr:uid="{EAD2B3BF-E186-4CED-8B91-93371AA5F106}"/>
    <cellStyle name="Comma 4 4 10 3" xfId="11239" xr:uid="{D8CA55E9-C3D5-4FB6-9F39-3A3A2F886FD3}"/>
    <cellStyle name="Comma 4 4 11" xfId="4624" xr:uid="{00000000-0005-0000-0000-0000CC090000}"/>
    <cellStyle name="Comma 4 4 11 2" xfId="13074" xr:uid="{EEED2BAA-5E6C-4A97-8E79-14288EA29ADA}"/>
    <cellStyle name="Comma 4 4 12" xfId="8856" xr:uid="{E5F3A2C0-03F3-49ED-AC4A-7474210C8F0F}"/>
    <cellStyle name="Comma 4 4 2" xfId="154" xr:uid="{00000000-0005-0000-0000-0000CD090000}"/>
    <cellStyle name="Comma 4 4 2 10" xfId="4625" xr:uid="{00000000-0005-0000-0000-0000CE090000}"/>
    <cellStyle name="Comma 4 4 2 10 2" xfId="13075" xr:uid="{B8E6190E-A3EA-40BF-91F2-25A6D73C98FC}"/>
    <cellStyle name="Comma 4 4 2 11" xfId="8857" xr:uid="{57470C13-275E-4B3E-B0F9-FC109275AB03}"/>
    <cellStyle name="Comma 4 4 2 2" xfId="155" xr:uid="{00000000-0005-0000-0000-0000CF090000}"/>
    <cellStyle name="Comma 4 4 2 2 10" xfId="8858" xr:uid="{CCB08E60-CC55-47D2-BE86-3C623D3C789D}"/>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24D2F41A-A9C1-4833-B058-A0D3D90B044D}"/>
    <cellStyle name="Comma 4 4 2 2 2 2 3" xfId="11417" xr:uid="{B172D59C-388F-4069-8155-A923CB79EABC}"/>
    <cellStyle name="Comma 4 4 2 2 2 3" xfId="5040" xr:uid="{00000000-0005-0000-0000-0000D3090000}"/>
    <cellStyle name="Comma 4 4 2 2 2 3 2" xfId="13490" xr:uid="{8DC835F9-5221-4F02-AD5B-1690891E1294}"/>
    <cellStyle name="Comma 4 4 2 2 2 4" xfId="9272" xr:uid="{3C7AACFD-C774-4CF0-834D-A1C1BF0ADD71}"/>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0DB5AE7C-7A4C-4E0B-BDCE-7EBADAAFC7EE}"/>
    <cellStyle name="Comma 4 4 2 2 3 2 3" xfId="11830" xr:uid="{474A04FC-2F85-4233-A61C-6120DC316156}"/>
    <cellStyle name="Comma 4 4 2 2 3 3" xfId="5453" xr:uid="{00000000-0005-0000-0000-0000D7090000}"/>
    <cellStyle name="Comma 4 4 2 2 3 3 2" xfId="13903" xr:uid="{7EC284C5-A2DC-47C3-9165-C1D9001FF238}"/>
    <cellStyle name="Comma 4 4 2 2 3 4" xfId="9685" xr:uid="{862DF7AB-AE21-4B44-801B-2E7A7431B2CC}"/>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820BEDE9-50AF-41CE-9D81-7806672159E7}"/>
    <cellStyle name="Comma 4 4 2 2 4 2 3" xfId="12243" xr:uid="{324AF084-2CB1-4CDF-8340-872E2F3AF592}"/>
    <cellStyle name="Comma 4 4 2 2 4 3" xfId="5866" xr:uid="{00000000-0005-0000-0000-0000DB090000}"/>
    <cellStyle name="Comma 4 4 2 2 4 3 2" xfId="14316" xr:uid="{EBBAAC43-57B9-4660-91EF-8828590B2B18}"/>
    <cellStyle name="Comma 4 4 2 2 4 4" xfId="10098" xr:uid="{03851383-C8FC-4497-A14B-5820D24CEE65}"/>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63610B1B-FEFA-4110-8509-BB1044384421}"/>
    <cellStyle name="Comma 4 4 2 2 5 2 3" xfId="12656" xr:uid="{151EB758-9B3B-4B64-93D5-8B3877B8E642}"/>
    <cellStyle name="Comma 4 4 2 2 5 3" xfId="6279" xr:uid="{00000000-0005-0000-0000-0000DF090000}"/>
    <cellStyle name="Comma 4 4 2 2 5 3 2" xfId="14729" xr:uid="{215BFBD5-1EE0-42B2-A6C9-4161374F46F5}"/>
    <cellStyle name="Comma 4 4 2 2 5 4" xfId="10511" xr:uid="{B97D0A04-24A9-4496-82A7-B94B93FC0C94}"/>
    <cellStyle name="Comma 4 4 2 2 6" xfId="2408" xr:uid="{00000000-0005-0000-0000-0000E0090000}"/>
    <cellStyle name="Comma 4 4 2 2 6 2" xfId="6692" xr:uid="{00000000-0005-0000-0000-0000E1090000}"/>
    <cellStyle name="Comma 4 4 2 2 6 2 2" xfId="15142" xr:uid="{813EF554-75B2-4283-9488-2CB7CE37B602}"/>
    <cellStyle name="Comma 4 4 2 2 6 3" xfId="10924" xr:uid="{1899822C-671F-4133-912B-AA98EE15AEC6}"/>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42A05D23-B830-443F-B61D-3E4866D87FAD}"/>
    <cellStyle name="Comma 4 4 2 2 8 3" xfId="11241" xr:uid="{30053A17-F8CE-4344-B0F0-CCDEE242B5CC}"/>
    <cellStyle name="Comma 4 4 2 2 9" xfId="4626" xr:uid="{00000000-0005-0000-0000-0000E5090000}"/>
    <cellStyle name="Comma 4 4 2 2 9 2" xfId="13076" xr:uid="{5E4D908C-B45E-4D1B-AE3B-DC3CCD0D87EC}"/>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74F99313-8AA7-42AC-ABF9-170E9B81AA7F}"/>
    <cellStyle name="Comma 4 4 2 3 2 3" xfId="11416" xr:uid="{BA395EA0-8A76-4683-A0D7-7D6820DA39E4}"/>
    <cellStyle name="Comma 4 4 2 3 3" xfId="5039" xr:uid="{00000000-0005-0000-0000-0000E9090000}"/>
    <cellStyle name="Comma 4 4 2 3 3 2" xfId="13489" xr:uid="{1D365EEE-CA98-4B32-8FFD-4295356A9353}"/>
    <cellStyle name="Comma 4 4 2 3 4" xfId="9271" xr:uid="{CD874A02-BD76-45C0-B47A-A55EF82FB31C}"/>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9CC39BFC-1650-47B0-8EF6-516023AEAF4C}"/>
    <cellStyle name="Comma 4 4 2 4 2 3" xfId="11829" xr:uid="{0452890B-C6BD-4ECC-A179-FA3A7ED5EDD2}"/>
    <cellStyle name="Comma 4 4 2 4 3" xfId="5452" xr:uid="{00000000-0005-0000-0000-0000ED090000}"/>
    <cellStyle name="Comma 4 4 2 4 3 2" xfId="13902" xr:uid="{FFBE8E0F-4AF6-405A-8492-D65F4B1B32B2}"/>
    <cellStyle name="Comma 4 4 2 4 4" xfId="9684" xr:uid="{B4558700-0F6D-41E9-A03B-9A53D932BB37}"/>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6D5B0B09-EAAD-4744-B4EC-A23E2CF367D7}"/>
    <cellStyle name="Comma 4 4 2 5 2 3" xfId="12242" xr:uid="{6A700E0E-6884-483F-A39E-509F27204052}"/>
    <cellStyle name="Comma 4 4 2 5 3" xfId="5865" xr:uid="{00000000-0005-0000-0000-0000F1090000}"/>
    <cellStyle name="Comma 4 4 2 5 3 2" xfId="14315" xr:uid="{F8ED2588-3474-48B9-838C-7E57C427130C}"/>
    <cellStyle name="Comma 4 4 2 5 4" xfId="10097" xr:uid="{048BD59D-ECCB-4D6A-85D8-69AA46CED33E}"/>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38898D8D-1A20-4D51-8237-CAA0DB29F397}"/>
    <cellStyle name="Comma 4 4 2 6 2 3" xfId="12655" xr:uid="{471764E1-D6F2-439E-9284-387CB2319A07}"/>
    <cellStyle name="Comma 4 4 2 6 3" xfId="6278" xr:uid="{00000000-0005-0000-0000-0000F5090000}"/>
    <cellStyle name="Comma 4 4 2 6 3 2" xfId="14728" xr:uid="{B548D77B-E429-46DE-B855-D73CB0C3101F}"/>
    <cellStyle name="Comma 4 4 2 6 4" xfId="10510" xr:uid="{F3DCB213-3B43-423E-87B5-8375B9F6BD68}"/>
    <cellStyle name="Comma 4 4 2 7" xfId="2407" xr:uid="{00000000-0005-0000-0000-0000F6090000}"/>
    <cellStyle name="Comma 4 4 2 7 2" xfId="6691" xr:uid="{00000000-0005-0000-0000-0000F7090000}"/>
    <cellStyle name="Comma 4 4 2 7 2 2" xfId="15141" xr:uid="{D9420AAB-20D3-4307-99F2-7455120282E1}"/>
    <cellStyle name="Comma 4 4 2 7 3" xfId="10923" xr:uid="{A9FD776B-D85C-4464-BE03-BCA66B553ECF}"/>
    <cellStyle name="Comma 4 4 2 8" xfId="2703" xr:uid="{00000000-0005-0000-0000-0000F8090000}"/>
    <cellStyle name="Comma 4 4 2 9" xfId="2785" xr:uid="{00000000-0005-0000-0000-0000F9090000}"/>
    <cellStyle name="Comma 4 4 2 9 2" xfId="7008" xr:uid="{00000000-0005-0000-0000-0000FA090000}"/>
    <cellStyle name="Comma 4 4 2 9 2 2" xfId="15458" xr:uid="{AE460EFB-D0F7-43B5-A0AE-B2B42ED7FC5D}"/>
    <cellStyle name="Comma 4 4 2 9 3" xfId="11240" xr:uid="{987532F2-EF8F-4053-937A-B97157E7BA44}"/>
    <cellStyle name="Comma 4 4 3" xfId="156" xr:uid="{00000000-0005-0000-0000-0000FB090000}"/>
    <cellStyle name="Comma 4 4 3 10" xfId="8859" xr:uid="{6A377A2A-11C5-4368-9A8C-EA71BBC9C512}"/>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1E97CAEA-E500-470A-9AD7-F187DE874195}"/>
    <cellStyle name="Comma 4 4 3 2 2 3" xfId="11418" xr:uid="{E0E521AA-F61F-4485-99F2-133D2BB59CA6}"/>
    <cellStyle name="Comma 4 4 3 2 3" xfId="5041" xr:uid="{00000000-0005-0000-0000-0000FF090000}"/>
    <cellStyle name="Comma 4 4 3 2 3 2" xfId="13491" xr:uid="{F025B020-9439-411B-B3FD-89B215B8824B}"/>
    <cellStyle name="Comma 4 4 3 2 4" xfId="9273" xr:uid="{95950850-965E-4B7D-94E7-79BDF752BAEC}"/>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752A806C-44AD-4192-B7B4-E892930D1A4F}"/>
    <cellStyle name="Comma 4 4 3 3 2 3" xfId="11831" xr:uid="{8200C8F6-4E0B-4BF0-A19F-058A68917FF0}"/>
    <cellStyle name="Comma 4 4 3 3 3" xfId="5454" xr:uid="{00000000-0005-0000-0000-0000030A0000}"/>
    <cellStyle name="Comma 4 4 3 3 3 2" xfId="13904" xr:uid="{82D6A4D0-55AE-471B-8F56-9CEF518DF1BB}"/>
    <cellStyle name="Comma 4 4 3 3 4" xfId="9686" xr:uid="{67FF3C25-839B-45F6-B506-59F5E6AF144A}"/>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213937A2-E11E-4AF7-9D0A-71F2EC410115}"/>
    <cellStyle name="Comma 4 4 3 4 2 3" xfId="12244" xr:uid="{7DF3DB39-3D18-4821-9C0E-F37F01DE34EE}"/>
    <cellStyle name="Comma 4 4 3 4 3" xfId="5867" xr:uid="{00000000-0005-0000-0000-0000070A0000}"/>
    <cellStyle name="Comma 4 4 3 4 3 2" xfId="14317" xr:uid="{3AA423A6-1AC9-4F1C-9A53-51E00C822EE1}"/>
    <cellStyle name="Comma 4 4 3 4 4" xfId="10099" xr:uid="{AD74CC6E-945B-47CE-9170-02C1E1030AEC}"/>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C8408EA2-904A-4682-9371-C83FE8AD2D93}"/>
    <cellStyle name="Comma 4 4 3 5 2 3" xfId="12657" xr:uid="{40889DC5-7E1E-4EB3-8669-8970933B55D2}"/>
    <cellStyle name="Comma 4 4 3 5 3" xfId="6280" xr:uid="{00000000-0005-0000-0000-00000B0A0000}"/>
    <cellStyle name="Comma 4 4 3 5 3 2" xfId="14730" xr:uid="{5EE16B49-7644-4D6C-AD9A-269B414DE83B}"/>
    <cellStyle name="Comma 4 4 3 5 4" xfId="10512" xr:uid="{6BDEEDA6-7DD7-4A7E-AB7D-373F24379E1D}"/>
    <cellStyle name="Comma 4 4 3 6" xfId="2409" xr:uid="{00000000-0005-0000-0000-00000C0A0000}"/>
    <cellStyle name="Comma 4 4 3 6 2" xfId="6693" xr:uid="{00000000-0005-0000-0000-00000D0A0000}"/>
    <cellStyle name="Comma 4 4 3 6 2 2" xfId="15143" xr:uid="{5016F6C1-426F-4C33-84CF-451E18E68698}"/>
    <cellStyle name="Comma 4 4 3 6 3" xfId="10925" xr:uid="{674B5386-F5BD-4BBF-95EF-5EABD18BAA40}"/>
    <cellStyle name="Comma 4 4 3 7" xfId="2705" xr:uid="{00000000-0005-0000-0000-00000E0A0000}"/>
    <cellStyle name="Comma 4 4 3 8" xfId="2787" xr:uid="{00000000-0005-0000-0000-00000F0A0000}"/>
    <cellStyle name="Comma 4 4 3 8 2" xfId="7010" xr:uid="{00000000-0005-0000-0000-0000100A0000}"/>
    <cellStyle name="Comma 4 4 3 8 2 2" xfId="15460" xr:uid="{4F24397C-C95F-4618-9C4A-ADD4401B46CF}"/>
    <cellStyle name="Comma 4 4 3 8 3" xfId="11242" xr:uid="{9BCA0782-BFF2-4DEF-A146-D27CA72676AC}"/>
    <cellStyle name="Comma 4 4 3 9" xfId="4627" xr:uid="{00000000-0005-0000-0000-0000110A0000}"/>
    <cellStyle name="Comma 4 4 3 9 2" xfId="13077" xr:uid="{2B8CC7D8-84F6-41D6-81EC-81FD584DC6D0}"/>
    <cellStyle name="Comma 4 4 4" xfId="690" xr:uid="{00000000-0005-0000-0000-0000120A0000}"/>
    <cellStyle name="Comma 4 4 4 2" xfId="2961" xr:uid="{00000000-0005-0000-0000-0000130A0000}"/>
    <cellStyle name="Comma 4 4 4 2 2" xfId="7183" xr:uid="{00000000-0005-0000-0000-0000140A0000}"/>
    <cellStyle name="Comma 4 4 4 2 2 2" xfId="15633" xr:uid="{189FCB25-8CCB-4BA5-A4BC-F588B2B3F526}"/>
    <cellStyle name="Comma 4 4 4 2 3" xfId="11415" xr:uid="{1758E7A8-BDFC-4A2E-8542-FE5B48BCF772}"/>
    <cellStyle name="Comma 4 4 4 3" xfId="5038" xr:uid="{00000000-0005-0000-0000-0000150A0000}"/>
    <cellStyle name="Comma 4 4 4 3 2" xfId="13488" xr:uid="{999B0078-31D9-4682-B352-2F271EDC2988}"/>
    <cellStyle name="Comma 4 4 4 4" xfId="9270" xr:uid="{DECB1488-ACAC-47EF-A3BC-E4D5CDF33030}"/>
    <cellStyle name="Comma 4 4 5" xfId="1143" xr:uid="{00000000-0005-0000-0000-0000160A0000}"/>
    <cellStyle name="Comma 4 4 5 2" xfId="3374" xr:uid="{00000000-0005-0000-0000-0000170A0000}"/>
    <cellStyle name="Comma 4 4 5 2 2" xfId="7596" xr:uid="{00000000-0005-0000-0000-0000180A0000}"/>
    <cellStyle name="Comma 4 4 5 2 2 2" xfId="16046" xr:uid="{A84F20B5-0972-4811-B53D-2EA2A88C250B}"/>
    <cellStyle name="Comma 4 4 5 2 3" xfId="11828" xr:uid="{A32058FC-7FF7-458D-9D7B-C0EE74A27B94}"/>
    <cellStyle name="Comma 4 4 5 3" xfId="5451" xr:uid="{00000000-0005-0000-0000-0000190A0000}"/>
    <cellStyle name="Comma 4 4 5 3 2" xfId="13901" xr:uid="{C5FFC7D5-2425-479F-953B-4CB4609F81E0}"/>
    <cellStyle name="Comma 4 4 5 4" xfId="9683" xr:uid="{7C498AD7-58A6-4A73-8A55-82B4BB87F2DA}"/>
    <cellStyle name="Comma 4 4 6" xfId="1557" xr:uid="{00000000-0005-0000-0000-00001A0A0000}"/>
    <cellStyle name="Comma 4 4 6 2" xfId="3787" xr:uid="{00000000-0005-0000-0000-00001B0A0000}"/>
    <cellStyle name="Comma 4 4 6 2 2" xfId="8009" xr:uid="{00000000-0005-0000-0000-00001C0A0000}"/>
    <cellStyle name="Comma 4 4 6 2 2 2" xfId="16459" xr:uid="{578F09C9-378A-4A2B-A430-CA7E79192464}"/>
    <cellStyle name="Comma 4 4 6 2 3" xfId="12241" xr:uid="{9014938B-6B56-40AA-9C33-DFABD4A35581}"/>
    <cellStyle name="Comma 4 4 6 3" xfId="5864" xr:uid="{00000000-0005-0000-0000-00001D0A0000}"/>
    <cellStyle name="Comma 4 4 6 3 2" xfId="14314" xr:uid="{D58B05E3-F677-48E6-8092-FF2F003974BD}"/>
    <cellStyle name="Comma 4 4 6 4" xfId="10096" xr:uid="{4A4C924A-8113-453B-BC48-3CA9D21AB467}"/>
    <cellStyle name="Comma 4 4 7" xfId="1971" xr:uid="{00000000-0005-0000-0000-00001E0A0000}"/>
    <cellStyle name="Comma 4 4 7 2" xfId="4200" xr:uid="{00000000-0005-0000-0000-00001F0A0000}"/>
    <cellStyle name="Comma 4 4 7 2 2" xfId="8422" xr:uid="{00000000-0005-0000-0000-0000200A0000}"/>
    <cellStyle name="Comma 4 4 7 2 2 2" xfId="16872" xr:uid="{58D33DCB-35B0-408C-9EC4-B8F37EB68D71}"/>
    <cellStyle name="Comma 4 4 7 2 3" xfId="12654" xr:uid="{E948FF84-0A71-411F-8EF1-6B991EC29272}"/>
    <cellStyle name="Comma 4 4 7 3" xfId="6277" xr:uid="{00000000-0005-0000-0000-0000210A0000}"/>
    <cellStyle name="Comma 4 4 7 3 2" xfId="14727" xr:uid="{643BAF0B-8200-4DCB-9B19-8941871BDED2}"/>
    <cellStyle name="Comma 4 4 7 4" xfId="10509" xr:uid="{8BD6BFC2-C7FA-4360-8312-C9D039662810}"/>
    <cellStyle name="Comma 4 4 8" xfId="2406" xr:uid="{00000000-0005-0000-0000-0000220A0000}"/>
    <cellStyle name="Comma 4 4 8 2" xfId="6690" xr:uid="{00000000-0005-0000-0000-0000230A0000}"/>
    <cellStyle name="Comma 4 4 8 2 2" xfId="15140" xr:uid="{BFEDE8B2-4C33-412C-87B6-0F56CD7FE2A0}"/>
    <cellStyle name="Comma 4 4 8 3" xfId="10922" xr:uid="{244E484C-B31C-44AA-86C4-6BFF51CEA16E}"/>
    <cellStyle name="Comma 4 4 9" xfId="2702" xr:uid="{00000000-0005-0000-0000-0000240A0000}"/>
    <cellStyle name="Comma 4 5" xfId="157" xr:uid="{00000000-0005-0000-0000-0000250A0000}"/>
    <cellStyle name="Comma 4 5 10" xfId="4628" xr:uid="{00000000-0005-0000-0000-0000260A0000}"/>
    <cellStyle name="Comma 4 5 10 2" xfId="13078" xr:uid="{EA2F1C82-7D30-4BEB-89C9-2BB7F3D49030}"/>
    <cellStyle name="Comma 4 5 11" xfId="8860" xr:uid="{7C18E19B-883E-46B8-8836-DAFADFF737FC}"/>
    <cellStyle name="Comma 4 5 2" xfId="158" xr:uid="{00000000-0005-0000-0000-0000270A0000}"/>
    <cellStyle name="Comma 4 5 2 10" xfId="8861" xr:uid="{78E4E680-34A2-4EB3-870A-8B7A747DC5AC}"/>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4B899BE1-A8EA-479C-8820-1AE99B1FC96D}"/>
    <cellStyle name="Comma 4 5 2 2 2 3" xfId="11420" xr:uid="{B956035F-3AE9-426B-9956-D68A40871415}"/>
    <cellStyle name="Comma 4 5 2 2 3" xfId="5043" xr:uid="{00000000-0005-0000-0000-00002B0A0000}"/>
    <cellStyle name="Comma 4 5 2 2 3 2" xfId="13493" xr:uid="{18C1EA2C-D344-4163-8449-09692B16D8AC}"/>
    <cellStyle name="Comma 4 5 2 2 4" xfId="9275" xr:uid="{714B26BF-95F7-4372-85EE-4CA55C57C780}"/>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866D2791-F06B-4B56-B360-E3306F6D73E7}"/>
    <cellStyle name="Comma 4 5 2 3 2 3" xfId="11833" xr:uid="{32276394-BD6E-412A-A1FE-AC62CF44CCBF}"/>
    <cellStyle name="Comma 4 5 2 3 3" xfId="5456" xr:uid="{00000000-0005-0000-0000-00002F0A0000}"/>
    <cellStyle name="Comma 4 5 2 3 3 2" xfId="13906" xr:uid="{DC66C5A5-F615-46B0-BF38-E07DDDF1CBE7}"/>
    <cellStyle name="Comma 4 5 2 3 4" xfId="9688" xr:uid="{068F7F94-0168-46FD-B54F-DE7903879200}"/>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02E01B44-0DA2-4EBA-8BBA-FB0768330E4B}"/>
    <cellStyle name="Comma 4 5 2 4 2 3" xfId="12246" xr:uid="{1580A11F-9016-468C-8A3C-40EE4AF59F83}"/>
    <cellStyle name="Comma 4 5 2 4 3" xfId="5869" xr:uid="{00000000-0005-0000-0000-0000330A0000}"/>
    <cellStyle name="Comma 4 5 2 4 3 2" xfId="14319" xr:uid="{E322511F-4465-43D6-9FF1-010A4162A197}"/>
    <cellStyle name="Comma 4 5 2 4 4" xfId="10101" xr:uid="{668C7231-A43C-424C-8EF8-9C6AF04F45CD}"/>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4EFDBA75-D92D-483D-BFB0-26D8F3F4526B}"/>
    <cellStyle name="Comma 4 5 2 5 2 3" xfId="12659" xr:uid="{4ACA8A07-6833-47B9-B36A-9758A228732C}"/>
    <cellStyle name="Comma 4 5 2 5 3" xfId="6282" xr:uid="{00000000-0005-0000-0000-0000370A0000}"/>
    <cellStyle name="Comma 4 5 2 5 3 2" xfId="14732" xr:uid="{576E9B9F-31D4-4FCF-9903-5F6B3212CF9A}"/>
    <cellStyle name="Comma 4 5 2 5 4" xfId="10514" xr:uid="{358710E7-A406-4943-8A22-7873E27BFA75}"/>
    <cellStyle name="Comma 4 5 2 6" xfId="2411" xr:uid="{00000000-0005-0000-0000-0000380A0000}"/>
    <cellStyle name="Comma 4 5 2 6 2" xfId="6695" xr:uid="{00000000-0005-0000-0000-0000390A0000}"/>
    <cellStyle name="Comma 4 5 2 6 2 2" xfId="15145" xr:uid="{B767EE0B-94E1-4F16-A84C-DD49DE4376A5}"/>
    <cellStyle name="Comma 4 5 2 6 3" xfId="10927" xr:uid="{3EEAF95C-E252-4135-86FA-B508E4F1C185}"/>
    <cellStyle name="Comma 4 5 2 7" xfId="2707" xr:uid="{00000000-0005-0000-0000-00003A0A0000}"/>
    <cellStyle name="Comma 4 5 2 8" xfId="2789" xr:uid="{00000000-0005-0000-0000-00003B0A0000}"/>
    <cellStyle name="Comma 4 5 2 8 2" xfId="7012" xr:uid="{00000000-0005-0000-0000-00003C0A0000}"/>
    <cellStyle name="Comma 4 5 2 8 2 2" xfId="15462" xr:uid="{90E98D5C-44F0-4A63-A556-126903D93F75}"/>
    <cellStyle name="Comma 4 5 2 8 3" xfId="11244" xr:uid="{E9D1B5C8-4BEF-49EC-BCB7-D82796A982C5}"/>
    <cellStyle name="Comma 4 5 2 9" xfId="4629" xr:uid="{00000000-0005-0000-0000-00003D0A0000}"/>
    <cellStyle name="Comma 4 5 2 9 2" xfId="13079" xr:uid="{90C34634-1000-427A-A59F-9FDE138E12F2}"/>
    <cellStyle name="Comma 4 5 3" xfId="694" xr:uid="{00000000-0005-0000-0000-00003E0A0000}"/>
    <cellStyle name="Comma 4 5 3 2" xfId="2965" xr:uid="{00000000-0005-0000-0000-00003F0A0000}"/>
    <cellStyle name="Comma 4 5 3 2 2" xfId="7187" xr:uid="{00000000-0005-0000-0000-0000400A0000}"/>
    <cellStyle name="Comma 4 5 3 2 2 2" xfId="15637" xr:uid="{89C7FA03-4BD7-4C5E-9D34-B96CEEEF43CA}"/>
    <cellStyle name="Comma 4 5 3 2 3" xfId="11419" xr:uid="{334FCB97-AF25-42CC-BCD5-CDB8FEADAD79}"/>
    <cellStyle name="Comma 4 5 3 3" xfId="5042" xr:uid="{00000000-0005-0000-0000-0000410A0000}"/>
    <cellStyle name="Comma 4 5 3 3 2" xfId="13492" xr:uid="{2D8EC926-2F5A-453D-8F2C-281A587E8473}"/>
    <cellStyle name="Comma 4 5 3 4" xfId="9274" xr:uid="{CD6F2685-B4B7-4758-BE2D-E7DDB0AD69EF}"/>
    <cellStyle name="Comma 4 5 4" xfId="1147" xr:uid="{00000000-0005-0000-0000-0000420A0000}"/>
    <cellStyle name="Comma 4 5 4 2" xfId="3378" xr:uid="{00000000-0005-0000-0000-0000430A0000}"/>
    <cellStyle name="Comma 4 5 4 2 2" xfId="7600" xr:uid="{00000000-0005-0000-0000-0000440A0000}"/>
    <cellStyle name="Comma 4 5 4 2 2 2" xfId="16050" xr:uid="{50B9F5E8-D690-44CD-A7F0-D9FE38ABD080}"/>
    <cellStyle name="Comma 4 5 4 2 3" xfId="11832" xr:uid="{2D4385A9-6C23-4608-BFEF-FB0EB7C32291}"/>
    <cellStyle name="Comma 4 5 4 3" xfId="5455" xr:uid="{00000000-0005-0000-0000-0000450A0000}"/>
    <cellStyle name="Comma 4 5 4 3 2" xfId="13905" xr:uid="{FA0C9829-3E94-4BC9-A783-8FB73EC3656E}"/>
    <cellStyle name="Comma 4 5 4 4" xfId="9687" xr:uid="{ED985AB6-ED5D-4042-A916-9827A5F35A0A}"/>
    <cellStyle name="Comma 4 5 5" xfId="1561" xr:uid="{00000000-0005-0000-0000-0000460A0000}"/>
    <cellStyle name="Comma 4 5 5 2" xfId="3791" xr:uid="{00000000-0005-0000-0000-0000470A0000}"/>
    <cellStyle name="Comma 4 5 5 2 2" xfId="8013" xr:uid="{00000000-0005-0000-0000-0000480A0000}"/>
    <cellStyle name="Comma 4 5 5 2 2 2" xfId="16463" xr:uid="{85FB7AB6-1D90-40AB-9E94-390B697A547F}"/>
    <cellStyle name="Comma 4 5 5 2 3" xfId="12245" xr:uid="{43CD3B2D-DFFA-4B89-A1D8-13B7C269BA36}"/>
    <cellStyle name="Comma 4 5 5 3" xfId="5868" xr:uid="{00000000-0005-0000-0000-0000490A0000}"/>
    <cellStyle name="Comma 4 5 5 3 2" xfId="14318" xr:uid="{3347FDBA-9A9C-4F9D-AD8D-6C994790BCF8}"/>
    <cellStyle name="Comma 4 5 5 4" xfId="10100" xr:uid="{535293C4-1303-427D-9CD9-AAB7317B4299}"/>
    <cellStyle name="Comma 4 5 6" xfId="1975" xr:uid="{00000000-0005-0000-0000-00004A0A0000}"/>
    <cellStyle name="Comma 4 5 6 2" xfId="4204" xr:uid="{00000000-0005-0000-0000-00004B0A0000}"/>
    <cellStyle name="Comma 4 5 6 2 2" xfId="8426" xr:uid="{00000000-0005-0000-0000-00004C0A0000}"/>
    <cellStyle name="Comma 4 5 6 2 2 2" xfId="16876" xr:uid="{75889D48-CE84-4804-8A99-15EF5E9427B6}"/>
    <cellStyle name="Comma 4 5 6 2 3" xfId="12658" xr:uid="{1AA540E4-CA98-4BED-85CE-262BE55E6439}"/>
    <cellStyle name="Comma 4 5 6 3" xfId="6281" xr:uid="{00000000-0005-0000-0000-00004D0A0000}"/>
    <cellStyle name="Comma 4 5 6 3 2" xfId="14731" xr:uid="{55E91189-B33C-4C9A-B705-1F33655A3E8C}"/>
    <cellStyle name="Comma 4 5 6 4" xfId="10513" xr:uid="{604D6E50-9327-4A44-871E-8E2E18DD68D5}"/>
    <cellStyle name="Comma 4 5 7" xfId="2410" xr:uid="{00000000-0005-0000-0000-00004E0A0000}"/>
    <cellStyle name="Comma 4 5 7 2" xfId="6694" xr:uid="{00000000-0005-0000-0000-00004F0A0000}"/>
    <cellStyle name="Comma 4 5 7 2 2" xfId="15144" xr:uid="{397D805D-A7D3-4877-BA6F-1CA8C0E73458}"/>
    <cellStyle name="Comma 4 5 7 3" xfId="10926" xr:uid="{8C395254-870B-47DE-9118-1ADC1893BE16}"/>
    <cellStyle name="Comma 4 5 8" xfId="2706" xr:uid="{00000000-0005-0000-0000-0000500A0000}"/>
    <cellStyle name="Comma 4 5 9" xfId="2788" xr:uid="{00000000-0005-0000-0000-0000510A0000}"/>
    <cellStyle name="Comma 4 5 9 2" xfId="7011" xr:uid="{00000000-0005-0000-0000-0000520A0000}"/>
    <cellStyle name="Comma 4 5 9 2 2" xfId="15461" xr:uid="{EA95BB4E-618B-40C5-8854-0919D09AF5E3}"/>
    <cellStyle name="Comma 4 5 9 3" xfId="11243" xr:uid="{0F6CC701-224E-415A-B0AE-9D204288D12D}"/>
    <cellStyle name="Comma 4 6" xfId="159" xr:uid="{00000000-0005-0000-0000-0000530A0000}"/>
    <cellStyle name="Comma 4 6 10" xfId="8862" xr:uid="{D683B8FF-1216-429E-AD58-8437AEF6B602}"/>
    <cellStyle name="Comma 4 6 2" xfId="696" xr:uid="{00000000-0005-0000-0000-0000540A0000}"/>
    <cellStyle name="Comma 4 6 2 2" xfId="2967" xr:uid="{00000000-0005-0000-0000-0000550A0000}"/>
    <cellStyle name="Comma 4 6 2 2 2" xfId="7189" xr:uid="{00000000-0005-0000-0000-0000560A0000}"/>
    <cellStyle name="Comma 4 6 2 2 2 2" xfId="15639" xr:uid="{BDC56BE3-48D7-4E6C-A31A-434EC92AA24D}"/>
    <cellStyle name="Comma 4 6 2 2 3" xfId="11421" xr:uid="{C0B59EF3-6A28-4BD8-89AD-092102B3F75A}"/>
    <cellStyle name="Comma 4 6 2 3" xfId="5044" xr:uid="{00000000-0005-0000-0000-0000570A0000}"/>
    <cellStyle name="Comma 4 6 2 3 2" xfId="13494" xr:uid="{E43B2444-D16F-4E34-B20E-C98BCFBC5440}"/>
    <cellStyle name="Comma 4 6 2 4" xfId="9276" xr:uid="{17BED384-E81E-4F23-8B9D-D657197DDE71}"/>
    <cellStyle name="Comma 4 6 3" xfId="1149" xr:uid="{00000000-0005-0000-0000-0000580A0000}"/>
    <cellStyle name="Comma 4 6 3 2" xfId="3380" xr:uid="{00000000-0005-0000-0000-0000590A0000}"/>
    <cellStyle name="Comma 4 6 3 2 2" xfId="7602" xr:uid="{00000000-0005-0000-0000-00005A0A0000}"/>
    <cellStyle name="Comma 4 6 3 2 2 2" xfId="16052" xr:uid="{019A5FDA-9249-4E61-AD31-7E6713C1AC26}"/>
    <cellStyle name="Comma 4 6 3 2 3" xfId="11834" xr:uid="{57B2F9A4-288B-4B1B-8213-DAE2AEE4512E}"/>
    <cellStyle name="Comma 4 6 3 3" xfId="5457" xr:uid="{00000000-0005-0000-0000-00005B0A0000}"/>
    <cellStyle name="Comma 4 6 3 3 2" xfId="13907" xr:uid="{15CCE76F-61A0-4475-8DFE-697CFC3A3D9A}"/>
    <cellStyle name="Comma 4 6 3 4" xfId="9689" xr:uid="{D39BA221-AB63-48AC-9A59-8DDC2A60425C}"/>
    <cellStyle name="Comma 4 6 4" xfId="1563" xr:uid="{00000000-0005-0000-0000-00005C0A0000}"/>
    <cellStyle name="Comma 4 6 4 2" xfId="3793" xr:uid="{00000000-0005-0000-0000-00005D0A0000}"/>
    <cellStyle name="Comma 4 6 4 2 2" xfId="8015" xr:uid="{00000000-0005-0000-0000-00005E0A0000}"/>
    <cellStyle name="Comma 4 6 4 2 2 2" xfId="16465" xr:uid="{9B90D66C-7903-418E-93E6-41097B5CB1EB}"/>
    <cellStyle name="Comma 4 6 4 2 3" xfId="12247" xr:uid="{5321B939-D10E-4586-8D18-A5E191201FAB}"/>
    <cellStyle name="Comma 4 6 4 3" xfId="5870" xr:uid="{00000000-0005-0000-0000-00005F0A0000}"/>
    <cellStyle name="Comma 4 6 4 3 2" xfId="14320" xr:uid="{5E8FDC45-D368-4BF9-B8C4-0F60264E1C1D}"/>
    <cellStyle name="Comma 4 6 4 4" xfId="10102" xr:uid="{D5BD9184-4ADD-46F4-94CA-84B11E87CD05}"/>
    <cellStyle name="Comma 4 6 5" xfId="1977" xr:uid="{00000000-0005-0000-0000-0000600A0000}"/>
    <cellStyle name="Comma 4 6 5 2" xfId="4206" xr:uid="{00000000-0005-0000-0000-0000610A0000}"/>
    <cellStyle name="Comma 4 6 5 2 2" xfId="8428" xr:uid="{00000000-0005-0000-0000-0000620A0000}"/>
    <cellStyle name="Comma 4 6 5 2 2 2" xfId="16878" xr:uid="{588CAD57-10B2-400B-857E-C08D992F80CD}"/>
    <cellStyle name="Comma 4 6 5 2 3" xfId="12660" xr:uid="{D7871A19-2ABA-4043-BDC0-42769CC507C6}"/>
    <cellStyle name="Comma 4 6 5 3" xfId="6283" xr:uid="{00000000-0005-0000-0000-0000630A0000}"/>
    <cellStyle name="Comma 4 6 5 3 2" xfId="14733" xr:uid="{9AAEDAC2-3F39-4ECF-8A4C-F7635A51E0A8}"/>
    <cellStyle name="Comma 4 6 5 4" xfId="10515" xr:uid="{74395026-5823-4A1E-9C01-EF6C427FA6EE}"/>
    <cellStyle name="Comma 4 6 6" xfId="2412" xr:uid="{00000000-0005-0000-0000-0000640A0000}"/>
    <cellStyle name="Comma 4 6 6 2" xfId="6696" xr:uid="{00000000-0005-0000-0000-0000650A0000}"/>
    <cellStyle name="Comma 4 6 6 2 2" xfId="15146" xr:uid="{16F639D9-C32A-4988-9584-8050D181C41B}"/>
    <cellStyle name="Comma 4 6 6 3" xfId="10928" xr:uid="{6E396984-E2A5-4BC5-A7FA-419E3D8DCD4C}"/>
    <cellStyle name="Comma 4 6 7" xfId="2708" xr:uid="{00000000-0005-0000-0000-0000660A0000}"/>
    <cellStyle name="Comma 4 6 8" xfId="2790" xr:uid="{00000000-0005-0000-0000-0000670A0000}"/>
    <cellStyle name="Comma 4 6 8 2" xfId="7013" xr:uid="{00000000-0005-0000-0000-0000680A0000}"/>
    <cellStyle name="Comma 4 6 8 2 2" xfId="15463" xr:uid="{6B45F0CA-1936-4103-B5D7-DACEDA0D7187}"/>
    <cellStyle name="Comma 4 6 8 3" xfId="11245" xr:uid="{CC980192-5B81-4D71-89CB-7CBAD7199529}"/>
    <cellStyle name="Comma 4 6 9" xfId="4630" xr:uid="{00000000-0005-0000-0000-0000690A0000}"/>
    <cellStyle name="Comma 4 6 9 2" xfId="13080" xr:uid="{2ECCA456-7BC5-476E-9D97-E019339AB568}"/>
    <cellStyle name="Comma 4 7" xfId="160" xr:uid="{00000000-0005-0000-0000-00006A0A0000}"/>
    <cellStyle name="Comma 4 7 10" xfId="8863" xr:uid="{EF691D53-F62B-440E-B80B-70A620358CBF}"/>
    <cellStyle name="Comma 4 7 2" xfId="697" xr:uid="{00000000-0005-0000-0000-00006B0A0000}"/>
    <cellStyle name="Comma 4 7 2 2" xfId="2968" xr:uid="{00000000-0005-0000-0000-00006C0A0000}"/>
    <cellStyle name="Comma 4 7 2 2 2" xfId="7190" xr:uid="{00000000-0005-0000-0000-00006D0A0000}"/>
    <cellStyle name="Comma 4 7 2 2 2 2" xfId="15640" xr:uid="{9CC06006-4F04-4964-9607-98775EF34D1B}"/>
    <cellStyle name="Comma 4 7 2 2 3" xfId="11422" xr:uid="{3AE22A67-8275-4E45-9B1E-9A312643D2AC}"/>
    <cellStyle name="Comma 4 7 2 3" xfId="5045" xr:uid="{00000000-0005-0000-0000-00006E0A0000}"/>
    <cellStyle name="Comma 4 7 2 3 2" xfId="13495" xr:uid="{42FC581E-3695-46B9-B07E-7F64C11E4419}"/>
    <cellStyle name="Comma 4 7 2 4" xfId="9277" xr:uid="{B7FFE968-6E77-4B25-A00A-F663A923260D}"/>
    <cellStyle name="Comma 4 7 3" xfId="1150" xr:uid="{00000000-0005-0000-0000-00006F0A0000}"/>
    <cellStyle name="Comma 4 7 3 2" xfId="3381" xr:uid="{00000000-0005-0000-0000-0000700A0000}"/>
    <cellStyle name="Comma 4 7 3 2 2" xfId="7603" xr:uid="{00000000-0005-0000-0000-0000710A0000}"/>
    <cellStyle name="Comma 4 7 3 2 2 2" xfId="16053" xr:uid="{9C0B3E1C-18B7-45EA-B87C-F4A4762CA12D}"/>
    <cellStyle name="Comma 4 7 3 2 3" xfId="11835" xr:uid="{680D411A-BC02-433C-86C5-49A26612A314}"/>
    <cellStyle name="Comma 4 7 3 3" xfId="5458" xr:uid="{00000000-0005-0000-0000-0000720A0000}"/>
    <cellStyle name="Comma 4 7 3 3 2" xfId="13908" xr:uid="{D6264360-6D8A-450E-95B2-FEAEC5F3CA26}"/>
    <cellStyle name="Comma 4 7 3 4" xfId="9690" xr:uid="{9E273FF1-1BC2-4A7A-AD13-1DDB52C9628D}"/>
    <cellStyle name="Comma 4 7 4" xfId="1564" xr:uid="{00000000-0005-0000-0000-0000730A0000}"/>
    <cellStyle name="Comma 4 7 4 2" xfId="3794" xr:uid="{00000000-0005-0000-0000-0000740A0000}"/>
    <cellStyle name="Comma 4 7 4 2 2" xfId="8016" xr:uid="{00000000-0005-0000-0000-0000750A0000}"/>
    <cellStyle name="Comma 4 7 4 2 2 2" xfId="16466" xr:uid="{1C0D44E1-CAD9-4CA4-944D-59B1F2D4D960}"/>
    <cellStyle name="Comma 4 7 4 2 3" xfId="12248" xr:uid="{688ED1DD-96AE-4412-9BCF-4F90E0224CA8}"/>
    <cellStyle name="Comma 4 7 4 3" xfId="5871" xr:uid="{00000000-0005-0000-0000-0000760A0000}"/>
    <cellStyle name="Comma 4 7 4 3 2" xfId="14321" xr:uid="{186FB9E9-4782-4E2D-B080-7A4901B7DC80}"/>
    <cellStyle name="Comma 4 7 4 4" xfId="10103" xr:uid="{11232F23-DDCC-436F-8703-D99072BDACC7}"/>
    <cellStyle name="Comma 4 7 5" xfId="1978" xr:uid="{00000000-0005-0000-0000-0000770A0000}"/>
    <cellStyle name="Comma 4 7 5 2" xfId="4207" xr:uid="{00000000-0005-0000-0000-0000780A0000}"/>
    <cellStyle name="Comma 4 7 5 2 2" xfId="8429" xr:uid="{00000000-0005-0000-0000-0000790A0000}"/>
    <cellStyle name="Comma 4 7 5 2 2 2" xfId="16879" xr:uid="{3B2F0AD0-70F4-4D83-8F59-50682A9CEF82}"/>
    <cellStyle name="Comma 4 7 5 2 3" xfId="12661" xr:uid="{FF615007-E2C1-4970-88D4-8D6700F7A76E}"/>
    <cellStyle name="Comma 4 7 5 3" xfId="6284" xr:uid="{00000000-0005-0000-0000-00007A0A0000}"/>
    <cellStyle name="Comma 4 7 5 3 2" xfId="14734" xr:uid="{CA95329D-6BFC-4DD2-93E0-90DB20F71309}"/>
    <cellStyle name="Comma 4 7 5 4" xfId="10516" xr:uid="{EFD44E1F-32F7-4A60-8569-D31141241AF5}"/>
    <cellStyle name="Comma 4 7 6" xfId="2413" xr:uid="{00000000-0005-0000-0000-00007B0A0000}"/>
    <cellStyle name="Comma 4 7 6 2" xfId="6697" xr:uid="{00000000-0005-0000-0000-00007C0A0000}"/>
    <cellStyle name="Comma 4 7 6 2 2" xfId="15147" xr:uid="{83582215-C154-459A-9F06-CC76FCF235B8}"/>
    <cellStyle name="Comma 4 7 6 3" xfId="10929" xr:uid="{328C8F9D-C7D6-4F6E-AF1A-E54B8C5127CD}"/>
    <cellStyle name="Comma 4 7 7" xfId="2709" xr:uid="{00000000-0005-0000-0000-00007D0A0000}"/>
    <cellStyle name="Comma 4 7 8" xfId="2791" xr:uid="{00000000-0005-0000-0000-00007E0A0000}"/>
    <cellStyle name="Comma 4 7 8 2" xfId="7014" xr:uid="{00000000-0005-0000-0000-00007F0A0000}"/>
    <cellStyle name="Comma 4 7 8 2 2" xfId="15464" xr:uid="{3811A8D9-7967-4F9E-A798-9AF97FC1E648}"/>
    <cellStyle name="Comma 4 7 8 3" xfId="11246" xr:uid="{C459545E-9ABA-42D0-8766-22E1126C7441}"/>
    <cellStyle name="Comma 4 7 9" xfId="4631" xr:uid="{00000000-0005-0000-0000-0000800A0000}"/>
    <cellStyle name="Comma 4 7 9 2" xfId="13081" xr:uid="{CB0DEEC8-B473-4E86-B66B-96B674915A72}"/>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3E7C404A-4E23-4BE2-87B0-80B9AF6597E5}"/>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2C0DC22A-CC63-476F-9AFE-30180249A14B}"/>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17182" xr:uid="{8A1B6E0E-7A4D-47D3-A6DB-1E2C55B5498E}"/>
    <cellStyle name="Currency 14 3 2 2 2 3" xfId="17179" xr:uid="{B5522FEE-659B-4519-96D8-2D66B8F70568}"/>
    <cellStyle name="Currency 14 3 2 2 3" xfId="17175" xr:uid="{92AA7FA2-43D8-4172-BDFF-193528003135}"/>
    <cellStyle name="Currency 14 3 2 3" xfId="17172" xr:uid="{BED9D430-15A8-4474-8B40-03438603DA22}"/>
    <cellStyle name="Currency 14 3 3" xfId="17169" xr:uid="{F94AC25C-3533-42D7-8E56-EB40ECD441DC}"/>
    <cellStyle name="Currency 14 4" xfId="12952" xr:uid="{E2D9F33C-62B1-4D8B-AD66-B950EAC6348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820B3691-E130-477F-BCBA-7C29C2FD1D88}"/>
    <cellStyle name="Currency 3 2 2 10 3" xfId="11247" xr:uid="{F5E4C83C-57A9-4D89-8EE1-57CE08FE55C3}"/>
    <cellStyle name="Currency 3 2 2 11" xfId="4632" xr:uid="{00000000-0005-0000-0000-0000A50A0000}"/>
    <cellStyle name="Currency 3 2 2 11 2" xfId="13082" xr:uid="{9E0234A2-A6DC-43DE-9FE8-8024C7C0791C}"/>
    <cellStyle name="Currency 3 2 2 12" xfId="8864" xr:uid="{0096B450-F81D-4193-9BB4-0A518B2F566D}"/>
    <cellStyle name="Currency 3 2 2 2" xfId="179" xr:uid="{00000000-0005-0000-0000-0000A60A0000}"/>
    <cellStyle name="Currency 3 2 2 2 10" xfId="4633" xr:uid="{00000000-0005-0000-0000-0000A70A0000}"/>
    <cellStyle name="Currency 3 2 2 2 10 2" xfId="13083" xr:uid="{6E96C376-ACE2-49F7-9409-B4D641462113}"/>
    <cellStyle name="Currency 3 2 2 2 11" xfId="8865" xr:uid="{5D9E6729-80D0-4F15-B567-0745CF6164C7}"/>
    <cellStyle name="Currency 3 2 2 2 2" xfId="180" xr:uid="{00000000-0005-0000-0000-0000A80A0000}"/>
    <cellStyle name="Currency 3 2 2 2 2 10" xfId="8866" xr:uid="{A6943DF4-01F6-4D60-B027-BF3EB4DAB508}"/>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5FBD2A9E-518C-4525-85BC-D09B4B1439EE}"/>
    <cellStyle name="Currency 3 2 2 2 2 2 2 3" xfId="11425" xr:uid="{A8138B9F-0511-43E8-A61F-B734A6E209E4}"/>
    <cellStyle name="Currency 3 2 2 2 2 2 3" xfId="5048" xr:uid="{00000000-0005-0000-0000-0000AC0A0000}"/>
    <cellStyle name="Currency 3 2 2 2 2 2 3 2" xfId="13498" xr:uid="{5759E486-8CF4-46F0-A03E-430CDB61F21A}"/>
    <cellStyle name="Currency 3 2 2 2 2 2 4" xfId="9280" xr:uid="{F4A2994D-5415-4803-8C12-29221B430EA1}"/>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BF09351F-4626-4C90-9E43-BFC0A1EFA85C}"/>
    <cellStyle name="Currency 3 2 2 2 2 3 2 3" xfId="11838" xr:uid="{F4C7378D-C3A2-405E-9C98-CF6C21298535}"/>
    <cellStyle name="Currency 3 2 2 2 2 3 3" xfId="5461" xr:uid="{00000000-0005-0000-0000-0000B00A0000}"/>
    <cellStyle name="Currency 3 2 2 2 2 3 3 2" xfId="13911" xr:uid="{F26FEB59-AC65-4A85-8738-DEF774BD97CC}"/>
    <cellStyle name="Currency 3 2 2 2 2 3 4" xfId="9693" xr:uid="{0595C85D-BE7E-45C1-8036-830A625B59FF}"/>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EA8ACC64-AB40-4982-87BD-488FB0104CE1}"/>
    <cellStyle name="Currency 3 2 2 2 2 4 2 3" xfId="12251" xr:uid="{1C92F6C2-9DEC-4647-BD99-786B8ECD39B4}"/>
    <cellStyle name="Currency 3 2 2 2 2 4 3" xfId="5874" xr:uid="{00000000-0005-0000-0000-0000B40A0000}"/>
    <cellStyle name="Currency 3 2 2 2 2 4 3 2" xfId="14324" xr:uid="{403233AB-3182-45E1-B383-EB554BACC22F}"/>
    <cellStyle name="Currency 3 2 2 2 2 4 4" xfId="10106" xr:uid="{7FA973FC-C840-43DC-B48F-D651B9E3983B}"/>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D6F4D3DB-9D04-4388-99A7-7EDF4A607DCB}"/>
    <cellStyle name="Currency 3 2 2 2 2 5 2 3" xfId="12664" xr:uid="{C9698184-1BBF-4DFB-93BE-EF9776E676DC}"/>
    <cellStyle name="Currency 3 2 2 2 2 5 3" xfId="6287" xr:uid="{00000000-0005-0000-0000-0000B80A0000}"/>
    <cellStyle name="Currency 3 2 2 2 2 5 3 2" xfId="14737" xr:uid="{32019AF9-3A2A-4243-BD02-58C42F5ACC6C}"/>
    <cellStyle name="Currency 3 2 2 2 2 5 4" xfId="10519" xr:uid="{918740A9-6CD1-4FE6-85D0-B83F738A9BF6}"/>
    <cellStyle name="Currency 3 2 2 2 2 6" xfId="2416" xr:uid="{00000000-0005-0000-0000-0000B90A0000}"/>
    <cellStyle name="Currency 3 2 2 2 2 6 2" xfId="6700" xr:uid="{00000000-0005-0000-0000-0000BA0A0000}"/>
    <cellStyle name="Currency 3 2 2 2 2 6 2 2" xfId="15150" xr:uid="{0943CD8C-4085-4C77-B6FE-14D48C8E9347}"/>
    <cellStyle name="Currency 3 2 2 2 2 6 3" xfId="10932" xr:uid="{6189EBAE-A23E-4BC2-830E-E88884BB7EF9}"/>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BD4F3DEC-A0C2-42BB-8FF9-B833C5EAB28D}"/>
    <cellStyle name="Currency 3 2 2 2 2 8 3" xfId="11249" xr:uid="{F56DCE24-6E26-422D-9E3C-8F862B1F3976}"/>
    <cellStyle name="Currency 3 2 2 2 2 9" xfId="4634" xr:uid="{00000000-0005-0000-0000-0000BE0A0000}"/>
    <cellStyle name="Currency 3 2 2 2 2 9 2" xfId="13084" xr:uid="{6FD09E6B-2B88-4CF4-B742-E14A0BB84495}"/>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F9BCA712-033F-47D2-A4F4-AFFB182CC899}"/>
    <cellStyle name="Currency 3 2 2 2 3 2 3" xfId="11424" xr:uid="{1A19C831-CE06-415D-ABE1-C5FFC19F1328}"/>
    <cellStyle name="Currency 3 2 2 2 3 3" xfId="5047" xr:uid="{00000000-0005-0000-0000-0000C20A0000}"/>
    <cellStyle name="Currency 3 2 2 2 3 3 2" xfId="13497" xr:uid="{93559D3B-0FA4-44FE-A517-825B088E1284}"/>
    <cellStyle name="Currency 3 2 2 2 3 4" xfId="9279" xr:uid="{5F8FDC91-6B97-4878-91DA-697B9C30AC8D}"/>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257BB5DA-3D19-4AD2-90F3-EBD05009B91B}"/>
    <cellStyle name="Currency 3 2 2 2 4 2 3" xfId="11837" xr:uid="{444443C5-8BAE-4D16-B780-A0D7D6F4E0A8}"/>
    <cellStyle name="Currency 3 2 2 2 4 3" xfId="5460" xr:uid="{00000000-0005-0000-0000-0000C60A0000}"/>
    <cellStyle name="Currency 3 2 2 2 4 3 2" xfId="13910" xr:uid="{394F281F-F606-40FE-87E6-1EF8E8E53AEB}"/>
    <cellStyle name="Currency 3 2 2 2 4 4" xfId="9692" xr:uid="{D98A7E9C-D456-4252-A241-57B96814366F}"/>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97276D1B-B2D0-4D57-A366-FDDABE40C666}"/>
    <cellStyle name="Currency 3 2 2 2 5 2 3" xfId="12250" xr:uid="{B46DD6D6-A4A5-4D5C-8A4B-FF2787B934CE}"/>
    <cellStyle name="Currency 3 2 2 2 5 3" xfId="5873" xr:uid="{00000000-0005-0000-0000-0000CA0A0000}"/>
    <cellStyle name="Currency 3 2 2 2 5 3 2" xfId="14323" xr:uid="{D5A28291-3A60-4A38-A3B9-943D1D531E7D}"/>
    <cellStyle name="Currency 3 2 2 2 5 4" xfId="10105" xr:uid="{CA3AFED4-326E-4375-8BD1-76223E895F29}"/>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D8B02444-B93E-406F-984E-0B35B7FB5092}"/>
    <cellStyle name="Currency 3 2 2 2 6 2 3" xfId="12663" xr:uid="{8335B6D2-0736-4795-8858-F438BA5D727D}"/>
    <cellStyle name="Currency 3 2 2 2 6 3" xfId="6286" xr:uid="{00000000-0005-0000-0000-0000CE0A0000}"/>
    <cellStyle name="Currency 3 2 2 2 6 3 2" xfId="14736" xr:uid="{9DCBD57E-4E1A-4ACB-B595-1E168C564217}"/>
    <cellStyle name="Currency 3 2 2 2 6 4" xfId="10518" xr:uid="{89B90692-DB79-4FDE-81EF-67C9D76E2ED8}"/>
    <cellStyle name="Currency 3 2 2 2 7" xfId="2415" xr:uid="{00000000-0005-0000-0000-0000CF0A0000}"/>
    <cellStyle name="Currency 3 2 2 2 7 2" xfId="6699" xr:uid="{00000000-0005-0000-0000-0000D00A0000}"/>
    <cellStyle name="Currency 3 2 2 2 7 2 2" xfId="15149" xr:uid="{38AB6B04-9983-4EE0-8C1D-8F0231287A03}"/>
    <cellStyle name="Currency 3 2 2 2 7 3" xfId="10931" xr:uid="{80579277-D5DF-4A50-BD59-B3F5361DD9CD}"/>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955091B6-D03C-4E3B-9A04-75A767DD20A9}"/>
    <cellStyle name="Currency 3 2 2 2 9 3" xfId="11248" xr:uid="{67574952-83E6-4458-AC87-1F97891497A5}"/>
    <cellStyle name="Currency 3 2 2 3" xfId="181" xr:uid="{00000000-0005-0000-0000-0000D40A0000}"/>
    <cellStyle name="Currency 3 2 2 3 10" xfId="8867" xr:uid="{4CC9A3E1-9ED5-419C-A66C-7426A7CA0AE5}"/>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56BAB37F-3C10-4FE6-B9E7-09CF566C376D}"/>
    <cellStyle name="Currency 3 2 2 3 2 2 3" xfId="11426" xr:uid="{B95CB6D0-EF83-45EF-BB0B-79E449CFF657}"/>
    <cellStyle name="Currency 3 2 2 3 2 3" xfId="5049" xr:uid="{00000000-0005-0000-0000-0000D80A0000}"/>
    <cellStyle name="Currency 3 2 2 3 2 3 2" xfId="13499" xr:uid="{5F2480F8-5168-482B-A362-E3F857599C72}"/>
    <cellStyle name="Currency 3 2 2 3 2 4" xfId="9281" xr:uid="{B10298E0-6700-41D9-A03E-207917943D9C}"/>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373AA803-3AA3-4819-8536-7F0BD9C9A55E}"/>
    <cellStyle name="Currency 3 2 2 3 3 2 3" xfId="11839" xr:uid="{D3D49558-DF7E-4B99-8C74-BC7B4EF795F2}"/>
    <cellStyle name="Currency 3 2 2 3 3 3" xfId="5462" xr:uid="{00000000-0005-0000-0000-0000DC0A0000}"/>
    <cellStyle name="Currency 3 2 2 3 3 3 2" xfId="13912" xr:uid="{95FC0AF9-5557-4C4D-AC1E-A1CC42A252B1}"/>
    <cellStyle name="Currency 3 2 2 3 3 4" xfId="9694" xr:uid="{860F5E62-D28D-4334-A645-269BD2E9A38F}"/>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4A42F771-8763-413A-B47D-E6100D0C5D6F}"/>
    <cellStyle name="Currency 3 2 2 3 4 2 3" xfId="12252" xr:uid="{55B1AB40-9101-4760-889D-DCB9538588BC}"/>
    <cellStyle name="Currency 3 2 2 3 4 3" xfId="5875" xr:uid="{00000000-0005-0000-0000-0000E00A0000}"/>
    <cellStyle name="Currency 3 2 2 3 4 3 2" xfId="14325" xr:uid="{4942747C-9373-4F2B-91E6-571AD70FEA06}"/>
    <cellStyle name="Currency 3 2 2 3 4 4" xfId="10107" xr:uid="{9A18A768-8B2F-4B0B-8834-02C95AF09BAB}"/>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65CD98F2-6899-4AE2-BF80-A60C3C6D2AA6}"/>
    <cellStyle name="Currency 3 2 2 3 5 2 3" xfId="12665" xr:uid="{3F778254-16F6-435C-9C38-E2C811ED6005}"/>
    <cellStyle name="Currency 3 2 2 3 5 3" xfId="6288" xr:uid="{00000000-0005-0000-0000-0000E40A0000}"/>
    <cellStyle name="Currency 3 2 2 3 5 3 2" xfId="14738" xr:uid="{3A2CE903-3BFD-4772-B260-A3415AF88A36}"/>
    <cellStyle name="Currency 3 2 2 3 5 4" xfId="10520" xr:uid="{FB2A0615-93F2-4625-A437-19A8BA540D59}"/>
    <cellStyle name="Currency 3 2 2 3 6" xfId="2417" xr:uid="{00000000-0005-0000-0000-0000E50A0000}"/>
    <cellStyle name="Currency 3 2 2 3 6 2" xfId="6701" xr:uid="{00000000-0005-0000-0000-0000E60A0000}"/>
    <cellStyle name="Currency 3 2 2 3 6 2 2" xfId="15151" xr:uid="{0BDB722E-A662-4860-A8EF-952E9B4D6755}"/>
    <cellStyle name="Currency 3 2 2 3 6 3" xfId="10933" xr:uid="{BAF654D8-CB3A-4520-B760-D09AE3A0D240}"/>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5C235B31-9706-4480-B627-A37304207535}"/>
    <cellStyle name="Currency 3 2 2 3 8 3" xfId="11250" xr:uid="{3E1044C6-461C-49FA-A76C-96D9579E2E20}"/>
    <cellStyle name="Currency 3 2 2 3 9" xfId="4635" xr:uid="{00000000-0005-0000-0000-0000EA0A0000}"/>
    <cellStyle name="Currency 3 2 2 3 9 2" xfId="13085" xr:uid="{62E065DC-F2F0-4F3A-8230-4EAE9E673310}"/>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082E089D-907A-4DC1-A5B5-67469E0E4500}"/>
    <cellStyle name="Currency 3 2 2 4 2 3" xfId="11423" xr:uid="{C4AF563A-0049-4A07-B5E8-48C4684CBFB0}"/>
    <cellStyle name="Currency 3 2 2 4 3" xfId="5046" xr:uid="{00000000-0005-0000-0000-0000EE0A0000}"/>
    <cellStyle name="Currency 3 2 2 4 3 2" xfId="13496" xr:uid="{CF0C6DF7-D0F9-4C66-AB2F-63A3C163BE84}"/>
    <cellStyle name="Currency 3 2 2 4 4" xfId="9278" xr:uid="{303B91C2-48DC-440B-BEC1-9E02CFDEBD18}"/>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8FF4A18E-97D8-4E9B-A5E6-8A36AD213AB9}"/>
    <cellStyle name="Currency 3 2 2 5 2 3" xfId="11836" xr:uid="{29152D9A-A852-40C0-BE39-7728EE477CAD}"/>
    <cellStyle name="Currency 3 2 2 5 3" xfId="5459" xr:uid="{00000000-0005-0000-0000-0000F20A0000}"/>
    <cellStyle name="Currency 3 2 2 5 3 2" xfId="13909" xr:uid="{87719154-58E6-45AD-8F62-6509A0B32408}"/>
    <cellStyle name="Currency 3 2 2 5 4" xfId="9691" xr:uid="{1F241A46-316F-4C9D-8C23-E6EAE3E0E045}"/>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C681B6C7-1AD0-41F2-810E-BC508BBA4B92}"/>
    <cellStyle name="Currency 3 2 2 6 2 3" xfId="12249" xr:uid="{17A3F7A8-4D8F-40BF-953A-AECC215FFC6C}"/>
    <cellStyle name="Currency 3 2 2 6 3" xfId="5872" xr:uid="{00000000-0005-0000-0000-0000F60A0000}"/>
    <cellStyle name="Currency 3 2 2 6 3 2" xfId="14322" xr:uid="{70C7C78A-113A-4ABD-A376-065E7F17E043}"/>
    <cellStyle name="Currency 3 2 2 6 4" xfId="10104" xr:uid="{84EB9FF9-5D0E-4B74-81E4-72C3003F2D11}"/>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EE12FE68-BF46-45F4-9B43-78AD44C02FC6}"/>
    <cellStyle name="Currency 3 2 2 7 2 3" xfId="12662" xr:uid="{FB370B54-7B2D-4C52-9DCE-446092ADAF69}"/>
    <cellStyle name="Currency 3 2 2 7 3" xfId="6285" xr:uid="{00000000-0005-0000-0000-0000FA0A0000}"/>
    <cellStyle name="Currency 3 2 2 7 3 2" xfId="14735" xr:uid="{312F8EF9-3FE8-435F-95AD-5833138B209B}"/>
    <cellStyle name="Currency 3 2 2 7 4" xfId="10517" xr:uid="{BD0A6636-2C8D-4EF5-82FD-95C8C47AE60C}"/>
    <cellStyle name="Currency 3 2 2 8" xfId="2414" xr:uid="{00000000-0005-0000-0000-0000FB0A0000}"/>
    <cellStyle name="Currency 3 2 2 8 2" xfId="6698" xr:uid="{00000000-0005-0000-0000-0000FC0A0000}"/>
    <cellStyle name="Currency 3 2 2 8 2 2" xfId="15148" xr:uid="{87FD856C-1D76-497E-B870-B0A94C31383E}"/>
    <cellStyle name="Currency 3 2 2 8 3" xfId="10930" xr:uid="{37A84CBC-69A5-47F5-8BD4-C53EB2FEBD0D}"/>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79B37AB3-9353-4B88-8A76-922844148B95}"/>
    <cellStyle name="Currency 3 2 3 11" xfId="8868" xr:uid="{F7EDBA19-BB85-4265-84E3-240E4687890E}"/>
    <cellStyle name="Currency 3 2 3 2" xfId="183" xr:uid="{00000000-0005-0000-0000-0000000B0000}"/>
    <cellStyle name="Currency 3 2 3 2 10" xfId="8869" xr:uid="{7386949F-9D2C-4470-BD78-3FB7990E0955}"/>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9D28FB09-6E5D-43D3-B6DA-4E19369455F6}"/>
    <cellStyle name="Currency 3 2 3 2 2 2 3" xfId="11428" xr:uid="{831460CE-8457-4D82-84B9-04B5F7A2E76B}"/>
    <cellStyle name="Currency 3 2 3 2 2 3" xfId="5051" xr:uid="{00000000-0005-0000-0000-0000040B0000}"/>
    <cellStyle name="Currency 3 2 3 2 2 3 2" xfId="13501" xr:uid="{B1AA7478-B876-483F-8B45-DB051CC9551D}"/>
    <cellStyle name="Currency 3 2 3 2 2 4" xfId="9283" xr:uid="{1432CCC1-FD86-4C49-8F7F-185833F0655F}"/>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A287D6A3-F057-4731-AFE0-5F80009E0888}"/>
    <cellStyle name="Currency 3 2 3 2 3 2 3" xfId="11841" xr:uid="{EAEE8A55-6AF5-4B68-92A0-E02572B49287}"/>
    <cellStyle name="Currency 3 2 3 2 3 3" xfId="5464" xr:uid="{00000000-0005-0000-0000-0000080B0000}"/>
    <cellStyle name="Currency 3 2 3 2 3 3 2" xfId="13914" xr:uid="{289FB7D3-7C44-4FD2-9CB4-616D76D02BB6}"/>
    <cellStyle name="Currency 3 2 3 2 3 4" xfId="9696" xr:uid="{2310B20D-506C-4641-83F1-9DD77B71C757}"/>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22F7FD99-700D-46A8-99BA-425F1BA120B5}"/>
    <cellStyle name="Currency 3 2 3 2 4 2 3" xfId="12254" xr:uid="{08082146-F93D-4ED2-9988-63DBF0FA2E95}"/>
    <cellStyle name="Currency 3 2 3 2 4 3" xfId="5877" xr:uid="{00000000-0005-0000-0000-00000C0B0000}"/>
    <cellStyle name="Currency 3 2 3 2 4 3 2" xfId="14327" xr:uid="{D62B5F04-DAB2-4F29-AD0F-E2A64415185C}"/>
    <cellStyle name="Currency 3 2 3 2 4 4" xfId="10109" xr:uid="{2E03793B-48E6-4941-A767-388F29E02B5A}"/>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65257FE9-1928-4F19-B1EA-3D7AE3040F08}"/>
    <cellStyle name="Currency 3 2 3 2 5 2 3" xfId="12667" xr:uid="{6C84FC09-F407-4BB7-A78A-97B5B5417D78}"/>
    <cellStyle name="Currency 3 2 3 2 5 3" xfId="6290" xr:uid="{00000000-0005-0000-0000-0000100B0000}"/>
    <cellStyle name="Currency 3 2 3 2 5 3 2" xfId="14740" xr:uid="{873EE443-E862-4287-94DA-6F46FD267C1A}"/>
    <cellStyle name="Currency 3 2 3 2 5 4" xfId="10522" xr:uid="{FCE37B19-2C02-4E16-BA90-D53D851C7FD4}"/>
    <cellStyle name="Currency 3 2 3 2 6" xfId="2419" xr:uid="{00000000-0005-0000-0000-0000110B0000}"/>
    <cellStyle name="Currency 3 2 3 2 6 2" xfId="6703" xr:uid="{00000000-0005-0000-0000-0000120B0000}"/>
    <cellStyle name="Currency 3 2 3 2 6 2 2" xfId="15153" xr:uid="{82CE90F8-CE53-4E5A-84C4-18572440122B}"/>
    <cellStyle name="Currency 3 2 3 2 6 3" xfId="10935" xr:uid="{B3E5130F-440A-481D-B04B-56FFB8524FB5}"/>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39CDC5BD-5911-41F0-A722-E1ACA22FE7CC}"/>
    <cellStyle name="Currency 3 2 3 2 8 3" xfId="11252" xr:uid="{0CF89CA5-54E0-4E62-A9EB-6478594BB90E}"/>
    <cellStyle name="Currency 3 2 3 2 9" xfId="4637" xr:uid="{00000000-0005-0000-0000-0000160B0000}"/>
    <cellStyle name="Currency 3 2 3 2 9 2" xfId="13087" xr:uid="{4E2173C4-28E3-45AF-9163-5C552A76CE98}"/>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37727B29-E39B-4AF2-A6E2-214D887EA09E}"/>
    <cellStyle name="Currency 3 2 3 3 2 3" xfId="11427" xr:uid="{955D3F40-31E9-4427-923A-D5A4151CA4DD}"/>
    <cellStyle name="Currency 3 2 3 3 3" xfId="5050" xr:uid="{00000000-0005-0000-0000-00001A0B0000}"/>
    <cellStyle name="Currency 3 2 3 3 3 2" xfId="13500" xr:uid="{FB591074-D661-4205-A8B9-73188AE3E445}"/>
    <cellStyle name="Currency 3 2 3 3 4" xfId="9282" xr:uid="{57425FF8-F008-4FAC-8A57-508585204CC2}"/>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8D952195-E47C-4EED-A580-31A63CD15FD8}"/>
    <cellStyle name="Currency 3 2 3 4 2 3" xfId="11840" xr:uid="{1687A56F-5DDD-4F74-B9F6-6B2B8CCE4710}"/>
    <cellStyle name="Currency 3 2 3 4 3" xfId="5463" xr:uid="{00000000-0005-0000-0000-00001E0B0000}"/>
    <cellStyle name="Currency 3 2 3 4 3 2" xfId="13913" xr:uid="{30E2AF37-990C-4A3A-8447-3428E18F137B}"/>
    <cellStyle name="Currency 3 2 3 4 4" xfId="9695" xr:uid="{C1793D99-C070-4368-B4E0-7CDACE9D670A}"/>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EF66FBF0-245E-475B-B7AA-42F4170C7624}"/>
    <cellStyle name="Currency 3 2 3 5 2 3" xfId="12253" xr:uid="{26FE46EB-53E9-4FA7-AF3C-25B4F98C1893}"/>
    <cellStyle name="Currency 3 2 3 5 3" xfId="5876" xr:uid="{00000000-0005-0000-0000-0000220B0000}"/>
    <cellStyle name="Currency 3 2 3 5 3 2" xfId="14326" xr:uid="{F4E1D0C9-6C67-4EB2-A472-2CD8E99DF0E0}"/>
    <cellStyle name="Currency 3 2 3 5 4" xfId="10108" xr:uid="{5BDF4651-5A90-45AD-BEBC-11CB3968D69F}"/>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80A94546-6EDF-4A8F-ACD7-185EC8CD7FAF}"/>
    <cellStyle name="Currency 3 2 3 6 2 3" xfId="12666" xr:uid="{62F26032-0718-49CD-8472-4CEA270E5F6F}"/>
    <cellStyle name="Currency 3 2 3 6 3" xfId="6289" xr:uid="{00000000-0005-0000-0000-0000260B0000}"/>
    <cellStyle name="Currency 3 2 3 6 3 2" xfId="14739" xr:uid="{6576CE87-9AEB-4467-B2B0-4AA8FC0C9636}"/>
    <cellStyle name="Currency 3 2 3 6 4" xfId="10521" xr:uid="{317D6F4A-1D79-4AB2-B44E-A2A65321A6E2}"/>
    <cellStyle name="Currency 3 2 3 7" xfId="2418" xr:uid="{00000000-0005-0000-0000-0000270B0000}"/>
    <cellStyle name="Currency 3 2 3 7 2" xfId="6702" xr:uid="{00000000-0005-0000-0000-0000280B0000}"/>
    <cellStyle name="Currency 3 2 3 7 2 2" xfId="15152" xr:uid="{1C31BBAB-DEDD-4D6D-AF0D-63730D4CAEA4}"/>
    <cellStyle name="Currency 3 2 3 7 3" xfId="10934" xr:uid="{0E828A18-8AB8-4DEA-98BC-3BD6FEA7D525}"/>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4C70F882-02A2-4D0A-87F8-EF096E2F1124}"/>
    <cellStyle name="Currency 3 2 3 9 3" xfId="11251" xr:uid="{510CCA94-4138-4D93-9F1A-EBC397C6881B}"/>
    <cellStyle name="Currency 3 2 4" xfId="184" xr:uid="{00000000-0005-0000-0000-00002C0B0000}"/>
    <cellStyle name="Currency 3 2 4 10" xfId="8870" xr:uid="{B7CABCA9-C351-4D0E-884F-2FBDDEC1AEA9}"/>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FAD25727-A232-46F1-AA15-F0770DD8DE3B}"/>
    <cellStyle name="Currency 3 2 4 2 2 3" xfId="11429" xr:uid="{9289EAD9-A4C2-43A7-AC65-E3454A4DB114}"/>
    <cellStyle name="Currency 3 2 4 2 3" xfId="5052" xr:uid="{00000000-0005-0000-0000-0000300B0000}"/>
    <cellStyle name="Currency 3 2 4 2 3 2" xfId="13502" xr:uid="{7A6FAA3A-16ED-4D70-A05D-5DB61E961054}"/>
    <cellStyle name="Currency 3 2 4 2 4" xfId="9284" xr:uid="{022151A4-B788-429A-B466-7742855D2CF0}"/>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C79FA80F-69D0-476F-BEA3-755D53B1A26E}"/>
    <cellStyle name="Currency 3 2 4 3 2 3" xfId="11842" xr:uid="{10350993-67ED-403C-87A5-E01B238B5A26}"/>
    <cellStyle name="Currency 3 2 4 3 3" xfId="5465" xr:uid="{00000000-0005-0000-0000-0000340B0000}"/>
    <cellStyle name="Currency 3 2 4 3 3 2" xfId="13915" xr:uid="{DBBF97FE-F29E-400B-826A-E16359774C62}"/>
    <cellStyle name="Currency 3 2 4 3 4" xfId="9697" xr:uid="{FC0729A9-1325-4F69-BA5A-6CBF5D8FC0A4}"/>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54CEB372-0413-4AC4-AAD6-209355EBBD44}"/>
    <cellStyle name="Currency 3 2 4 4 2 3" xfId="12255" xr:uid="{814F8F5D-DB3B-4052-A0E4-E585281BBC60}"/>
    <cellStyle name="Currency 3 2 4 4 3" xfId="5878" xr:uid="{00000000-0005-0000-0000-0000380B0000}"/>
    <cellStyle name="Currency 3 2 4 4 3 2" xfId="14328" xr:uid="{572DC597-2633-4AA2-AB1D-F188B7A731D7}"/>
    <cellStyle name="Currency 3 2 4 4 4" xfId="10110" xr:uid="{13753B8F-1456-4536-98FD-D2AF08556043}"/>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CC48680C-1A71-4E55-B2AF-61CFBAB036DD}"/>
    <cellStyle name="Currency 3 2 4 5 2 3" xfId="12668" xr:uid="{5A8DA5B9-7FF6-42E8-BF84-F24219D6F876}"/>
    <cellStyle name="Currency 3 2 4 5 3" xfId="6291" xr:uid="{00000000-0005-0000-0000-00003C0B0000}"/>
    <cellStyle name="Currency 3 2 4 5 3 2" xfId="14741" xr:uid="{9B69DE98-B5AB-45C7-B07C-684ABFAD1341}"/>
    <cellStyle name="Currency 3 2 4 5 4" xfId="10523" xr:uid="{CFB02ACE-B4F1-410E-A448-DBBF41E1DB13}"/>
    <cellStyle name="Currency 3 2 4 6" xfId="2420" xr:uid="{00000000-0005-0000-0000-00003D0B0000}"/>
    <cellStyle name="Currency 3 2 4 6 2" xfId="6704" xr:uid="{00000000-0005-0000-0000-00003E0B0000}"/>
    <cellStyle name="Currency 3 2 4 6 2 2" xfId="15154" xr:uid="{7B53C3CC-0BC8-4E71-BB03-5ADA491D5F43}"/>
    <cellStyle name="Currency 3 2 4 6 3" xfId="10936" xr:uid="{FB862E43-D717-4D86-89E6-6A0219F691F0}"/>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9DFE1BBD-169E-4921-AD6E-A57BB70C3297}"/>
    <cellStyle name="Currency 3 2 4 8 3" xfId="11253" xr:uid="{2A242EE8-6F45-4B2B-8603-C0A1B72D3DFE}"/>
    <cellStyle name="Currency 3 2 4 9" xfId="4638" xr:uid="{00000000-0005-0000-0000-0000420B0000}"/>
    <cellStyle name="Currency 3 2 4 9 2" xfId="13088" xr:uid="{15143078-7F51-4DEC-B47E-7190922BB1A9}"/>
    <cellStyle name="Currency 3 2 5" xfId="185" xr:uid="{00000000-0005-0000-0000-0000430B0000}"/>
    <cellStyle name="Currency 3 2 5 10" xfId="8871" xr:uid="{FBD2EDA4-FD59-418A-B828-B1C3587D2FD7}"/>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F931F84B-5197-4C33-9CD9-2CB537BB3DCB}"/>
    <cellStyle name="Currency 3 2 5 2 2 3" xfId="11430" xr:uid="{CFB490B7-7CF6-4759-AB6B-C745AB249DEE}"/>
    <cellStyle name="Currency 3 2 5 2 3" xfId="5053" xr:uid="{00000000-0005-0000-0000-0000470B0000}"/>
    <cellStyle name="Currency 3 2 5 2 3 2" xfId="13503" xr:uid="{D0FDF8E1-B2BA-4BD9-B3A2-BC948FC96F30}"/>
    <cellStyle name="Currency 3 2 5 2 4" xfId="9285" xr:uid="{8B22AD05-EE96-485C-B302-23026526521C}"/>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8CD1E213-75AA-42F8-A55B-602950F62B0A}"/>
    <cellStyle name="Currency 3 2 5 3 2 3" xfId="11843" xr:uid="{7A2E188A-3B67-4C69-9150-02A36579C098}"/>
    <cellStyle name="Currency 3 2 5 3 3" xfId="5466" xr:uid="{00000000-0005-0000-0000-00004B0B0000}"/>
    <cellStyle name="Currency 3 2 5 3 3 2" xfId="13916" xr:uid="{986B015F-2AF5-4DA7-A2B3-F83267C9673C}"/>
    <cellStyle name="Currency 3 2 5 3 4" xfId="9698" xr:uid="{94E1D624-9056-42FE-8F27-01E78DF337D3}"/>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D3A7DABA-6AA3-4EC9-98E2-358F02DE4CCB}"/>
    <cellStyle name="Currency 3 2 5 4 2 3" xfId="12256" xr:uid="{4309BBEA-9AD8-48EF-9816-4F967A000F0C}"/>
    <cellStyle name="Currency 3 2 5 4 3" xfId="5879" xr:uid="{00000000-0005-0000-0000-00004F0B0000}"/>
    <cellStyle name="Currency 3 2 5 4 3 2" xfId="14329" xr:uid="{42FB6D37-FA43-4569-9150-FD619D69AFA0}"/>
    <cellStyle name="Currency 3 2 5 4 4" xfId="10111" xr:uid="{E32BE162-F135-4CE0-B25D-3F83EF0C5334}"/>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E68972C5-07DD-4FDF-8F39-3F4636F02862}"/>
    <cellStyle name="Currency 3 2 5 5 2 3" xfId="12669" xr:uid="{ED370404-0363-4FB4-96D9-21A007B2B53A}"/>
    <cellStyle name="Currency 3 2 5 5 3" xfId="6292" xr:uid="{00000000-0005-0000-0000-0000530B0000}"/>
    <cellStyle name="Currency 3 2 5 5 3 2" xfId="14742" xr:uid="{868137EF-EF1C-41B5-8C68-557EADBE8CC2}"/>
    <cellStyle name="Currency 3 2 5 5 4" xfId="10524" xr:uid="{328E94CD-1813-4512-95AD-242797FD3693}"/>
    <cellStyle name="Currency 3 2 5 6" xfId="2421" xr:uid="{00000000-0005-0000-0000-0000540B0000}"/>
    <cellStyle name="Currency 3 2 5 6 2" xfId="6705" xr:uid="{00000000-0005-0000-0000-0000550B0000}"/>
    <cellStyle name="Currency 3 2 5 6 2 2" xfId="15155" xr:uid="{1B704436-B564-4F96-B44B-A9FA3EA14354}"/>
    <cellStyle name="Currency 3 2 5 6 3" xfId="10937" xr:uid="{5CA68067-D511-481C-AD68-E19EC7F2530A}"/>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9105F032-EDE9-47F4-BE36-95D208F0AD96}"/>
    <cellStyle name="Currency 3 2 5 8 3" xfId="11254" xr:uid="{5498BFD3-C8CF-42B3-847A-71EF946E482D}"/>
    <cellStyle name="Currency 3 2 5 9" xfId="4639" xr:uid="{00000000-0005-0000-0000-0000590B0000}"/>
    <cellStyle name="Currency 3 2 5 9 2" xfId="13089" xr:uid="{C9F69048-1EDF-4CDC-B459-54BE1DB34633}"/>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1ACE5CC0-352A-4B2A-959A-9446F5B467FE}"/>
    <cellStyle name="Currency 5 2 2 2 10 3" xfId="11255" xr:uid="{A022255B-9149-4C28-BF9B-F94CAA58A09C}"/>
    <cellStyle name="Currency 5 2 2 2 11" xfId="4640" xr:uid="{00000000-0005-0000-0000-00006C0B0000}"/>
    <cellStyle name="Currency 5 2 2 2 11 2" xfId="13090" xr:uid="{567E514E-B510-45A4-889E-0F2212919C83}"/>
    <cellStyle name="Currency 5 2 2 2 12" xfId="8872" xr:uid="{91223DA2-F8B8-415E-BF1F-370DDD891C1D}"/>
    <cellStyle name="Currency 5 2 2 2 2" xfId="197" xr:uid="{00000000-0005-0000-0000-00006D0B0000}"/>
    <cellStyle name="Currency 5 2 2 2 2 10" xfId="4641" xr:uid="{00000000-0005-0000-0000-00006E0B0000}"/>
    <cellStyle name="Currency 5 2 2 2 2 10 2" xfId="13091" xr:uid="{CF30D29C-4488-4670-B920-568932AAE8E1}"/>
    <cellStyle name="Currency 5 2 2 2 2 11" xfId="8873" xr:uid="{3A7117E9-9517-40F4-96B4-4D3E70071B47}"/>
    <cellStyle name="Currency 5 2 2 2 2 2" xfId="198" xr:uid="{00000000-0005-0000-0000-00006F0B0000}"/>
    <cellStyle name="Currency 5 2 2 2 2 2 10" xfId="8874" xr:uid="{468EA822-6C33-4E36-822C-BD390B26AB79}"/>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5F4226EB-86CA-40C6-BEE9-900A20508E1E}"/>
    <cellStyle name="Currency 5 2 2 2 2 2 2 2 3" xfId="11433" xr:uid="{D2417977-95D7-4C16-A966-4A49988FD0EF}"/>
    <cellStyle name="Currency 5 2 2 2 2 2 2 3" xfId="5056" xr:uid="{00000000-0005-0000-0000-0000730B0000}"/>
    <cellStyle name="Currency 5 2 2 2 2 2 2 3 2" xfId="13506" xr:uid="{271A691D-27F7-47DA-BACA-5E48CCC6D883}"/>
    <cellStyle name="Currency 5 2 2 2 2 2 2 4" xfId="9288" xr:uid="{324C7D54-4475-4280-A13C-B802F6D91E83}"/>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F3A3177F-1B55-46D1-B64B-8ABA4DB302EC}"/>
    <cellStyle name="Currency 5 2 2 2 2 2 3 2 3" xfId="11846" xr:uid="{6F038A08-796C-43C9-879B-FA9D41CB91BB}"/>
    <cellStyle name="Currency 5 2 2 2 2 2 3 3" xfId="5469" xr:uid="{00000000-0005-0000-0000-0000770B0000}"/>
    <cellStyle name="Currency 5 2 2 2 2 2 3 3 2" xfId="13919" xr:uid="{33B02232-530A-4E74-B234-55DF2F07E6A7}"/>
    <cellStyle name="Currency 5 2 2 2 2 2 3 4" xfId="9701" xr:uid="{3ED60F36-9408-45D2-A5E7-160C59FA1E12}"/>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0B0C1D9E-9A1B-4949-9C63-59A1B2CC628A}"/>
    <cellStyle name="Currency 5 2 2 2 2 2 4 2 3" xfId="12259" xr:uid="{021FDAF9-AE9A-402E-BF17-B1029F393AD3}"/>
    <cellStyle name="Currency 5 2 2 2 2 2 4 3" xfId="5882" xr:uid="{00000000-0005-0000-0000-00007B0B0000}"/>
    <cellStyle name="Currency 5 2 2 2 2 2 4 3 2" xfId="14332" xr:uid="{6644584B-1CF6-4199-82B3-68B0420D89BC}"/>
    <cellStyle name="Currency 5 2 2 2 2 2 4 4" xfId="10114" xr:uid="{6B819DEB-B71D-4C42-84C9-CA79C329B2C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44BAAEFC-1ECB-4CE1-81B5-A2647C4AD0CA}"/>
    <cellStyle name="Currency 5 2 2 2 2 2 5 2 3" xfId="12672" xr:uid="{E3854B4D-E793-46FC-978F-563F5D7E32DC}"/>
    <cellStyle name="Currency 5 2 2 2 2 2 5 3" xfId="6295" xr:uid="{00000000-0005-0000-0000-00007F0B0000}"/>
    <cellStyle name="Currency 5 2 2 2 2 2 5 3 2" xfId="14745" xr:uid="{E68E9884-E68F-4DF6-903E-E50B157BC607}"/>
    <cellStyle name="Currency 5 2 2 2 2 2 5 4" xfId="10527" xr:uid="{63F2D5FE-646F-4C7E-924A-FAE4E9969849}"/>
    <cellStyle name="Currency 5 2 2 2 2 2 6" xfId="2424" xr:uid="{00000000-0005-0000-0000-0000800B0000}"/>
    <cellStyle name="Currency 5 2 2 2 2 2 6 2" xfId="6708" xr:uid="{00000000-0005-0000-0000-0000810B0000}"/>
    <cellStyle name="Currency 5 2 2 2 2 2 6 2 2" xfId="15158" xr:uid="{F9B85D97-84A9-4BFE-832A-4E60491827BD}"/>
    <cellStyle name="Currency 5 2 2 2 2 2 6 3" xfId="10940" xr:uid="{48D02503-48BB-429B-80D6-FCF7F6E7C715}"/>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C824769B-A922-4829-AFFD-786D38B3CD71}"/>
    <cellStyle name="Currency 5 2 2 2 2 2 8 3" xfId="11257" xr:uid="{3ADDFFCC-3B11-4BC9-90B4-18AE6CD7F172}"/>
    <cellStyle name="Currency 5 2 2 2 2 2 9" xfId="4642" xr:uid="{00000000-0005-0000-0000-0000850B0000}"/>
    <cellStyle name="Currency 5 2 2 2 2 2 9 2" xfId="13092" xr:uid="{10D16CD6-612D-47B8-9F4A-A0BDCB02EE71}"/>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82C7558E-9698-48A0-A6A9-25FFEFC384F8}"/>
    <cellStyle name="Currency 5 2 2 2 2 3 2 3" xfId="11432" xr:uid="{39BFB8D0-A9AA-47F8-A4D5-E5885454C5F5}"/>
    <cellStyle name="Currency 5 2 2 2 2 3 3" xfId="5055" xr:uid="{00000000-0005-0000-0000-0000890B0000}"/>
    <cellStyle name="Currency 5 2 2 2 2 3 3 2" xfId="13505" xr:uid="{894B1D18-415D-4CDB-8295-39F4144CC593}"/>
    <cellStyle name="Currency 5 2 2 2 2 3 4" xfId="9287" xr:uid="{CA1B0F6A-1EAE-4142-B9BA-0A99DAD6C7D7}"/>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486BFD3D-5AC5-4D6F-BD16-6D1AD06670C9}"/>
    <cellStyle name="Currency 5 2 2 2 2 4 2 3" xfId="11845" xr:uid="{792D6266-7504-46AE-8EBE-AD1F4A8C7BEB}"/>
    <cellStyle name="Currency 5 2 2 2 2 4 3" xfId="5468" xr:uid="{00000000-0005-0000-0000-00008D0B0000}"/>
    <cellStyle name="Currency 5 2 2 2 2 4 3 2" xfId="13918" xr:uid="{F7C6BB9B-ED5E-4C87-BD23-1AF454390F99}"/>
    <cellStyle name="Currency 5 2 2 2 2 4 4" xfId="9700" xr:uid="{90A03614-0B9D-418D-8E55-EC2ABC8138C5}"/>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89701BD9-1AD0-44C7-BD79-B8FE5EA15104}"/>
    <cellStyle name="Currency 5 2 2 2 2 5 2 3" xfId="12258" xr:uid="{69375DFF-8B43-48D8-BA0F-6BF8B6903FCA}"/>
    <cellStyle name="Currency 5 2 2 2 2 5 3" xfId="5881" xr:uid="{00000000-0005-0000-0000-0000910B0000}"/>
    <cellStyle name="Currency 5 2 2 2 2 5 3 2" xfId="14331" xr:uid="{92396B4C-E3CD-4EED-8AF1-55F7AE8E9107}"/>
    <cellStyle name="Currency 5 2 2 2 2 5 4" xfId="10113" xr:uid="{B5731B00-86F1-49A6-A14C-6932160140DA}"/>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65FBDB53-EBD2-4E29-8640-E286A4529B6E}"/>
    <cellStyle name="Currency 5 2 2 2 2 6 2 3" xfId="12671" xr:uid="{0D13FD6D-659B-48B5-A6D4-8938815DDCAB}"/>
    <cellStyle name="Currency 5 2 2 2 2 6 3" xfId="6294" xr:uid="{00000000-0005-0000-0000-0000950B0000}"/>
    <cellStyle name="Currency 5 2 2 2 2 6 3 2" xfId="14744" xr:uid="{80017CCF-C1CC-4246-8497-FD92FC66F659}"/>
    <cellStyle name="Currency 5 2 2 2 2 6 4" xfId="10526" xr:uid="{7405A802-466F-43E6-954D-3193E965266B}"/>
    <cellStyle name="Currency 5 2 2 2 2 7" xfId="2423" xr:uid="{00000000-0005-0000-0000-0000960B0000}"/>
    <cellStyle name="Currency 5 2 2 2 2 7 2" xfId="6707" xr:uid="{00000000-0005-0000-0000-0000970B0000}"/>
    <cellStyle name="Currency 5 2 2 2 2 7 2 2" xfId="15157" xr:uid="{3CD0AE71-4C33-49EA-89F2-5382A4CC797E}"/>
    <cellStyle name="Currency 5 2 2 2 2 7 3" xfId="10939" xr:uid="{9C23AB80-8442-4A43-9EF9-F2A20847B5C6}"/>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1604FAC0-657F-48BD-9084-C0416025AD12}"/>
    <cellStyle name="Currency 5 2 2 2 2 9 3" xfId="11256" xr:uid="{8B974B18-5886-4C16-8E0C-AF1E3C7F53FC}"/>
    <cellStyle name="Currency 5 2 2 2 3" xfId="199" xr:uid="{00000000-0005-0000-0000-00009B0B0000}"/>
    <cellStyle name="Currency 5 2 2 2 3 10" xfId="8875" xr:uid="{879E0717-9EF9-42F8-ADEC-08300EAD9C0F}"/>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4C9631B0-1BA0-453A-9B58-61C8DE33B472}"/>
    <cellStyle name="Currency 5 2 2 2 3 2 2 3" xfId="11434" xr:uid="{7BB8DA31-4582-47E0-8E3A-AF38F1D58836}"/>
    <cellStyle name="Currency 5 2 2 2 3 2 3" xfId="5057" xr:uid="{00000000-0005-0000-0000-00009F0B0000}"/>
    <cellStyle name="Currency 5 2 2 2 3 2 3 2" xfId="13507" xr:uid="{19628DC8-AE82-4379-BBFE-3E1806B26330}"/>
    <cellStyle name="Currency 5 2 2 2 3 2 4" xfId="9289" xr:uid="{477D171F-E2F7-42FD-9334-FE73DDCABDC8}"/>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A4B80C37-95AA-4827-BF26-4316DBE99E7F}"/>
    <cellStyle name="Currency 5 2 2 2 3 3 2 3" xfId="11847" xr:uid="{F12FED84-BA0A-46B9-9D23-8AD95C0B3D69}"/>
    <cellStyle name="Currency 5 2 2 2 3 3 3" xfId="5470" xr:uid="{00000000-0005-0000-0000-0000A30B0000}"/>
    <cellStyle name="Currency 5 2 2 2 3 3 3 2" xfId="13920" xr:uid="{208FD1E8-BFD3-4D5D-BF2B-EB7060BA497F}"/>
    <cellStyle name="Currency 5 2 2 2 3 3 4" xfId="9702" xr:uid="{4523F1E1-B50E-4D0D-959E-45B313E8F3D8}"/>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E57C6F06-3D6A-49CB-A56D-B1A2C2F10370}"/>
    <cellStyle name="Currency 5 2 2 2 3 4 2 3" xfId="12260" xr:uid="{76F22E16-6D44-4EF9-8662-25DF8AC3006F}"/>
    <cellStyle name="Currency 5 2 2 2 3 4 3" xfId="5883" xr:uid="{00000000-0005-0000-0000-0000A70B0000}"/>
    <cellStyle name="Currency 5 2 2 2 3 4 3 2" xfId="14333" xr:uid="{83404E0F-FD7A-46DC-B921-36488803DA60}"/>
    <cellStyle name="Currency 5 2 2 2 3 4 4" xfId="10115" xr:uid="{3D39E8C5-3508-4F62-9433-7DAEF5CD8E9C}"/>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E8ED5083-DC48-44AF-97C5-EE66CB8D468D}"/>
    <cellStyle name="Currency 5 2 2 2 3 5 2 3" xfId="12673" xr:uid="{368407BD-CC86-4257-82BE-FB40961B135A}"/>
    <cellStyle name="Currency 5 2 2 2 3 5 3" xfId="6296" xr:uid="{00000000-0005-0000-0000-0000AB0B0000}"/>
    <cellStyle name="Currency 5 2 2 2 3 5 3 2" xfId="14746" xr:uid="{06996018-93B7-4BFC-AD67-49985E4B733A}"/>
    <cellStyle name="Currency 5 2 2 2 3 5 4" xfId="10528" xr:uid="{B35FDC37-26A8-4703-B636-463C686C3C10}"/>
    <cellStyle name="Currency 5 2 2 2 3 6" xfId="2425" xr:uid="{00000000-0005-0000-0000-0000AC0B0000}"/>
    <cellStyle name="Currency 5 2 2 2 3 6 2" xfId="6709" xr:uid="{00000000-0005-0000-0000-0000AD0B0000}"/>
    <cellStyle name="Currency 5 2 2 2 3 6 2 2" xfId="15159" xr:uid="{1F8E7C63-9E78-4FD4-A18F-06E53494FEC3}"/>
    <cellStyle name="Currency 5 2 2 2 3 6 3" xfId="10941" xr:uid="{C42CFA71-724C-4D94-8A2D-1B0D85DCDA65}"/>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18A33DFC-F52E-4575-89B5-AF354F375D5D}"/>
    <cellStyle name="Currency 5 2 2 2 3 8 3" xfId="11258" xr:uid="{07827AAB-2573-4410-B8BE-05C1409652EA}"/>
    <cellStyle name="Currency 5 2 2 2 3 9" xfId="4643" xr:uid="{00000000-0005-0000-0000-0000B10B0000}"/>
    <cellStyle name="Currency 5 2 2 2 3 9 2" xfId="13093" xr:uid="{BC7A9B15-F757-4E13-B8E6-D8124732D51A}"/>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A0BAB7B5-0A29-4096-A389-B52428F4B531}"/>
    <cellStyle name="Currency 5 2 2 2 4 2 3" xfId="11431" xr:uid="{5B0BDDA8-85C2-4D7D-B154-4986FBF7B1AA}"/>
    <cellStyle name="Currency 5 2 2 2 4 3" xfId="5054" xr:uid="{00000000-0005-0000-0000-0000B50B0000}"/>
    <cellStyle name="Currency 5 2 2 2 4 3 2" xfId="13504" xr:uid="{FE28D7FE-7479-423D-BA10-A5AF8E19B56E}"/>
    <cellStyle name="Currency 5 2 2 2 4 4" xfId="9286" xr:uid="{504BA075-9C31-4336-8AF2-E307642D5DD7}"/>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BDD518CD-E1C3-403C-B826-485618EF85A3}"/>
    <cellStyle name="Currency 5 2 2 2 5 2 3" xfId="11844" xr:uid="{362BE334-F9DA-4FE5-A1F1-8D7063BA3805}"/>
    <cellStyle name="Currency 5 2 2 2 5 3" xfId="5467" xr:uid="{00000000-0005-0000-0000-0000B90B0000}"/>
    <cellStyle name="Currency 5 2 2 2 5 3 2" xfId="13917" xr:uid="{900BED14-6E7C-4C47-9755-CEBA58EB265C}"/>
    <cellStyle name="Currency 5 2 2 2 5 4" xfId="9699" xr:uid="{00A8EA09-9919-4E40-AC8D-96B8A3B062B6}"/>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600676EB-0E38-4C48-B2AF-857FA952347D}"/>
    <cellStyle name="Currency 5 2 2 2 6 2 3" xfId="12257" xr:uid="{5EBD533C-3385-4931-AAE6-29709031B02D}"/>
    <cellStyle name="Currency 5 2 2 2 6 3" xfId="5880" xr:uid="{00000000-0005-0000-0000-0000BD0B0000}"/>
    <cellStyle name="Currency 5 2 2 2 6 3 2" xfId="14330" xr:uid="{18A651A7-4F8A-41D1-A4E0-735288963567}"/>
    <cellStyle name="Currency 5 2 2 2 6 4" xfId="10112" xr:uid="{4E10D8A9-5FFF-4389-825D-B939C27AD80B}"/>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522AD036-BC86-4364-87DB-50DC3BF13095}"/>
    <cellStyle name="Currency 5 2 2 2 7 2 3" xfId="12670" xr:uid="{FC270254-112E-40E3-9508-C21D7910332E}"/>
    <cellStyle name="Currency 5 2 2 2 7 3" xfId="6293" xr:uid="{00000000-0005-0000-0000-0000C10B0000}"/>
    <cellStyle name="Currency 5 2 2 2 7 3 2" xfId="14743" xr:uid="{0411174C-9D89-4E38-954E-BAFE934B91EE}"/>
    <cellStyle name="Currency 5 2 2 2 7 4" xfId="10525" xr:uid="{172C58A9-A8F2-4AD4-BD13-CAB3A6EF0B5C}"/>
    <cellStyle name="Currency 5 2 2 2 8" xfId="2422" xr:uid="{00000000-0005-0000-0000-0000C20B0000}"/>
    <cellStyle name="Currency 5 2 2 2 8 2" xfId="6706" xr:uid="{00000000-0005-0000-0000-0000C30B0000}"/>
    <cellStyle name="Currency 5 2 2 2 8 2 2" xfId="15156" xr:uid="{6C47DFD5-2FBF-4082-8BE7-AD566261E52B}"/>
    <cellStyle name="Currency 5 2 2 2 8 3" xfId="10938" xr:uid="{E0CDD190-572A-4979-A655-FE7493BCA4A6}"/>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31CDAD78-D6D8-4098-9C43-69EEACBA4F45}"/>
    <cellStyle name="Currency 5 2 2 3 11" xfId="8876" xr:uid="{D4635B05-6F34-4C41-95BF-4728C6945AC4}"/>
    <cellStyle name="Currency 5 2 2 3 2" xfId="201" xr:uid="{00000000-0005-0000-0000-0000C70B0000}"/>
    <cellStyle name="Currency 5 2 2 3 2 10" xfId="8877" xr:uid="{F47C9E4D-179C-487F-9C0D-C9F76A74FC21}"/>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07BAC735-14BB-4E3B-B629-D456869CB783}"/>
    <cellStyle name="Currency 5 2 2 3 2 2 2 3" xfId="11436" xr:uid="{90218E5A-AD45-49DE-A663-85741C630041}"/>
    <cellStyle name="Currency 5 2 2 3 2 2 3" xfId="5059" xr:uid="{00000000-0005-0000-0000-0000CB0B0000}"/>
    <cellStyle name="Currency 5 2 2 3 2 2 3 2" xfId="13509" xr:uid="{2F75CC94-A454-41E5-B3E7-15E76DA9ED70}"/>
    <cellStyle name="Currency 5 2 2 3 2 2 4" xfId="9291" xr:uid="{884B22B5-C182-4EC6-AAB4-99ACF6D4FD61}"/>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14017778-71FC-4FDB-AB65-01E4220B423E}"/>
    <cellStyle name="Currency 5 2 2 3 2 3 2 3" xfId="11849" xr:uid="{768339C3-2545-44BA-928D-1F325A64EF1D}"/>
    <cellStyle name="Currency 5 2 2 3 2 3 3" xfId="5472" xr:uid="{00000000-0005-0000-0000-0000CF0B0000}"/>
    <cellStyle name="Currency 5 2 2 3 2 3 3 2" xfId="13922" xr:uid="{B515CFBC-0560-4853-A530-477081829906}"/>
    <cellStyle name="Currency 5 2 2 3 2 3 4" xfId="9704" xr:uid="{D29EB67E-DAFB-4CD2-8361-59D8B87C3ACB}"/>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A6FDCCBB-7C87-46E2-90F8-10E12A3D4243}"/>
    <cellStyle name="Currency 5 2 2 3 2 4 2 3" xfId="12262" xr:uid="{50466D5D-8E16-467B-9D8B-4A54ED68BE13}"/>
    <cellStyle name="Currency 5 2 2 3 2 4 3" xfId="5885" xr:uid="{00000000-0005-0000-0000-0000D30B0000}"/>
    <cellStyle name="Currency 5 2 2 3 2 4 3 2" xfId="14335" xr:uid="{4EB5E7AF-8247-4F55-8E20-359F73250A53}"/>
    <cellStyle name="Currency 5 2 2 3 2 4 4" xfId="10117" xr:uid="{2A9B1DFB-B3D4-4CB5-B40E-D6FA5C5A5C3C}"/>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EAB6DDC3-0E1B-4259-9B63-3BD1FF40CD68}"/>
    <cellStyle name="Currency 5 2 2 3 2 5 2 3" xfId="12675" xr:uid="{39405824-EC5E-4170-BD42-407D78497468}"/>
    <cellStyle name="Currency 5 2 2 3 2 5 3" xfId="6298" xr:uid="{00000000-0005-0000-0000-0000D70B0000}"/>
    <cellStyle name="Currency 5 2 2 3 2 5 3 2" xfId="14748" xr:uid="{2B316856-028B-4BED-84D2-4A7B825F4234}"/>
    <cellStyle name="Currency 5 2 2 3 2 5 4" xfId="10530" xr:uid="{EC838838-D394-498D-B39D-6DDE8BC11DD2}"/>
    <cellStyle name="Currency 5 2 2 3 2 6" xfId="2427" xr:uid="{00000000-0005-0000-0000-0000D80B0000}"/>
    <cellStyle name="Currency 5 2 2 3 2 6 2" xfId="6711" xr:uid="{00000000-0005-0000-0000-0000D90B0000}"/>
    <cellStyle name="Currency 5 2 2 3 2 6 2 2" xfId="15161" xr:uid="{045140AE-D0AA-45DC-BF11-9703F163E665}"/>
    <cellStyle name="Currency 5 2 2 3 2 6 3" xfId="10943" xr:uid="{6218ECD2-A54B-4D97-8A6F-5100516410D7}"/>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7093B86B-23CF-4C0B-9345-EBDB06A9F8D0}"/>
    <cellStyle name="Currency 5 2 2 3 2 8 3" xfId="11260" xr:uid="{9BE67C8C-822C-43F8-9769-3D4FE3A4F079}"/>
    <cellStyle name="Currency 5 2 2 3 2 9" xfId="4645" xr:uid="{00000000-0005-0000-0000-0000DD0B0000}"/>
    <cellStyle name="Currency 5 2 2 3 2 9 2" xfId="13095" xr:uid="{FB25865C-3FF4-42DC-9D6B-029A64056A34}"/>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ABEEEF5E-7FE9-4271-8B59-96CE604EA64D}"/>
    <cellStyle name="Currency 5 2 2 3 3 2 3" xfId="11435" xr:uid="{ECEB4A8A-7BAC-4FF4-80EB-5A5ADC3F0607}"/>
    <cellStyle name="Currency 5 2 2 3 3 3" xfId="5058" xr:uid="{00000000-0005-0000-0000-0000E10B0000}"/>
    <cellStyle name="Currency 5 2 2 3 3 3 2" xfId="13508" xr:uid="{55193879-BD88-4973-AEB9-0BB218540D9A}"/>
    <cellStyle name="Currency 5 2 2 3 3 4" xfId="9290" xr:uid="{FED0B55A-8EB6-4348-A589-76B93C40BE42}"/>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C650EA90-F8C7-48CA-8082-930611C1B578}"/>
    <cellStyle name="Currency 5 2 2 3 4 2 3" xfId="11848" xr:uid="{17FC5DD6-68FE-4B09-88D4-899DEF5058EC}"/>
    <cellStyle name="Currency 5 2 2 3 4 3" xfId="5471" xr:uid="{00000000-0005-0000-0000-0000E50B0000}"/>
    <cellStyle name="Currency 5 2 2 3 4 3 2" xfId="13921" xr:uid="{927DC243-F491-45A6-A420-174DDD951205}"/>
    <cellStyle name="Currency 5 2 2 3 4 4" xfId="9703" xr:uid="{9F9335FE-5DD6-4959-88F9-8218180C245E}"/>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520885BA-4D9C-4A65-8A6F-A09B53DE40ED}"/>
    <cellStyle name="Currency 5 2 2 3 5 2 3" xfId="12261" xr:uid="{D7909F79-EE22-4255-AC80-51774C38C02B}"/>
    <cellStyle name="Currency 5 2 2 3 5 3" xfId="5884" xr:uid="{00000000-0005-0000-0000-0000E90B0000}"/>
    <cellStyle name="Currency 5 2 2 3 5 3 2" xfId="14334" xr:uid="{C07DF686-79CB-49B5-BBD9-57824E3ED24A}"/>
    <cellStyle name="Currency 5 2 2 3 5 4" xfId="10116" xr:uid="{5FD69F84-93FA-4297-BB4B-DBBA7D27BA76}"/>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0A166409-5342-4D15-949E-716A897CE81D}"/>
    <cellStyle name="Currency 5 2 2 3 6 2 3" xfId="12674" xr:uid="{C35E10B3-32EC-4236-BD4C-A04E991FB8EA}"/>
    <cellStyle name="Currency 5 2 2 3 6 3" xfId="6297" xr:uid="{00000000-0005-0000-0000-0000ED0B0000}"/>
    <cellStyle name="Currency 5 2 2 3 6 3 2" xfId="14747" xr:uid="{10A263C9-3DBA-4576-99FF-EFDA3EA075B3}"/>
    <cellStyle name="Currency 5 2 2 3 6 4" xfId="10529" xr:uid="{5D9235B9-CF6D-41FF-A961-1DB656925429}"/>
    <cellStyle name="Currency 5 2 2 3 7" xfId="2426" xr:uid="{00000000-0005-0000-0000-0000EE0B0000}"/>
    <cellStyle name="Currency 5 2 2 3 7 2" xfId="6710" xr:uid="{00000000-0005-0000-0000-0000EF0B0000}"/>
    <cellStyle name="Currency 5 2 2 3 7 2 2" xfId="15160" xr:uid="{3DEDC8F6-10DB-41D1-87FE-7E7DC08E4A81}"/>
    <cellStyle name="Currency 5 2 2 3 7 3" xfId="10942" xr:uid="{5FDDD9DD-1C4F-441A-AFE2-F1C5A44AFABA}"/>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0B5C5092-A972-4554-893F-4CB1E1E04228}"/>
    <cellStyle name="Currency 5 2 2 3 9 3" xfId="11259" xr:uid="{1784698D-D383-4472-A380-CA34F841C21D}"/>
    <cellStyle name="Currency 5 2 2 4" xfId="202" xr:uid="{00000000-0005-0000-0000-0000F30B0000}"/>
    <cellStyle name="Currency 5 2 2 4 10" xfId="8878" xr:uid="{5124A5CA-2A18-4450-BB31-54219A8DAB57}"/>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E05E7D67-5D03-4C99-BF1C-5DD68B748D8D}"/>
    <cellStyle name="Currency 5 2 2 4 2 2 3" xfId="11437" xr:uid="{F16043F9-00AA-4937-A4F2-E6F1334B7631}"/>
    <cellStyle name="Currency 5 2 2 4 2 3" xfId="5060" xr:uid="{00000000-0005-0000-0000-0000F70B0000}"/>
    <cellStyle name="Currency 5 2 2 4 2 3 2" xfId="13510" xr:uid="{FC075839-0E17-47C7-9AC9-9849C4B45410}"/>
    <cellStyle name="Currency 5 2 2 4 2 4" xfId="9292" xr:uid="{FEF3ED31-B1D6-49B8-83ED-9A58F072718D}"/>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CA921A61-144D-4EE3-A9EE-3CAE2FD1E402}"/>
    <cellStyle name="Currency 5 2 2 4 3 2 3" xfId="11850" xr:uid="{5A8F361D-111C-4B2A-ABCC-CC60A73DEE45}"/>
    <cellStyle name="Currency 5 2 2 4 3 3" xfId="5473" xr:uid="{00000000-0005-0000-0000-0000FB0B0000}"/>
    <cellStyle name="Currency 5 2 2 4 3 3 2" xfId="13923" xr:uid="{6740FF00-9AD7-4231-9162-225509F41C96}"/>
    <cellStyle name="Currency 5 2 2 4 3 4" xfId="9705" xr:uid="{C25BD851-3A1A-4B96-AA3E-28052F817198}"/>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2FD31614-69F5-47BE-A0CE-50D6DACB8ABF}"/>
    <cellStyle name="Currency 5 2 2 4 4 2 3" xfId="12263" xr:uid="{E3199021-319B-44DF-9A3F-94837B320419}"/>
    <cellStyle name="Currency 5 2 2 4 4 3" xfId="5886" xr:uid="{00000000-0005-0000-0000-0000FF0B0000}"/>
    <cellStyle name="Currency 5 2 2 4 4 3 2" xfId="14336" xr:uid="{E6F4D856-2DDA-4ECC-B80B-5C17014F545C}"/>
    <cellStyle name="Currency 5 2 2 4 4 4" xfId="10118" xr:uid="{3D2987C5-1BE2-4EF4-A3BF-D5D935BED82D}"/>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0041D440-8DBA-423D-ABE5-48C2C8313EBF}"/>
    <cellStyle name="Currency 5 2 2 4 5 2 3" xfId="12676" xr:uid="{5FDDD1AA-0684-4E69-B6E6-94603AF83FF8}"/>
    <cellStyle name="Currency 5 2 2 4 5 3" xfId="6299" xr:uid="{00000000-0005-0000-0000-0000030C0000}"/>
    <cellStyle name="Currency 5 2 2 4 5 3 2" xfId="14749" xr:uid="{AEA28D7F-CB6A-4850-A1A4-B5171DC72C33}"/>
    <cellStyle name="Currency 5 2 2 4 5 4" xfId="10531" xr:uid="{313A2EA4-1373-418E-9793-BC5F2D73C5CF}"/>
    <cellStyle name="Currency 5 2 2 4 6" xfId="2428" xr:uid="{00000000-0005-0000-0000-0000040C0000}"/>
    <cellStyle name="Currency 5 2 2 4 6 2" xfId="6712" xr:uid="{00000000-0005-0000-0000-0000050C0000}"/>
    <cellStyle name="Currency 5 2 2 4 6 2 2" xfId="15162" xr:uid="{0455164B-14B5-49D3-957E-847CBCEA9555}"/>
    <cellStyle name="Currency 5 2 2 4 6 3" xfId="10944" xr:uid="{C6C88723-3DA1-47EA-A66B-C46556449815}"/>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AAAFEBEC-4032-4638-B6FC-C0753FA17FE9}"/>
    <cellStyle name="Currency 5 2 2 4 8 3" xfId="11261" xr:uid="{9F11B020-7D3D-4361-95D1-DEBA45F8186C}"/>
    <cellStyle name="Currency 5 2 2 4 9" xfId="4646" xr:uid="{00000000-0005-0000-0000-0000090C0000}"/>
    <cellStyle name="Currency 5 2 2 4 9 2" xfId="13096" xr:uid="{70DC1107-647E-44DF-B1BF-7645750E43AA}"/>
    <cellStyle name="Currency 5 2 2 5" xfId="203" xr:uid="{00000000-0005-0000-0000-00000A0C0000}"/>
    <cellStyle name="Currency 5 2 2 5 10" xfId="8879" xr:uid="{E77571BA-B4EE-4ABF-B4AA-B762D5A3D1B7}"/>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469EDDED-6592-484D-8352-536EB618DD48}"/>
    <cellStyle name="Currency 5 2 2 5 2 2 3" xfId="11438" xr:uid="{A1A0E08D-7221-4C1F-84C4-950C214D0318}"/>
    <cellStyle name="Currency 5 2 2 5 2 3" xfId="5061" xr:uid="{00000000-0005-0000-0000-00000E0C0000}"/>
    <cellStyle name="Currency 5 2 2 5 2 3 2" xfId="13511" xr:uid="{21CBFA78-C85D-463C-AEFF-AD2828894AF9}"/>
    <cellStyle name="Currency 5 2 2 5 2 4" xfId="9293" xr:uid="{E7D5CEF4-9F47-46AD-A99A-25B33B1CECFD}"/>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99AF7992-63B7-4C51-91C6-51C107AA50E2}"/>
    <cellStyle name="Currency 5 2 2 5 3 2 3" xfId="11851" xr:uid="{B784C215-CAA4-40C8-98D3-891CD19D3C64}"/>
    <cellStyle name="Currency 5 2 2 5 3 3" xfId="5474" xr:uid="{00000000-0005-0000-0000-0000120C0000}"/>
    <cellStyle name="Currency 5 2 2 5 3 3 2" xfId="13924" xr:uid="{4852053C-FA64-47CB-A1F5-A0C35F09F6F7}"/>
    <cellStyle name="Currency 5 2 2 5 3 4" xfId="9706" xr:uid="{4A0FF34A-E526-40A8-8E88-DAB1E88D6422}"/>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3D8E549F-EEFA-49F0-8751-560ED7B50451}"/>
    <cellStyle name="Currency 5 2 2 5 4 2 3" xfId="12264" xr:uid="{2BBC92CF-9A60-4004-A004-BE3F6A1E1D5D}"/>
    <cellStyle name="Currency 5 2 2 5 4 3" xfId="5887" xr:uid="{00000000-0005-0000-0000-0000160C0000}"/>
    <cellStyle name="Currency 5 2 2 5 4 3 2" xfId="14337" xr:uid="{5CB7E4A1-8598-4CA9-8ABE-46FF0476A0B3}"/>
    <cellStyle name="Currency 5 2 2 5 4 4" xfId="10119" xr:uid="{BD3EB8D9-2FB1-421D-9202-74B549520525}"/>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409F1744-A959-4310-9E67-7E3E304B57A0}"/>
    <cellStyle name="Currency 5 2 2 5 5 2 3" xfId="12677" xr:uid="{6F255787-97D8-48D3-9241-9821F31E6DF7}"/>
    <cellStyle name="Currency 5 2 2 5 5 3" xfId="6300" xr:uid="{00000000-0005-0000-0000-00001A0C0000}"/>
    <cellStyle name="Currency 5 2 2 5 5 3 2" xfId="14750" xr:uid="{7F48E073-86F9-4E06-B5E6-F4E1FE8D0B9C}"/>
    <cellStyle name="Currency 5 2 2 5 5 4" xfId="10532" xr:uid="{66977B2B-A6F4-422C-8719-4D3CB8706E0A}"/>
    <cellStyle name="Currency 5 2 2 5 6" xfId="2429" xr:uid="{00000000-0005-0000-0000-00001B0C0000}"/>
    <cellStyle name="Currency 5 2 2 5 6 2" xfId="6713" xr:uid="{00000000-0005-0000-0000-00001C0C0000}"/>
    <cellStyle name="Currency 5 2 2 5 6 2 2" xfId="15163" xr:uid="{CAED2327-11F9-4211-A125-435788C24610}"/>
    <cellStyle name="Currency 5 2 2 5 6 3" xfId="10945" xr:uid="{159CF162-1D06-4B99-B9F1-1403B4209BBD}"/>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AC944336-4A3F-437A-8017-95058AEDD5B6}"/>
    <cellStyle name="Currency 5 2 2 5 8 3" xfId="11262" xr:uid="{9C4B742E-3290-4B48-BB0A-6178A7265EB2}"/>
    <cellStyle name="Currency 5 2 2 5 9" xfId="4647" xr:uid="{00000000-0005-0000-0000-0000200C0000}"/>
    <cellStyle name="Currency 5 2 2 5 9 2" xfId="13097" xr:uid="{33CF8952-0E81-4751-A700-FB407733F7CC}"/>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1A030812-21BD-43D3-A4FE-44224681761B}"/>
    <cellStyle name="Currency 5 2 4 11" xfId="8880" xr:uid="{7F0A3A55-A801-4EC5-8BA6-DB16861D9D19}"/>
    <cellStyle name="Currency 5 2 4 2" xfId="206" xr:uid="{00000000-0005-0000-0000-0000250C0000}"/>
    <cellStyle name="Currency 5 2 4 2 10" xfId="8881" xr:uid="{604EE19E-D015-488C-9DB9-5447D9A9713C}"/>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AA392D6C-0D37-4E07-B6E5-950A261A7008}"/>
    <cellStyle name="Currency 5 2 4 2 2 2 3" xfId="11440" xr:uid="{5B313EE2-BC3F-4539-BECC-C5BA7107FD4C}"/>
    <cellStyle name="Currency 5 2 4 2 2 3" xfId="5063" xr:uid="{00000000-0005-0000-0000-0000290C0000}"/>
    <cellStyle name="Currency 5 2 4 2 2 3 2" xfId="13513" xr:uid="{D39BC7E3-CCA6-401B-953B-FACB72B1623A}"/>
    <cellStyle name="Currency 5 2 4 2 2 4" xfId="9295" xr:uid="{A1B3BC74-2DE8-42F0-AE3E-E86D892B31E3}"/>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DE2604B4-D0E5-4D43-902E-779C76F4E2DF}"/>
    <cellStyle name="Currency 5 2 4 2 3 2 3" xfId="11853" xr:uid="{C1983FF6-7A2E-449B-9488-4750A86A6DB5}"/>
    <cellStyle name="Currency 5 2 4 2 3 3" xfId="5476" xr:uid="{00000000-0005-0000-0000-00002D0C0000}"/>
    <cellStyle name="Currency 5 2 4 2 3 3 2" xfId="13926" xr:uid="{E43AD355-E3AF-4CFC-94A1-0B10763CA2B7}"/>
    <cellStyle name="Currency 5 2 4 2 3 4" xfId="9708" xr:uid="{99B3D8B0-22C5-4AC3-AE5A-51257CBF53EB}"/>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6C2B1A3B-5A76-4A4C-9B58-0717F70ABDE8}"/>
    <cellStyle name="Currency 5 2 4 2 4 2 3" xfId="12266" xr:uid="{7901B145-861B-4EDD-97FF-4A9CDB35DC97}"/>
    <cellStyle name="Currency 5 2 4 2 4 3" xfId="5889" xr:uid="{00000000-0005-0000-0000-0000310C0000}"/>
    <cellStyle name="Currency 5 2 4 2 4 3 2" xfId="14339" xr:uid="{736DEE4A-004F-459C-897E-77D973EE9A6B}"/>
    <cellStyle name="Currency 5 2 4 2 4 4" xfId="10121" xr:uid="{B33F186E-9011-4FBB-8613-DAC428923F63}"/>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8879BE5E-6EF0-494E-B110-C9E7CB4EF6A2}"/>
    <cellStyle name="Currency 5 2 4 2 5 2 3" xfId="12679" xr:uid="{E5C1F614-474D-42A0-83BA-042E9B87C42D}"/>
    <cellStyle name="Currency 5 2 4 2 5 3" xfId="6302" xr:uid="{00000000-0005-0000-0000-0000350C0000}"/>
    <cellStyle name="Currency 5 2 4 2 5 3 2" xfId="14752" xr:uid="{195E0294-1995-4538-9318-03896FEA5265}"/>
    <cellStyle name="Currency 5 2 4 2 5 4" xfId="10534" xr:uid="{073F3EE1-A367-4427-ABA7-FEEEDA4B3E19}"/>
    <cellStyle name="Currency 5 2 4 2 6" xfId="2431" xr:uid="{00000000-0005-0000-0000-0000360C0000}"/>
    <cellStyle name="Currency 5 2 4 2 6 2" xfId="6715" xr:uid="{00000000-0005-0000-0000-0000370C0000}"/>
    <cellStyle name="Currency 5 2 4 2 6 2 2" xfId="15165" xr:uid="{9ACFFE21-8D86-4ED0-8FE4-BCA2B2107E83}"/>
    <cellStyle name="Currency 5 2 4 2 6 3" xfId="10947" xr:uid="{CEBFED69-BF0B-4A76-B12E-6555BD0894A2}"/>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D6A517C3-9E9D-49E4-B5B8-D384A962C0F5}"/>
    <cellStyle name="Currency 5 2 4 2 8 3" xfId="11264" xr:uid="{44453DCA-74B5-403A-9AD1-ACB6B0CF1188}"/>
    <cellStyle name="Currency 5 2 4 2 9" xfId="4649" xr:uid="{00000000-0005-0000-0000-00003B0C0000}"/>
    <cellStyle name="Currency 5 2 4 2 9 2" xfId="13099" xr:uid="{43DB796C-A090-45B0-8C47-64EB6925A046}"/>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BB7B68F9-509A-47FC-991E-952F03E6A684}"/>
    <cellStyle name="Currency 5 2 4 3 2 3" xfId="11439" xr:uid="{F980DA1F-A4DC-4830-AFFE-2DCC37B78346}"/>
    <cellStyle name="Currency 5 2 4 3 3" xfId="5062" xr:uid="{00000000-0005-0000-0000-00003F0C0000}"/>
    <cellStyle name="Currency 5 2 4 3 3 2" xfId="13512" xr:uid="{832D9310-74DA-43E4-9B7F-D85F6F94EBAD}"/>
    <cellStyle name="Currency 5 2 4 3 4" xfId="9294" xr:uid="{BB2D531F-FEBB-44B0-A1AA-27276B8E34AE}"/>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FE645119-A7FC-4D1F-818C-C5C754F85E8E}"/>
    <cellStyle name="Currency 5 2 4 4 2 3" xfId="11852" xr:uid="{E5D9C96C-A0F0-4189-9CE5-37952A0A59B4}"/>
    <cellStyle name="Currency 5 2 4 4 3" xfId="5475" xr:uid="{00000000-0005-0000-0000-0000430C0000}"/>
    <cellStyle name="Currency 5 2 4 4 3 2" xfId="13925" xr:uid="{48B2EB93-34D8-4E01-92A8-22CC625D50CA}"/>
    <cellStyle name="Currency 5 2 4 4 4" xfId="9707" xr:uid="{B9116E75-99A7-49B2-8920-1129E957B5F5}"/>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C74DB0BC-9D31-4796-806C-25CD01B6922A}"/>
    <cellStyle name="Currency 5 2 4 5 2 3" xfId="12265" xr:uid="{E6EC7CA6-C243-41D6-A654-BB15ECCC73D5}"/>
    <cellStyle name="Currency 5 2 4 5 3" xfId="5888" xr:uid="{00000000-0005-0000-0000-0000470C0000}"/>
    <cellStyle name="Currency 5 2 4 5 3 2" xfId="14338" xr:uid="{7476329D-5949-49C9-97C8-6ECB3D310DD8}"/>
    <cellStyle name="Currency 5 2 4 5 4" xfId="10120" xr:uid="{A94A389C-3E9B-433F-9D9E-E45507B40473}"/>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B49E48EE-997F-41A7-ABF3-30939CECFFF1}"/>
    <cellStyle name="Currency 5 2 4 6 2 3" xfId="12678" xr:uid="{C05CB269-A6DD-4E46-AACA-E97FE8A011D3}"/>
    <cellStyle name="Currency 5 2 4 6 3" xfId="6301" xr:uid="{00000000-0005-0000-0000-00004B0C0000}"/>
    <cellStyle name="Currency 5 2 4 6 3 2" xfId="14751" xr:uid="{0515284C-83F2-4823-BD6E-F4C9A19FBF02}"/>
    <cellStyle name="Currency 5 2 4 6 4" xfId="10533" xr:uid="{DB5BE513-A1BA-4B75-A3C3-08F31CC1121D}"/>
    <cellStyle name="Currency 5 2 4 7" xfId="2430" xr:uid="{00000000-0005-0000-0000-00004C0C0000}"/>
    <cellStyle name="Currency 5 2 4 7 2" xfId="6714" xr:uid="{00000000-0005-0000-0000-00004D0C0000}"/>
    <cellStyle name="Currency 5 2 4 7 2 2" xfId="15164" xr:uid="{CA0EDE17-8D69-4026-8C7F-F7C96135411B}"/>
    <cellStyle name="Currency 5 2 4 7 3" xfId="10946" xr:uid="{97CFFCCE-AC00-489C-964F-6DA060CDC445}"/>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2B8FEEA7-043C-41AE-8CF2-059F2E3AB4A6}"/>
    <cellStyle name="Currency 5 2 4 9 3" xfId="11263" xr:uid="{867D689F-A7A7-435B-A5C4-7F3F9B279674}"/>
    <cellStyle name="Currency 5 2 5" xfId="207" xr:uid="{00000000-0005-0000-0000-0000510C0000}"/>
    <cellStyle name="Currency 5 2 5 10" xfId="8882" xr:uid="{6FDB94E6-1679-4CB2-BE37-14FB2AA33C27}"/>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3BFECFBC-8618-43CC-BB3F-FA3ADA508BA6}"/>
    <cellStyle name="Currency 5 2 5 2 2 3" xfId="11441" xr:uid="{C8D47EBF-F69D-46BF-805A-46FE966BAE87}"/>
    <cellStyle name="Currency 5 2 5 2 3" xfId="5064" xr:uid="{00000000-0005-0000-0000-0000550C0000}"/>
    <cellStyle name="Currency 5 2 5 2 3 2" xfId="13514" xr:uid="{12DA5DAD-A86C-427E-A4D3-A1E130883AC8}"/>
    <cellStyle name="Currency 5 2 5 2 4" xfId="9296" xr:uid="{B98C9FB6-E968-494B-B0A7-1E8A8462B6EC}"/>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D05F63F8-5E2C-4241-B732-7084E17558A7}"/>
    <cellStyle name="Currency 5 2 5 3 2 3" xfId="11854" xr:uid="{4D295196-9C45-413A-8852-34F14C7FA28D}"/>
    <cellStyle name="Currency 5 2 5 3 3" xfId="5477" xr:uid="{00000000-0005-0000-0000-0000590C0000}"/>
    <cellStyle name="Currency 5 2 5 3 3 2" xfId="13927" xr:uid="{07D0258E-E6F8-492A-9113-0C9CA8073467}"/>
    <cellStyle name="Currency 5 2 5 3 4" xfId="9709" xr:uid="{35F51C91-9C62-47FA-92FD-57F4F575EBA6}"/>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E5BBCFE6-A586-4AD7-B0E5-9738A03766CC}"/>
    <cellStyle name="Currency 5 2 5 4 2 3" xfId="12267" xr:uid="{BD12EE24-2DCD-45A4-B241-070D117E921F}"/>
    <cellStyle name="Currency 5 2 5 4 3" xfId="5890" xr:uid="{00000000-0005-0000-0000-00005D0C0000}"/>
    <cellStyle name="Currency 5 2 5 4 3 2" xfId="14340" xr:uid="{57233562-F2A0-4548-8702-ACDFE18AD504}"/>
    <cellStyle name="Currency 5 2 5 4 4" xfId="10122" xr:uid="{D023576E-B423-4A1F-962E-12E0FC82C60D}"/>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F2AB72A8-71D1-4581-9BA3-E25B40D81947}"/>
    <cellStyle name="Currency 5 2 5 5 2 3" xfId="12680" xr:uid="{EEA1AB15-E53D-4FDE-9A94-808DA9CA66FE}"/>
    <cellStyle name="Currency 5 2 5 5 3" xfId="6303" xr:uid="{00000000-0005-0000-0000-0000610C0000}"/>
    <cellStyle name="Currency 5 2 5 5 3 2" xfId="14753" xr:uid="{A1BEE04A-3296-4BAF-B971-A32CF9237AEA}"/>
    <cellStyle name="Currency 5 2 5 5 4" xfId="10535" xr:uid="{60F20829-AF5B-47B7-9CF1-48C5487BB176}"/>
    <cellStyle name="Currency 5 2 5 6" xfId="2432" xr:uid="{00000000-0005-0000-0000-0000620C0000}"/>
    <cellStyle name="Currency 5 2 5 6 2" xfId="6716" xr:uid="{00000000-0005-0000-0000-0000630C0000}"/>
    <cellStyle name="Currency 5 2 5 6 2 2" xfId="15166" xr:uid="{B6A07AE2-77B6-457F-815D-1C51D680D4CD}"/>
    <cellStyle name="Currency 5 2 5 6 3" xfId="10948" xr:uid="{928D3E50-8BB3-4935-B56A-44C2D66BE44F}"/>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5A98B4F4-7BE2-4126-B4CF-2589859F2804}"/>
    <cellStyle name="Currency 5 2 5 8 3" xfId="11265" xr:uid="{F35F6993-9157-4A9E-969E-58714CBD20B6}"/>
    <cellStyle name="Currency 5 2 5 9" xfId="4650" xr:uid="{00000000-0005-0000-0000-0000670C0000}"/>
    <cellStyle name="Currency 5 2 5 9 2" xfId="13100" xr:uid="{CFF08AEE-1D59-43F0-8185-52437C991349}"/>
    <cellStyle name="Currency 5 2 6" xfId="208" xr:uid="{00000000-0005-0000-0000-0000680C0000}"/>
    <cellStyle name="Currency 5 2 6 10" xfId="8883" xr:uid="{90A43517-2254-4BEB-A90E-EF68FCCE8B0E}"/>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744B608E-F7A1-4503-AE29-FF230E26CD8B}"/>
    <cellStyle name="Currency 5 2 6 2 2 3" xfId="11442" xr:uid="{798DE078-5A65-4E24-A5F3-1EF258217A77}"/>
    <cellStyle name="Currency 5 2 6 2 3" xfId="5065" xr:uid="{00000000-0005-0000-0000-00006C0C0000}"/>
    <cellStyle name="Currency 5 2 6 2 3 2" xfId="13515" xr:uid="{6584F0C4-D134-4C24-948C-8463871CD20B}"/>
    <cellStyle name="Currency 5 2 6 2 4" xfId="9297" xr:uid="{A355AA4C-8E97-4F58-86A8-07F5848A4D8F}"/>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33B45C08-014F-48A1-9D94-9CCBF1DFF3F6}"/>
    <cellStyle name="Currency 5 2 6 3 2 3" xfId="11855" xr:uid="{76664388-3FB9-42DC-9AF0-F2A9A70F38FC}"/>
    <cellStyle name="Currency 5 2 6 3 3" xfId="5478" xr:uid="{00000000-0005-0000-0000-0000700C0000}"/>
    <cellStyle name="Currency 5 2 6 3 3 2" xfId="13928" xr:uid="{FF26B88B-AA50-4D65-B2F0-B702318C0D62}"/>
    <cellStyle name="Currency 5 2 6 3 4" xfId="9710" xr:uid="{A210F826-A604-4125-97FF-785703CB9D94}"/>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56456487-D3A0-40E5-A8EC-E59C635256B4}"/>
    <cellStyle name="Currency 5 2 6 4 2 3" xfId="12268" xr:uid="{C5CD831C-BC15-469C-9AC8-C43F26A14F08}"/>
    <cellStyle name="Currency 5 2 6 4 3" xfId="5891" xr:uid="{00000000-0005-0000-0000-0000740C0000}"/>
    <cellStyle name="Currency 5 2 6 4 3 2" xfId="14341" xr:uid="{81969865-069F-4803-A1CB-57982F8B0168}"/>
    <cellStyle name="Currency 5 2 6 4 4" xfId="10123" xr:uid="{F25E19C1-5355-4505-B5DC-4ADDDB4C9DA8}"/>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A10883FF-7786-451E-987C-AB66FE5E6208}"/>
    <cellStyle name="Currency 5 2 6 5 2 3" xfId="12681" xr:uid="{960A39BB-910F-4E8C-A14D-30EB33FEB1F5}"/>
    <cellStyle name="Currency 5 2 6 5 3" xfId="6304" xr:uid="{00000000-0005-0000-0000-0000780C0000}"/>
    <cellStyle name="Currency 5 2 6 5 3 2" xfId="14754" xr:uid="{D3E23756-1315-4891-96AC-B2F435128EC6}"/>
    <cellStyle name="Currency 5 2 6 5 4" xfId="10536" xr:uid="{AD8F236C-BBA6-40DD-B5B8-6C60BFA534A4}"/>
    <cellStyle name="Currency 5 2 6 6" xfId="2433" xr:uid="{00000000-0005-0000-0000-0000790C0000}"/>
    <cellStyle name="Currency 5 2 6 6 2" xfId="6717" xr:uid="{00000000-0005-0000-0000-00007A0C0000}"/>
    <cellStyle name="Currency 5 2 6 6 2 2" xfId="15167" xr:uid="{8C874E1E-8580-4874-96CB-B212F7C62E1E}"/>
    <cellStyle name="Currency 5 2 6 6 3" xfId="10949" xr:uid="{47344FFF-D141-499B-BCBD-7E38F03B553E}"/>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CF727904-FE42-4195-BC0D-ED77713F00E2}"/>
    <cellStyle name="Currency 5 2 6 8 3" xfId="11266" xr:uid="{1949CE54-CE8D-4885-85CB-A2882A1DE56F}"/>
    <cellStyle name="Currency 5 2 6 9" xfId="4651" xr:uid="{00000000-0005-0000-0000-00007E0C0000}"/>
    <cellStyle name="Currency 5 2 6 9 2" xfId="13101" xr:uid="{852B66B1-81E8-488D-B1DA-903CFA3A60E9}"/>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CABF2025-4128-4534-90D8-E6D9628A8C1B}"/>
    <cellStyle name="Currency 5 3 2 10 3" xfId="11267" xr:uid="{6B525AF3-577C-45CC-AFFD-BC2DE4ACD062}"/>
    <cellStyle name="Currency 5 3 2 11" xfId="4652" xr:uid="{00000000-0005-0000-0000-0000840C0000}"/>
    <cellStyle name="Currency 5 3 2 11 2" xfId="13102" xr:uid="{74D5F22D-4CB5-4188-BC48-9064E1655A29}"/>
    <cellStyle name="Currency 5 3 2 12" xfId="8884" xr:uid="{5C3258CB-2254-43B0-92E0-F6FCF7E11322}"/>
    <cellStyle name="Currency 5 3 2 2" xfId="211" xr:uid="{00000000-0005-0000-0000-0000850C0000}"/>
    <cellStyle name="Currency 5 3 2 2 10" xfId="4653" xr:uid="{00000000-0005-0000-0000-0000860C0000}"/>
    <cellStyle name="Currency 5 3 2 2 10 2" xfId="13103" xr:uid="{59B0FCDA-C265-4699-BA74-9DFFBF91DAF3}"/>
    <cellStyle name="Currency 5 3 2 2 11" xfId="8885" xr:uid="{1F86BC6D-8DBE-46B8-AA7B-85805BCD4805}"/>
    <cellStyle name="Currency 5 3 2 2 2" xfId="212" xr:uid="{00000000-0005-0000-0000-0000870C0000}"/>
    <cellStyle name="Currency 5 3 2 2 2 10" xfId="8886" xr:uid="{D01B9E2A-D723-4A80-8F57-5093AB80DAF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795CDE74-5E55-4678-816B-530BA6459717}"/>
    <cellStyle name="Currency 5 3 2 2 2 2 2 3" xfId="11445" xr:uid="{1041F005-13BE-4EAE-B3FA-8159771E2DAA}"/>
    <cellStyle name="Currency 5 3 2 2 2 2 3" xfId="5068" xr:uid="{00000000-0005-0000-0000-00008B0C0000}"/>
    <cellStyle name="Currency 5 3 2 2 2 2 3 2" xfId="13518" xr:uid="{292A3B2A-BA05-4240-8A2C-F5400BCA442D}"/>
    <cellStyle name="Currency 5 3 2 2 2 2 4" xfId="9300" xr:uid="{A0BF9C12-AA3F-4085-9D36-2092B03B9EEC}"/>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2E8AD86B-F6FC-451E-A8DF-7F7BBD2C4DBA}"/>
    <cellStyle name="Currency 5 3 2 2 2 3 2 3" xfId="11858" xr:uid="{ED39E2C8-EDBF-4FDE-B307-6AF3DDA01DDE}"/>
    <cellStyle name="Currency 5 3 2 2 2 3 3" xfId="5481" xr:uid="{00000000-0005-0000-0000-00008F0C0000}"/>
    <cellStyle name="Currency 5 3 2 2 2 3 3 2" xfId="13931" xr:uid="{C37D247E-B79D-4055-B39D-A6B4F3CD4C5F}"/>
    <cellStyle name="Currency 5 3 2 2 2 3 4" xfId="9713" xr:uid="{3BDAC629-DAD7-42F8-B7D0-E479D6525353}"/>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9F21F60A-F3B9-405B-B3EE-0ACBCE4BF192}"/>
    <cellStyle name="Currency 5 3 2 2 2 4 2 3" xfId="12271" xr:uid="{61306E10-09E5-467B-BF7F-508A4F084286}"/>
    <cellStyle name="Currency 5 3 2 2 2 4 3" xfId="5894" xr:uid="{00000000-0005-0000-0000-0000930C0000}"/>
    <cellStyle name="Currency 5 3 2 2 2 4 3 2" xfId="14344" xr:uid="{EE344FD1-7215-4CA4-9AF8-CF1B74DF4867}"/>
    <cellStyle name="Currency 5 3 2 2 2 4 4" xfId="10126" xr:uid="{774BCB85-1C5E-481A-B6DB-A7FCFD31DEED}"/>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3BBF74EE-A287-43C7-A8D4-726D27F861F4}"/>
    <cellStyle name="Currency 5 3 2 2 2 5 2 3" xfId="12684" xr:uid="{A93D7593-1ED5-4ACC-AD5A-2ECB74CBC3FE}"/>
    <cellStyle name="Currency 5 3 2 2 2 5 3" xfId="6307" xr:uid="{00000000-0005-0000-0000-0000970C0000}"/>
    <cellStyle name="Currency 5 3 2 2 2 5 3 2" xfId="14757" xr:uid="{1FF47081-0781-4EC9-A2D7-C0F39BC1A500}"/>
    <cellStyle name="Currency 5 3 2 2 2 5 4" xfId="10539" xr:uid="{A3492FBD-8042-4537-86B5-30AAA7FD82E8}"/>
    <cellStyle name="Currency 5 3 2 2 2 6" xfId="2436" xr:uid="{00000000-0005-0000-0000-0000980C0000}"/>
    <cellStyle name="Currency 5 3 2 2 2 6 2" xfId="6720" xr:uid="{00000000-0005-0000-0000-0000990C0000}"/>
    <cellStyle name="Currency 5 3 2 2 2 6 2 2" xfId="15170" xr:uid="{C401AA9D-A5B8-4D59-9DF4-C2ECDC4E32BD}"/>
    <cellStyle name="Currency 5 3 2 2 2 6 3" xfId="10952" xr:uid="{655B11DE-B539-459D-93A1-C0A597833BA2}"/>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8C63CCB4-99D3-4231-9DB4-71CB0D15921A}"/>
    <cellStyle name="Currency 5 3 2 2 2 8 3" xfId="11269" xr:uid="{EF7ABD79-688E-4A38-97F8-15055FC6D275}"/>
    <cellStyle name="Currency 5 3 2 2 2 9" xfId="4654" xr:uid="{00000000-0005-0000-0000-00009D0C0000}"/>
    <cellStyle name="Currency 5 3 2 2 2 9 2" xfId="13104" xr:uid="{7A46C291-DC42-4405-B3BA-1A6F3D9169CA}"/>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A3D5C249-EAAF-4266-99E4-2E4817C94FF4}"/>
    <cellStyle name="Currency 5 3 2 2 3 2 3" xfId="11444" xr:uid="{1A1CD788-8948-4601-8ED3-8B88DBE8AD4D}"/>
    <cellStyle name="Currency 5 3 2 2 3 3" xfId="5067" xr:uid="{00000000-0005-0000-0000-0000A10C0000}"/>
    <cellStyle name="Currency 5 3 2 2 3 3 2" xfId="13517" xr:uid="{89AD1746-30AF-4EC5-B631-950E280A1F45}"/>
    <cellStyle name="Currency 5 3 2 2 3 4" xfId="9299" xr:uid="{18346CF6-3E22-47BB-A481-B17C1DFB4508}"/>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09FA3C13-C883-4578-8903-660CD84DB68B}"/>
    <cellStyle name="Currency 5 3 2 2 4 2 3" xfId="11857" xr:uid="{50D8C2DB-240D-4A14-9923-7F876015C7DB}"/>
    <cellStyle name="Currency 5 3 2 2 4 3" xfId="5480" xr:uid="{00000000-0005-0000-0000-0000A50C0000}"/>
    <cellStyle name="Currency 5 3 2 2 4 3 2" xfId="13930" xr:uid="{F6AE1CDF-B49F-49BF-B307-87349E495D60}"/>
    <cellStyle name="Currency 5 3 2 2 4 4" xfId="9712" xr:uid="{8CEFEE56-8ABD-4559-BAA8-8C3D6F27EBE5}"/>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C74937C7-F056-483C-932F-82D77E30E96A}"/>
    <cellStyle name="Currency 5 3 2 2 5 2 3" xfId="12270" xr:uid="{A3D31D15-AF8E-4986-A412-C292194A9376}"/>
    <cellStyle name="Currency 5 3 2 2 5 3" xfId="5893" xr:uid="{00000000-0005-0000-0000-0000A90C0000}"/>
    <cellStyle name="Currency 5 3 2 2 5 3 2" xfId="14343" xr:uid="{C40AD331-5701-42DF-BDCB-F8DF1FCBE68A}"/>
    <cellStyle name="Currency 5 3 2 2 5 4" xfId="10125" xr:uid="{5D3DB3C7-B7A1-44FB-9392-44B4364F2F5F}"/>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4421E423-F210-4044-9804-760BABCFBF8A}"/>
    <cellStyle name="Currency 5 3 2 2 6 2 3" xfId="12683" xr:uid="{CD029911-115E-4066-B945-50FC875F153F}"/>
    <cellStyle name="Currency 5 3 2 2 6 3" xfId="6306" xr:uid="{00000000-0005-0000-0000-0000AD0C0000}"/>
    <cellStyle name="Currency 5 3 2 2 6 3 2" xfId="14756" xr:uid="{5D416B71-1A0C-4264-BB1C-7DB1A86D9400}"/>
    <cellStyle name="Currency 5 3 2 2 6 4" xfId="10538" xr:uid="{AA88E781-0463-4AD2-B4B2-54866E25E3CC}"/>
    <cellStyle name="Currency 5 3 2 2 7" xfId="2435" xr:uid="{00000000-0005-0000-0000-0000AE0C0000}"/>
    <cellStyle name="Currency 5 3 2 2 7 2" xfId="6719" xr:uid="{00000000-0005-0000-0000-0000AF0C0000}"/>
    <cellStyle name="Currency 5 3 2 2 7 2 2" xfId="15169" xr:uid="{539ADC10-34B5-4137-860D-7365E7D9F1AF}"/>
    <cellStyle name="Currency 5 3 2 2 7 3" xfId="10951" xr:uid="{107FACB1-D0FA-4BB5-8B54-DE08D3481D3F}"/>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734B0EB7-EF05-4DAA-9B7D-E7FE04543524}"/>
    <cellStyle name="Currency 5 3 2 2 9 3" xfId="11268" xr:uid="{E1F671C2-2C0D-4560-8959-6362092903B4}"/>
    <cellStyle name="Currency 5 3 2 3" xfId="213" xr:uid="{00000000-0005-0000-0000-0000B30C0000}"/>
    <cellStyle name="Currency 5 3 2 3 10" xfId="8887" xr:uid="{19B71F88-4096-4058-8A97-3554B4DCD841}"/>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A78564AA-586C-41C4-9FF1-E4E9A71DBE11}"/>
    <cellStyle name="Currency 5 3 2 3 2 2 3" xfId="11446" xr:uid="{9D769346-5DD6-4A89-A016-69D0FF17564D}"/>
    <cellStyle name="Currency 5 3 2 3 2 3" xfId="5069" xr:uid="{00000000-0005-0000-0000-0000B70C0000}"/>
    <cellStyle name="Currency 5 3 2 3 2 3 2" xfId="13519" xr:uid="{EF09E107-BF19-4E7D-AF12-768C96656004}"/>
    <cellStyle name="Currency 5 3 2 3 2 4" xfId="9301" xr:uid="{CC0D504C-70E4-47EC-8CFE-4F026063EBFF}"/>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CEF4A254-BC77-4E02-9F14-EF6B47962DBF}"/>
    <cellStyle name="Currency 5 3 2 3 3 2 3" xfId="11859" xr:uid="{AA7848C9-8D61-4A29-8F70-3A7F8A62E30A}"/>
    <cellStyle name="Currency 5 3 2 3 3 3" xfId="5482" xr:uid="{00000000-0005-0000-0000-0000BB0C0000}"/>
    <cellStyle name="Currency 5 3 2 3 3 3 2" xfId="13932" xr:uid="{CA3DF64E-0CD2-4564-8A07-9E734C2615DC}"/>
    <cellStyle name="Currency 5 3 2 3 3 4" xfId="9714" xr:uid="{226CBD68-894B-4261-A0B8-69CFC2D72688}"/>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3DCE6CD1-B335-4C59-8262-E23A3940737F}"/>
    <cellStyle name="Currency 5 3 2 3 4 2 3" xfId="12272" xr:uid="{4D66115E-4E3A-402A-913D-E8CC90B477B4}"/>
    <cellStyle name="Currency 5 3 2 3 4 3" xfId="5895" xr:uid="{00000000-0005-0000-0000-0000BF0C0000}"/>
    <cellStyle name="Currency 5 3 2 3 4 3 2" xfId="14345" xr:uid="{38AE7F0A-65BC-4196-99C6-4DAC295CFE44}"/>
    <cellStyle name="Currency 5 3 2 3 4 4" xfId="10127" xr:uid="{D079E1DF-D029-42FD-B821-9F850B4CFEAA}"/>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4E81650D-A2A3-4DC3-B1DC-2B12B17AC872}"/>
    <cellStyle name="Currency 5 3 2 3 5 2 3" xfId="12685" xr:uid="{CAC39319-F8B1-4F77-8108-C562B595C547}"/>
    <cellStyle name="Currency 5 3 2 3 5 3" xfId="6308" xr:uid="{00000000-0005-0000-0000-0000C30C0000}"/>
    <cellStyle name="Currency 5 3 2 3 5 3 2" xfId="14758" xr:uid="{A993BC92-605F-49F3-9E62-EC618235C8D0}"/>
    <cellStyle name="Currency 5 3 2 3 5 4" xfId="10540" xr:uid="{2DD6D7BA-2A07-4245-AD82-E11B4386F063}"/>
    <cellStyle name="Currency 5 3 2 3 6" xfId="2437" xr:uid="{00000000-0005-0000-0000-0000C40C0000}"/>
    <cellStyle name="Currency 5 3 2 3 6 2" xfId="6721" xr:uid="{00000000-0005-0000-0000-0000C50C0000}"/>
    <cellStyle name="Currency 5 3 2 3 6 2 2" xfId="15171" xr:uid="{5810374B-03BD-4E01-9BEC-40610EC61754}"/>
    <cellStyle name="Currency 5 3 2 3 6 3" xfId="10953" xr:uid="{2103CEFB-17E7-4400-9937-7FE456EF85C6}"/>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499B5E5B-243D-43AF-BB94-BDE721972818}"/>
    <cellStyle name="Currency 5 3 2 3 8 3" xfId="11270" xr:uid="{CBEE4C19-67EC-4AAA-B571-F56E37DD1EFA}"/>
    <cellStyle name="Currency 5 3 2 3 9" xfId="4655" xr:uid="{00000000-0005-0000-0000-0000C90C0000}"/>
    <cellStyle name="Currency 5 3 2 3 9 2" xfId="13105" xr:uid="{094BCDE8-CCD5-4D22-BF25-E3B5471672F9}"/>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B5581B92-41DB-4E43-9D23-3B9770AEEB8C}"/>
    <cellStyle name="Currency 5 3 2 4 2 3" xfId="11443" xr:uid="{06458F8D-489A-4C68-8254-98E55D44725E}"/>
    <cellStyle name="Currency 5 3 2 4 3" xfId="5066" xr:uid="{00000000-0005-0000-0000-0000CD0C0000}"/>
    <cellStyle name="Currency 5 3 2 4 3 2" xfId="13516" xr:uid="{3A616759-5640-4226-8575-353BD456251A}"/>
    <cellStyle name="Currency 5 3 2 4 4" xfId="9298" xr:uid="{A39FA6E6-A670-46A5-9ED0-C55F8D2E8669}"/>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A33EFEFA-A900-4E73-9924-08F63DF0C4C7}"/>
    <cellStyle name="Currency 5 3 2 5 2 3" xfId="11856" xr:uid="{72EFC2E7-47A4-4F7D-8AB0-582489D24860}"/>
    <cellStyle name="Currency 5 3 2 5 3" xfId="5479" xr:uid="{00000000-0005-0000-0000-0000D10C0000}"/>
    <cellStyle name="Currency 5 3 2 5 3 2" xfId="13929" xr:uid="{54E58A92-9617-4A39-95D2-B8F4CEC13B83}"/>
    <cellStyle name="Currency 5 3 2 5 4" xfId="9711" xr:uid="{B317611F-0723-4CAF-B91E-6474BD77FEAA}"/>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9A60C68F-5737-4936-A650-C79CD9A3D500}"/>
    <cellStyle name="Currency 5 3 2 6 2 3" xfId="12269" xr:uid="{779EA4FA-DBC9-45F1-BDC8-93AEFD02C98D}"/>
    <cellStyle name="Currency 5 3 2 6 3" xfId="5892" xr:uid="{00000000-0005-0000-0000-0000D50C0000}"/>
    <cellStyle name="Currency 5 3 2 6 3 2" xfId="14342" xr:uid="{B6C2DA41-E351-439B-A167-640E6DE25870}"/>
    <cellStyle name="Currency 5 3 2 6 4" xfId="10124" xr:uid="{544CF938-0EAE-43C7-A793-7287F73E8D31}"/>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A665792F-D94F-4251-9CBB-72528C14EADC}"/>
    <cellStyle name="Currency 5 3 2 7 2 3" xfId="12682" xr:uid="{59DC0EEA-8FBB-4438-969A-099617F2D6D7}"/>
    <cellStyle name="Currency 5 3 2 7 3" xfId="6305" xr:uid="{00000000-0005-0000-0000-0000D90C0000}"/>
    <cellStyle name="Currency 5 3 2 7 3 2" xfId="14755" xr:uid="{83A77F09-C83F-4DA6-B0BD-6B241D27FFFB}"/>
    <cellStyle name="Currency 5 3 2 7 4" xfId="10537" xr:uid="{6AC03022-88E1-4816-B79A-B0695687E2A9}"/>
    <cellStyle name="Currency 5 3 2 8" xfId="2434" xr:uid="{00000000-0005-0000-0000-0000DA0C0000}"/>
    <cellStyle name="Currency 5 3 2 8 2" xfId="6718" xr:uid="{00000000-0005-0000-0000-0000DB0C0000}"/>
    <cellStyle name="Currency 5 3 2 8 2 2" xfId="15168" xr:uid="{8355431C-13EC-4A8B-942A-C6F014750688}"/>
    <cellStyle name="Currency 5 3 2 8 3" xfId="10950" xr:uid="{10A3768B-D327-4C09-BFBD-995BEF550CD3}"/>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90AFC5DA-9EC9-4483-A21F-5952C39D30AC}"/>
    <cellStyle name="Currency 5 3 3 11" xfId="8888" xr:uid="{EACE8E70-0649-4F1D-907C-15022B175EDC}"/>
    <cellStyle name="Currency 5 3 3 2" xfId="215" xr:uid="{00000000-0005-0000-0000-0000DF0C0000}"/>
    <cellStyle name="Currency 5 3 3 2 10" xfId="8889" xr:uid="{E3FDB2A0-3453-4AD3-8ACD-03C38420E756}"/>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08123830-F3EC-4F5E-AA4F-4672A1C661F5}"/>
    <cellStyle name="Currency 5 3 3 2 2 2 3" xfId="11448" xr:uid="{5D119558-D27C-4109-B5F3-4755949EDAF1}"/>
    <cellStyle name="Currency 5 3 3 2 2 3" xfId="5071" xr:uid="{00000000-0005-0000-0000-0000E30C0000}"/>
    <cellStyle name="Currency 5 3 3 2 2 3 2" xfId="13521" xr:uid="{0F0A6AA1-6B90-44E3-A38C-45A580D27A3A}"/>
    <cellStyle name="Currency 5 3 3 2 2 4" xfId="9303" xr:uid="{67BB55A8-DB93-4312-86C1-822BAA6C745A}"/>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21CACFD4-5B0F-4A38-8F6F-1761D97DC937}"/>
    <cellStyle name="Currency 5 3 3 2 3 2 3" xfId="11861" xr:uid="{2018FE3A-660A-4298-8933-AEFDA65D1064}"/>
    <cellStyle name="Currency 5 3 3 2 3 3" xfId="5484" xr:uid="{00000000-0005-0000-0000-0000E70C0000}"/>
    <cellStyle name="Currency 5 3 3 2 3 3 2" xfId="13934" xr:uid="{B0DCE176-86CB-4D15-B333-AA1962E75ACE}"/>
    <cellStyle name="Currency 5 3 3 2 3 4" xfId="9716" xr:uid="{AAD47B27-AF9A-42EE-A722-6577F1BB3D6A}"/>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5AA3DBAA-AFC8-4864-94DA-CEA12A8BA8B0}"/>
    <cellStyle name="Currency 5 3 3 2 4 2 3" xfId="12274" xr:uid="{257D5CC7-B213-423A-937F-A08350410D57}"/>
    <cellStyle name="Currency 5 3 3 2 4 3" xfId="5897" xr:uid="{00000000-0005-0000-0000-0000EB0C0000}"/>
    <cellStyle name="Currency 5 3 3 2 4 3 2" xfId="14347" xr:uid="{312ED92F-B6DE-4A3A-835A-A2672E9F42B0}"/>
    <cellStyle name="Currency 5 3 3 2 4 4" xfId="10129" xr:uid="{ACD7A43C-986F-483F-9160-340971E1D8F3}"/>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8EBE3BC2-9F44-4BC8-867E-67FC9187A290}"/>
    <cellStyle name="Currency 5 3 3 2 5 2 3" xfId="12687" xr:uid="{CAA8EF33-47B4-4085-BA0C-0B8849C6FA12}"/>
    <cellStyle name="Currency 5 3 3 2 5 3" xfId="6310" xr:uid="{00000000-0005-0000-0000-0000EF0C0000}"/>
    <cellStyle name="Currency 5 3 3 2 5 3 2" xfId="14760" xr:uid="{CA3BF82C-820F-4726-9F88-DFF4E963AA9F}"/>
    <cellStyle name="Currency 5 3 3 2 5 4" xfId="10542" xr:uid="{33CD09A5-1930-4D2F-A25F-DE7CE760D24E}"/>
    <cellStyle name="Currency 5 3 3 2 6" xfId="2439" xr:uid="{00000000-0005-0000-0000-0000F00C0000}"/>
    <cellStyle name="Currency 5 3 3 2 6 2" xfId="6723" xr:uid="{00000000-0005-0000-0000-0000F10C0000}"/>
    <cellStyle name="Currency 5 3 3 2 6 2 2" xfId="15173" xr:uid="{1F3AE976-AAB0-4064-9ECA-5C5534E5D38C}"/>
    <cellStyle name="Currency 5 3 3 2 6 3" xfId="10955" xr:uid="{D87DA8D7-4E01-43FC-8F4D-E66B67D76A74}"/>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B1DFE870-6390-47FB-8FBC-21E7DF31C119}"/>
    <cellStyle name="Currency 5 3 3 2 8 3" xfId="11272" xr:uid="{BFDDA123-2934-49FA-944C-67651CF422B4}"/>
    <cellStyle name="Currency 5 3 3 2 9" xfId="4657" xr:uid="{00000000-0005-0000-0000-0000F50C0000}"/>
    <cellStyle name="Currency 5 3 3 2 9 2" xfId="13107" xr:uid="{DCFC6FCD-30EC-4EFA-869E-6C442E378D72}"/>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5BF1CAA4-0CC9-40D6-80D3-A3472D759424}"/>
    <cellStyle name="Currency 5 3 3 3 2 3" xfId="11447" xr:uid="{F0BCF424-8F6C-44B7-AB10-F9B9EA81A1A6}"/>
    <cellStyle name="Currency 5 3 3 3 3" xfId="5070" xr:uid="{00000000-0005-0000-0000-0000F90C0000}"/>
    <cellStyle name="Currency 5 3 3 3 3 2" xfId="13520" xr:uid="{3A2902BD-1D83-4EC2-A10A-193EC29CAF34}"/>
    <cellStyle name="Currency 5 3 3 3 4" xfId="9302" xr:uid="{8381265A-CAD1-4A1F-B619-D843B6329739}"/>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9EC85BBA-6C1D-4022-A137-F5447AC49EC6}"/>
    <cellStyle name="Currency 5 3 3 4 2 3" xfId="11860" xr:uid="{4DD6844C-1293-48C8-ADAB-02E288ACFFD5}"/>
    <cellStyle name="Currency 5 3 3 4 3" xfId="5483" xr:uid="{00000000-0005-0000-0000-0000FD0C0000}"/>
    <cellStyle name="Currency 5 3 3 4 3 2" xfId="13933" xr:uid="{D6EEE814-2EE2-4DBE-B50C-98CEA501FE4A}"/>
    <cellStyle name="Currency 5 3 3 4 4" xfId="9715" xr:uid="{55761AB4-A7E2-46B5-83DC-8957425D0CF0}"/>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B3D66BF5-7ACE-4622-BD3F-C8C3BF148C75}"/>
    <cellStyle name="Currency 5 3 3 5 2 3" xfId="12273" xr:uid="{A47EEA14-4B50-4245-9D9F-83993A0A299D}"/>
    <cellStyle name="Currency 5 3 3 5 3" xfId="5896" xr:uid="{00000000-0005-0000-0000-0000010D0000}"/>
    <cellStyle name="Currency 5 3 3 5 3 2" xfId="14346" xr:uid="{A7D89B0B-44CD-44FA-A464-B6397879AAA8}"/>
    <cellStyle name="Currency 5 3 3 5 4" xfId="10128" xr:uid="{5A922304-B1D7-4315-BBE1-ABA158710BB4}"/>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F118D9CB-5630-41FA-A4F7-281FDB2BF182}"/>
    <cellStyle name="Currency 5 3 3 6 2 3" xfId="12686" xr:uid="{55BC23B7-CAEB-4557-916C-125752CA4375}"/>
    <cellStyle name="Currency 5 3 3 6 3" xfId="6309" xr:uid="{00000000-0005-0000-0000-0000050D0000}"/>
    <cellStyle name="Currency 5 3 3 6 3 2" xfId="14759" xr:uid="{7CCC68FD-6CFA-4119-9842-750895210A7B}"/>
    <cellStyle name="Currency 5 3 3 6 4" xfId="10541" xr:uid="{A6120572-CA14-441D-8F9A-79052F8F31ED}"/>
    <cellStyle name="Currency 5 3 3 7" xfId="2438" xr:uid="{00000000-0005-0000-0000-0000060D0000}"/>
    <cellStyle name="Currency 5 3 3 7 2" xfId="6722" xr:uid="{00000000-0005-0000-0000-0000070D0000}"/>
    <cellStyle name="Currency 5 3 3 7 2 2" xfId="15172" xr:uid="{90C02118-BEA9-4DA8-9A7B-D0ECA54454A2}"/>
    <cellStyle name="Currency 5 3 3 7 3" xfId="10954" xr:uid="{E9B7CC5C-250E-49C7-AF29-426D2AA82081}"/>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0724C3A4-CE87-447B-807E-45C51C5368E7}"/>
    <cellStyle name="Currency 5 3 3 9 3" xfId="11271" xr:uid="{ABE12C09-098B-4D54-89B2-AF5B78376A42}"/>
    <cellStyle name="Currency 5 3 4" xfId="216" xr:uid="{00000000-0005-0000-0000-00000B0D0000}"/>
    <cellStyle name="Currency 5 3 4 10" xfId="8890" xr:uid="{1B04C8F3-A8C2-4BF8-A39F-206701064CDC}"/>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89C79893-888E-47DF-A02B-7E4A732A6EE3}"/>
    <cellStyle name="Currency 5 3 4 2 2 3" xfId="11449" xr:uid="{6363EAC7-AE16-48B5-9677-9B45C0AA3CEF}"/>
    <cellStyle name="Currency 5 3 4 2 3" xfId="5072" xr:uid="{00000000-0005-0000-0000-00000F0D0000}"/>
    <cellStyle name="Currency 5 3 4 2 3 2" xfId="13522" xr:uid="{9B46CC33-0B8D-4FE9-863F-D15759D1104F}"/>
    <cellStyle name="Currency 5 3 4 2 4" xfId="9304" xr:uid="{5FAEBF9E-AB31-4800-80C8-CE7D430930EE}"/>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F5CE379C-1F5A-4307-868E-7E65B4BD01B4}"/>
    <cellStyle name="Currency 5 3 4 3 2 3" xfId="11862" xr:uid="{604C15CF-C5F4-4287-89CE-0686D86A7990}"/>
    <cellStyle name="Currency 5 3 4 3 3" xfId="5485" xr:uid="{00000000-0005-0000-0000-0000130D0000}"/>
    <cellStyle name="Currency 5 3 4 3 3 2" xfId="13935" xr:uid="{1AE021E4-DDAF-400A-9C78-9828583C65E2}"/>
    <cellStyle name="Currency 5 3 4 3 4" xfId="9717" xr:uid="{D2872D3A-EC2C-4F37-9DED-E9417D9CE9AE}"/>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650C5982-8D3F-4475-8037-9795C5D71D0C}"/>
    <cellStyle name="Currency 5 3 4 4 2 3" xfId="12275" xr:uid="{E37E7FAA-3A7F-4C38-81EB-6145B5DFB837}"/>
    <cellStyle name="Currency 5 3 4 4 3" xfId="5898" xr:uid="{00000000-0005-0000-0000-0000170D0000}"/>
    <cellStyle name="Currency 5 3 4 4 3 2" xfId="14348" xr:uid="{1FE92D75-8548-4520-89C0-1AF0682DFB2D}"/>
    <cellStyle name="Currency 5 3 4 4 4" xfId="10130" xr:uid="{2E6227E0-B0F2-418E-B021-FB38C7AA96D2}"/>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D044A486-DA36-497A-B048-AA7C507E2928}"/>
    <cellStyle name="Currency 5 3 4 5 2 3" xfId="12688" xr:uid="{598880DC-20A5-4304-9238-F1EE62BD35BF}"/>
    <cellStyle name="Currency 5 3 4 5 3" xfId="6311" xr:uid="{00000000-0005-0000-0000-00001B0D0000}"/>
    <cellStyle name="Currency 5 3 4 5 3 2" xfId="14761" xr:uid="{FBD5E51D-247D-427F-BE11-3843C302EFD4}"/>
    <cellStyle name="Currency 5 3 4 5 4" xfId="10543" xr:uid="{103C32B9-BBAA-4538-B8FE-0E722ECB252A}"/>
    <cellStyle name="Currency 5 3 4 6" xfId="2440" xr:uid="{00000000-0005-0000-0000-00001C0D0000}"/>
    <cellStyle name="Currency 5 3 4 6 2" xfId="6724" xr:uid="{00000000-0005-0000-0000-00001D0D0000}"/>
    <cellStyle name="Currency 5 3 4 6 2 2" xfId="15174" xr:uid="{488DE10D-FC3C-42A2-B5AC-84CBF7FBBF34}"/>
    <cellStyle name="Currency 5 3 4 6 3" xfId="10956" xr:uid="{D0D5B7DF-15A5-4767-AADE-2A6B7C8A131C}"/>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AE2F9ABF-4AAD-4465-9345-955A4458F714}"/>
    <cellStyle name="Currency 5 3 4 8 3" xfId="11273" xr:uid="{D55D68C0-CAFB-4B1F-BC6B-2C61B2111B6E}"/>
    <cellStyle name="Currency 5 3 4 9" xfId="4658" xr:uid="{00000000-0005-0000-0000-0000210D0000}"/>
    <cellStyle name="Currency 5 3 4 9 2" xfId="13108" xr:uid="{628F37AF-F9C0-43FD-ACEB-8F7D7F25CCB3}"/>
    <cellStyle name="Currency 5 3 5" xfId="217" xr:uid="{00000000-0005-0000-0000-0000220D0000}"/>
    <cellStyle name="Currency 5 3 5 10" xfId="8891" xr:uid="{CDC08183-D0E2-421B-B89C-C8067104F03F}"/>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24F7B41E-BBEC-4D02-8F53-A557AD639EAF}"/>
    <cellStyle name="Currency 5 3 5 2 2 3" xfId="11450" xr:uid="{98EDCA70-D1A0-43C7-9B9A-CB69DEB8907A}"/>
    <cellStyle name="Currency 5 3 5 2 3" xfId="5073" xr:uid="{00000000-0005-0000-0000-0000260D0000}"/>
    <cellStyle name="Currency 5 3 5 2 3 2" xfId="13523" xr:uid="{82BC7206-843A-45AB-9FE8-06BF0133303E}"/>
    <cellStyle name="Currency 5 3 5 2 4" xfId="9305" xr:uid="{5F65C4B2-90A8-40F6-85B2-89EB9CAF1374}"/>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2BF7F336-6F52-4D8F-B152-B7E57EB06E36}"/>
    <cellStyle name="Currency 5 3 5 3 2 3" xfId="11863" xr:uid="{CA1FA2BC-FAB1-42D9-8CAD-5E5046098B58}"/>
    <cellStyle name="Currency 5 3 5 3 3" xfId="5486" xr:uid="{00000000-0005-0000-0000-00002A0D0000}"/>
    <cellStyle name="Currency 5 3 5 3 3 2" xfId="13936" xr:uid="{1D6DA4F5-B4AF-4B95-A8C2-3444B1377ABB}"/>
    <cellStyle name="Currency 5 3 5 3 4" xfId="9718" xr:uid="{9391DEE5-3A3A-4C34-80EF-CB417131DEB6}"/>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D7B0F308-C687-487A-A870-99C134F13FD0}"/>
    <cellStyle name="Currency 5 3 5 4 2 3" xfId="12276" xr:uid="{A8C8AD17-71E8-4F7C-8CFA-F3485285FE88}"/>
    <cellStyle name="Currency 5 3 5 4 3" xfId="5899" xr:uid="{00000000-0005-0000-0000-00002E0D0000}"/>
    <cellStyle name="Currency 5 3 5 4 3 2" xfId="14349" xr:uid="{AE22CEA3-9855-4405-8693-DECADC767058}"/>
    <cellStyle name="Currency 5 3 5 4 4" xfId="10131" xr:uid="{67C1D51F-0B13-478A-869B-6FF2E83151DD}"/>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7F3E3EBF-2E65-499B-8BEE-70945F578BBD}"/>
    <cellStyle name="Currency 5 3 5 5 2 3" xfId="12689" xr:uid="{2C509593-5CDA-4842-BA07-F6E98694A2E1}"/>
    <cellStyle name="Currency 5 3 5 5 3" xfId="6312" xr:uid="{00000000-0005-0000-0000-0000320D0000}"/>
    <cellStyle name="Currency 5 3 5 5 3 2" xfId="14762" xr:uid="{E2346F6C-BAC2-44A2-9D8D-E107B640884B}"/>
    <cellStyle name="Currency 5 3 5 5 4" xfId="10544" xr:uid="{3D0BA021-34F2-472A-93B4-332D9819C5CB}"/>
    <cellStyle name="Currency 5 3 5 6" xfId="2441" xr:uid="{00000000-0005-0000-0000-0000330D0000}"/>
    <cellStyle name="Currency 5 3 5 6 2" xfId="6725" xr:uid="{00000000-0005-0000-0000-0000340D0000}"/>
    <cellStyle name="Currency 5 3 5 6 2 2" xfId="15175" xr:uid="{F9F09F69-0C8E-45B4-B485-689406C6C1EA}"/>
    <cellStyle name="Currency 5 3 5 6 3" xfId="10957" xr:uid="{767B6E92-D9FA-4FB6-B843-684BA4F7C704}"/>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D379A54D-3AF8-4799-BC4A-13047DC5B7C4}"/>
    <cellStyle name="Currency 5 3 5 8 3" xfId="11274" xr:uid="{27B6C771-A0FB-423E-9D65-2EFC494AE2F0}"/>
    <cellStyle name="Currency 5 3 5 9" xfId="4659" xr:uid="{00000000-0005-0000-0000-0000380D0000}"/>
    <cellStyle name="Currency 5 3 5 9 2" xfId="13109" xr:uid="{D026D263-3BEC-415B-BFA4-A522D1DB767F}"/>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543CAD2C-BE0A-416A-9101-942B409889ED}"/>
    <cellStyle name="Currency 5 5 11" xfId="8892" xr:uid="{64252059-718F-4CDE-86C0-0F1C1ED4C8A9}"/>
    <cellStyle name="Currency 5 5 2" xfId="220" xr:uid="{00000000-0005-0000-0000-00003D0D0000}"/>
    <cellStyle name="Currency 5 5 2 10" xfId="8893" xr:uid="{C5A14109-B637-4189-8C05-EFEA13880FC5}"/>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62FABF6F-6C10-4DC5-AFFC-9FC743DEF827}"/>
    <cellStyle name="Currency 5 5 2 2 2 3" xfId="11452" xr:uid="{5F095E7A-7D63-489C-92FB-850F743C2D2E}"/>
    <cellStyle name="Currency 5 5 2 2 3" xfId="5075" xr:uid="{00000000-0005-0000-0000-0000410D0000}"/>
    <cellStyle name="Currency 5 5 2 2 3 2" xfId="13525" xr:uid="{49FB127E-1207-4585-81F4-1B2BD59C00C0}"/>
    <cellStyle name="Currency 5 5 2 2 4" xfId="9307" xr:uid="{705F0353-F7CA-41F3-863A-B69D180E0865}"/>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08352AAA-8BA1-4AAB-A663-27BAEC60E498}"/>
    <cellStyle name="Currency 5 5 2 3 2 3" xfId="11865" xr:uid="{F0E0FF42-D802-4CFA-AA19-E993226A7A1A}"/>
    <cellStyle name="Currency 5 5 2 3 3" xfId="5488" xr:uid="{00000000-0005-0000-0000-0000450D0000}"/>
    <cellStyle name="Currency 5 5 2 3 3 2" xfId="13938" xr:uid="{D6F811B0-3383-4007-B6B8-CFC375B21934}"/>
    <cellStyle name="Currency 5 5 2 3 4" xfId="9720" xr:uid="{154A1B7D-1B07-4513-A8F7-93DAFF4E0274}"/>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A27C3EE9-42F9-4829-A8F6-D793CB00C6F4}"/>
    <cellStyle name="Currency 5 5 2 4 2 3" xfId="12278" xr:uid="{0FBB8A56-A87F-4661-B687-004AC39242F9}"/>
    <cellStyle name="Currency 5 5 2 4 3" xfId="5901" xr:uid="{00000000-0005-0000-0000-0000490D0000}"/>
    <cellStyle name="Currency 5 5 2 4 3 2" xfId="14351" xr:uid="{2B6689AC-F5B8-4DF0-B280-43B246641CAC}"/>
    <cellStyle name="Currency 5 5 2 4 4" xfId="10133" xr:uid="{EADD5E1F-4A8B-4A22-BA6E-6E3A921B50F0}"/>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43C12CF9-ACC9-426D-A40C-F5A09D5B4954}"/>
    <cellStyle name="Currency 5 5 2 5 2 3" xfId="12691" xr:uid="{6EFCF0F1-37B5-44A9-ACF3-B68E36AF9A9C}"/>
    <cellStyle name="Currency 5 5 2 5 3" xfId="6314" xr:uid="{00000000-0005-0000-0000-00004D0D0000}"/>
    <cellStyle name="Currency 5 5 2 5 3 2" xfId="14764" xr:uid="{62F1187C-E61F-4339-9005-C97CD8BDD28E}"/>
    <cellStyle name="Currency 5 5 2 5 4" xfId="10546" xr:uid="{16BB10A3-A67E-431F-9114-BEC78FCF3E59}"/>
    <cellStyle name="Currency 5 5 2 6" xfId="2443" xr:uid="{00000000-0005-0000-0000-00004E0D0000}"/>
    <cellStyle name="Currency 5 5 2 6 2" xfId="6727" xr:uid="{00000000-0005-0000-0000-00004F0D0000}"/>
    <cellStyle name="Currency 5 5 2 6 2 2" xfId="15177" xr:uid="{9BD2CBA7-DFE5-460D-A39C-AEE8F73644F4}"/>
    <cellStyle name="Currency 5 5 2 6 3" xfId="10959" xr:uid="{13175D57-F775-49FC-9482-345A152ECB76}"/>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8E524870-E854-441B-9AAA-22A2FD2BDB83}"/>
    <cellStyle name="Currency 5 5 2 8 3" xfId="11276" xr:uid="{4AB65F26-CA5B-42F8-913B-C76B4DDA846F}"/>
    <cellStyle name="Currency 5 5 2 9" xfId="4661" xr:uid="{00000000-0005-0000-0000-0000530D0000}"/>
    <cellStyle name="Currency 5 5 2 9 2" xfId="13111" xr:uid="{AD72F36A-E092-42F1-BFF6-99DEBE9C9293}"/>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669AEC1A-90F7-4BD0-B4BB-888272D2A395}"/>
    <cellStyle name="Currency 5 5 3 2 3" xfId="11451" xr:uid="{78E0EDD1-7171-4B18-AC8D-8B1C8C8DB9D8}"/>
    <cellStyle name="Currency 5 5 3 3" xfId="5074" xr:uid="{00000000-0005-0000-0000-0000570D0000}"/>
    <cellStyle name="Currency 5 5 3 3 2" xfId="13524" xr:uid="{056E58E5-0008-4FCB-BFBA-8A46A36F949E}"/>
    <cellStyle name="Currency 5 5 3 4" xfId="9306" xr:uid="{2481833D-19CB-42D2-B2BB-9FE795A63BD2}"/>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9B523411-FEF6-41AE-88AF-9754311AAD56}"/>
    <cellStyle name="Currency 5 5 4 2 3" xfId="11864" xr:uid="{02683399-A24E-4F81-92C9-C395E8E0AB1C}"/>
    <cellStyle name="Currency 5 5 4 3" xfId="5487" xr:uid="{00000000-0005-0000-0000-00005B0D0000}"/>
    <cellStyle name="Currency 5 5 4 3 2" xfId="13937" xr:uid="{C2929A6B-E63A-4647-833D-C6A1A4BC74FE}"/>
    <cellStyle name="Currency 5 5 4 4" xfId="9719" xr:uid="{C0E3B803-61C6-4396-B1AE-E18108B747AF}"/>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073D84EE-298A-41E4-AAA7-1A8C9539B1E3}"/>
    <cellStyle name="Currency 5 5 5 2 3" xfId="12277" xr:uid="{3BDF0CD7-7058-4AA3-80EB-74639429FADC}"/>
    <cellStyle name="Currency 5 5 5 3" xfId="5900" xr:uid="{00000000-0005-0000-0000-00005F0D0000}"/>
    <cellStyle name="Currency 5 5 5 3 2" xfId="14350" xr:uid="{F6EBB822-BDB4-4329-A9AE-973C9EF907E1}"/>
    <cellStyle name="Currency 5 5 5 4" xfId="10132" xr:uid="{E6899DA4-9972-421B-A8D5-EE7C299BCBB5}"/>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401E068C-3C70-40B5-9041-B6CCB7F53D5E}"/>
    <cellStyle name="Currency 5 5 6 2 3" xfId="12690" xr:uid="{748C3952-68F1-44E7-8870-D1ADCB1EF33D}"/>
    <cellStyle name="Currency 5 5 6 3" xfId="6313" xr:uid="{00000000-0005-0000-0000-0000630D0000}"/>
    <cellStyle name="Currency 5 5 6 3 2" xfId="14763" xr:uid="{47A305F0-3504-4BF0-A433-B684B35CBB35}"/>
    <cellStyle name="Currency 5 5 6 4" xfId="10545" xr:uid="{195E85AB-A190-4661-AEB1-1452AF8975EB}"/>
    <cellStyle name="Currency 5 5 7" xfId="2442" xr:uid="{00000000-0005-0000-0000-0000640D0000}"/>
    <cellStyle name="Currency 5 5 7 2" xfId="6726" xr:uid="{00000000-0005-0000-0000-0000650D0000}"/>
    <cellStyle name="Currency 5 5 7 2 2" xfId="15176" xr:uid="{EB773D4C-E495-4F24-A9B8-102764C0452F}"/>
    <cellStyle name="Currency 5 5 7 3" xfId="10958" xr:uid="{E493F18B-A381-48B6-9700-6C92F2FD2C45}"/>
    <cellStyle name="Currency 5 5 8" xfId="2739" xr:uid="{00000000-0005-0000-0000-0000660D0000}"/>
    <cellStyle name="Currency 5 5 9" xfId="2820" xr:uid="{00000000-0005-0000-0000-0000670D0000}"/>
    <cellStyle name="Currency 5 5 9 2" xfId="7043" xr:uid="{00000000-0005-0000-0000-0000680D0000}"/>
    <cellStyle name="Currency 5 5 9 2 2" xfId="15493" xr:uid="{C85F99CD-75C0-488C-8B35-13C17B8BF3FD}"/>
    <cellStyle name="Currency 5 5 9 3" xfId="11275" xr:uid="{F7EA8746-BED5-45B5-B5C4-2E0509D964DD}"/>
    <cellStyle name="Currency 5 6" xfId="221" xr:uid="{00000000-0005-0000-0000-0000690D0000}"/>
    <cellStyle name="Currency 5 6 10" xfId="8894" xr:uid="{18B62550-6941-40AB-BAF4-C7052C518666}"/>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603C7219-815D-40B9-A39B-050F97D83197}"/>
    <cellStyle name="Currency 5 6 2 2 3" xfId="11453" xr:uid="{8AEEE0BF-13A2-4918-A461-E4106B024E2D}"/>
    <cellStyle name="Currency 5 6 2 3" xfId="5076" xr:uid="{00000000-0005-0000-0000-00006D0D0000}"/>
    <cellStyle name="Currency 5 6 2 3 2" xfId="13526" xr:uid="{F9B5CAE0-4873-47BF-837E-B4877BCA8A09}"/>
    <cellStyle name="Currency 5 6 2 4" xfId="9308" xr:uid="{EC69DA8E-0B0B-4E9F-964D-054D499085B9}"/>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6DD559D9-5A8B-4DC2-8F58-74C025AA3590}"/>
    <cellStyle name="Currency 5 6 3 2 3" xfId="11866" xr:uid="{56A12EC3-66CB-4789-B395-9AFF3C103C12}"/>
    <cellStyle name="Currency 5 6 3 3" xfId="5489" xr:uid="{00000000-0005-0000-0000-0000710D0000}"/>
    <cellStyle name="Currency 5 6 3 3 2" xfId="13939" xr:uid="{CB327062-D492-4DDF-A8F6-22E614F769A4}"/>
    <cellStyle name="Currency 5 6 3 4" xfId="9721" xr:uid="{F6390FAD-3A64-4B2F-819E-CC2D085BBB3F}"/>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88732CB0-67A6-450D-B0BE-CF41BCA72A61}"/>
    <cellStyle name="Currency 5 6 4 2 3" xfId="12279" xr:uid="{12BCF212-D92D-43C3-9020-52F62D716268}"/>
    <cellStyle name="Currency 5 6 4 3" xfId="5902" xr:uid="{00000000-0005-0000-0000-0000750D0000}"/>
    <cellStyle name="Currency 5 6 4 3 2" xfId="14352" xr:uid="{E235C631-B974-4BAB-9EFF-696BA5324A97}"/>
    <cellStyle name="Currency 5 6 4 4" xfId="10134" xr:uid="{B031146A-FF8C-4189-B614-37F3485AA4AD}"/>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87A06D4F-E70F-4A3F-A271-E3421119F20D}"/>
    <cellStyle name="Currency 5 6 5 2 3" xfId="12692" xr:uid="{4BD8C1D1-ECB3-4C09-8C5E-7F90141ACF3C}"/>
    <cellStyle name="Currency 5 6 5 3" xfId="6315" xr:uid="{00000000-0005-0000-0000-0000790D0000}"/>
    <cellStyle name="Currency 5 6 5 3 2" xfId="14765" xr:uid="{FE8404F3-E34B-4569-AB30-9E6ADD7803CD}"/>
    <cellStyle name="Currency 5 6 5 4" xfId="10547" xr:uid="{0EE6A53F-B88F-4E9A-8842-4189E2BA38D2}"/>
    <cellStyle name="Currency 5 6 6" xfId="2444" xr:uid="{00000000-0005-0000-0000-00007A0D0000}"/>
    <cellStyle name="Currency 5 6 6 2" xfId="6728" xr:uid="{00000000-0005-0000-0000-00007B0D0000}"/>
    <cellStyle name="Currency 5 6 6 2 2" xfId="15178" xr:uid="{FBE4A39E-7370-43C8-934B-13C83DD59752}"/>
    <cellStyle name="Currency 5 6 6 3" xfId="10960" xr:uid="{039F5291-0190-4473-9026-15E17D769944}"/>
    <cellStyle name="Currency 5 6 7" xfId="2741" xr:uid="{00000000-0005-0000-0000-00007C0D0000}"/>
    <cellStyle name="Currency 5 6 8" xfId="2822" xr:uid="{00000000-0005-0000-0000-00007D0D0000}"/>
    <cellStyle name="Currency 5 6 8 2" xfId="7045" xr:uid="{00000000-0005-0000-0000-00007E0D0000}"/>
    <cellStyle name="Currency 5 6 8 2 2" xfId="15495" xr:uid="{65418120-4755-4033-BB11-55C4234E3EAA}"/>
    <cellStyle name="Currency 5 6 8 3" xfId="11277" xr:uid="{D3353E6D-3FBD-4783-9333-69328C351778}"/>
    <cellStyle name="Currency 5 6 9" xfId="4662" xr:uid="{00000000-0005-0000-0000-00007F0D0000}"/>
    <cellStyle name="Currency 5 6 9 2" xfId="13112" xr:uid="{73C986B7-35AC-4EF1-8CBD-F961CAFFACA5}"/>
    <cellStyle name="Currency 5 7" xfId="222" xr:uid="{00000000-0005-0000-0000-0000800D0000}"/>
    <cellStyle name="Currency 5 7 10" xfId="8895" xr:uid="{564A7257-B66A-4BC3-912E-552DD36B6D92}"/>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AFA1ACBB-72EC-4C63-82B9-DAFBBE8DF108}"/>
    <cellStyle name="Currency 5 7 2 2 3" xfId="11454" xr:uid="{E3BC954F-5E3D-4E80-87A3-4FE0B7B6B8DA}"/>
    <cellStyle name="Currency 5 7 2 3" xfId="5077" xr:uid="{00000000-0005-0000-0000-0000840D0000}"/>
    <cellStyle name="Currency 5 7 2 3 2" xfId="13527" xr:uid="{A49E0BD5-E1F8-475F-8601-B02B47DCCCC1}"/>
    <cellStyle name="Currency 5 7 2 4" xfId="9309" xr:uid="{108279E1-449B-4A18-A547-6E8F98C5F966}"/>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EF08433B-996C-411A-A471-18C261D495E3}"/>
    <cellStyle name="Currency 5 7 3 2 3" xfId="11867" xr:uid="{5CDADB18-ABB1-4E62-8B6C-D3DC6E943A83}"/>
    <cellStyle name="Currency 5 7 3 3" xfId="5490" xr:uid="{00000000-0005-0000-0000-0000880D0000}"/>
    <cellStyle name="Currency 5 7 3 3 2" xfId="13940" xr:uid="{A7902C30-2494-4966-B0F6-D67AC4296DA6}"/>
    <cellStyle name="Currency 5 7 3 4" xfId="9722" xr:uid="{EEEC79D2-732F-4E17-8199-840B79D0808F}"/>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89180B0C-BC65-4C9B-9C39-357F265688D7}"/>
    <cellStyle name="Currency 5 7 4 2 3" xfId="12280" xr:uid="{861874FE-2963-4002-9C2E-6101887168EB}"/>
    <cellStyle name="Currency 5 7 4 3" xfId="5903" xr:uid="{00000000-0005-0000-0000-00008C0D0000}"/>
    <cellStyle name="Currency 5 7 4 3 2" xfId="14353" xr:uid="{D7C5AD4B-08E9-4A2E-B6A9-E0C733B194DD}"/>
    <cellStyle name="Currency 5 7 4 4" xfId="10135" xr:uid="{F25CFBE9-F2B0-4944-B3DA-9DE9912144F1}"/>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D44CFD5E-FC61-46D5-8A07-BF47A0A386EA}"/>
    <cellStyle name="Currency 5 7 5 2 3" xfId="12693" xr:uid="{77D16845-7AF8-49FF-8BA0-1A6B9E5D72A2}"/>
    <cellStyle name="Currency 5 7 5 3" xfId="6316" xr:uid="{00000000-0005-0000-0000-0000900D0000}"/>
    <cellStyle name="Currency 5 7 5 3 2" xfId="14766" xr:uid="{9615DCFE-4B59-4BE2-BBE8-C28212CF67F9}"/>
    <cellStyle name="Currency 5 7 5 4" xfId="10548" xr:uid="{3ED1975E-95D0-43CF-8DAB-FBC84C4A3077}"/>
    <cellStyle name="Currency 5 7 6" xfId="2445" xr:uid="{00000000-0005-0000-0000-0000910D0000}"/>
    <cellStyle name="Currency 5 7 6 2" xfId="6729" xr:uid="{00000000-0005-0000-0000-0000920D0000}"/>
    <cellStyle name="Currency 5 7 6 2 2" xfId="15179" xr:uid="{C1B83DB5-4495-4FC9-82EA-2B4E23C236C4}"/>
    <cellStyle name="Currency 5 7 6 3" xfId="10961" xr:uid="{7EA6F093-A77A-42B6-B169-FE1A1A7B1E20}"/>
    <cellStyle name="Currency 5 7 7" xfId="2742" xr:uid="{00000000-0005-0000-0000-0000930D0000}"/>
    <cellStyle name="Currency 5 7 8" xfId="2823" xr:uid="{00000000-0005-0000-0000-0000940D0000}"/>
    <cellStyle name="Currency 5 7 8 2" xfId="7046" xr:uid="{00000000-0005-0000-0000-0000950D0000}"/>
    <cellStyle name="Currency 5 7 8 2 2" xfId="15496" xr:uid="{373DA020-8556-4DFA-BEBC-41D3CCCB7491}"/>
    <cellStyle name="Currency 5 7 8 3" xfId="11278" xr:uid="{1B19F954-80B0-4438-8018-1F1A39D92F76}"/>
    <cellStyle name="Currency 5 7 9" xfId="4663" xr:uid="{00000000-0005-0000-0000-0000960D0000}"/>
    <cellStyle name="Currency 5 7 9 2" xfId="13113" xr:uid="{5CCD81A2-5112-4C23-8789-7623B30DBCAA}"/>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11CC6359-728E-47C5-B71E-B697933684DF}"/>
    <cellStyle name="Normal 12 10 3" xfId="10962" xr:uid="{E284F760-6FE5-45F8-A4A3-E2C48E563786}"/>
    <cellStyle name="Normal 12 11" xfId="4664" xr:uid="{00000000-0005-0000-0000-0000CC0D0000}"/>
    <cellStyle name="Normal 12 11 2" xfId="13114" xr:uid="{81B4281A-6DEE-43BD-BE7D-0972F2AE29D2}"/>
    <cellStyle name="Normal 12 12" xfId="8896" xr:uid="{AB66DFD5-78AA-4D95-A998-6926725438C6}"/>
    <cellStyle name="Normal 12 2" xfId="260" xr:uid="{00000000-0005-0000-0000-0000CD0D0000}"/>
    <cellStyle name="Normal 12 2 10" xfId="8897" xr:uid="{884BE4A7-21CD-418D-B8F5-63140E93E3FA}"/>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117FF2DD-FEB1-436E-A679-599987EAC7C2}"/>
    <cellStyle name="Normal 12 2 2 2 2 2 3" xfId="11458" xr:uid="{B0107C54-E982-4C96-8BB5-12FAB7807686}"/>
    <cellStyle name="Normal 12 2 2 2 2 3" xfId="5081" xr:uid="{00000000-0005-0000-0000-0000D30D0000}"/>
    <cellStyle name="Normal 12 2 2 2 2 3 2" xfId="13531" xr:uid="{1FAC2E0C-D366-442F-97D0-1A466B174D56}"/>
    <cellStyle name="Normal 12 2 2 2 2 4" xfId="9313" xr:uid="{E76EB8FA-2C4C-45F6-810A-D2CC83FED624}"/>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3F587A07-5396-41AD-AF54-65A1A3857847}"/>
    <cellStyle name="Normal 12 2 2 2 3 2 3" xfId="11871" xr:uid="{D9B3FF73-863A-47D0-A5DC-10DA01A42921}"/>
    <cellStyle name="Normal 12 2 2 2 3 3" xfId="5494" xr:uid="{00000000-0005-0000-0000-0000D70D0000}"/>
    <cellStyle name="Normal 12 2 2 2 3 3 2" xfId="13944" xr:uid="{8403C933-D263-44F5-9A5B-A312FF004616}"/>
    <cellStyle name="Normal 12 2 2 2 3 4" xfId="9726" xr:uid="{383C38AD-798C-4B4B-8519-C837EBA9F827}"/>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AC21AB90-16A3-4D28-BA5B-B6D7536C9721}"/>
    <cellStyle name="Normal 12 2 2 2 4 2 3" xfId="12284" xr:uid="{A08EA1A2-BD8C-43EE-B6DE-39406E2BF25A}"/>
    <cellStyle name="Normal 12 2 2 2 4 3" xfId="5907" xr:uid="{00000000-0005-0000-0000-0000DB0D0000}"/>
    <cellStyle name="Normal 12 2 2 2 4 3 2" xfId="14357" xr:uid="{5A81B1F3-5921-4F42-8BE0-F646CC1F6188}"/>
    <cellStyle name="Normal 12 2 2 2 4 4" xfId="10139" xr:uid="{BEDB51A7-43DA-4DB8-8048-913759D356CC}"/>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0440E054-3A4C-4B54-BF99-22324580AC14}"/>
    <cellStyle name="Normal 12 2 2 2 5 2 3" xfId="12697" xr:uid="{E1155E3E-8D0A-4F73-85C5-F862D27519A5}"/>
    <cellStyle name="Normal 12 2 2 2 5 3" xfId="6320" xr:uid="{00000000-0005-0000-0000-0000DF0D0000}"/>
    <cellStyle name="Normal 12 2 2 2 5 3 2" xfId="14770" xr:uid="{8A740A5F-3D98-4F6E-ACFC-A395E55338D2}"/>
    <cellStyle name="Normal 12 2 2 2 5 4" xfId="10552" xr:uid="{81EE6E0E-B5B4-4D64-9907-C0360DE79DD1}"/>
    <cellStyle name="Normal 12 2 2 2 6" xfId="2450" xr:uid="{00000000-0005-0000-0000-0000E00D0000}"/>
    <cellStyle name="Normal 12 2 2 2 6 2" xfId="6733" xr:uid="{00000000-0005-0000-0000-0000E10D0000}"/>
    <cellStyle name="Normal 12 2 2 2 6 2 2" xfId="15183" xr:uid="{B9E14006-D4BC-4351-A473-56DC38EC6388}"/>
    <cellStyle name="Normal 12 2 2 2 6 3" xfId="10965" xr:uid="{0BFEBABA-2E4F-4078-82DA-87E9AB5C2F0B}"/>
    <cellStyle name="Normal 12 2 2 2 7" xfId="4667" xr:uid="{00000000-0005-0000-0000-0000E20D0000}"/>
    <cellStyle name="Normal 12 2 2 2 7 2" xfId="13117" xr:uid="{6351E0C6-9473-4B92-B1BE-AD382E99D6B0}"/>
    <cellStyle name="Normal 12 2 2 2 8" xfId="8899" xr:uid="{FF9A117B-146F-4D79-92DB-E1237E513A81}"/>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38D5DB80-0827-4925-83B1-C5B4A9E286D7}"/>
    <cellStyle name="Normal 12 2 2 3 2 3" xfId="11457" xr:uid="{1CDC2E91-0E60-4F11-ADCE-B62A3334C39D}"/>
    <cellStyle name="Normal 12 2 2 3 3" xfId="5080" xr:uid="{00000000-0005-0000-0000-0000E60D0000}"/>
    <cellStyle name="Normal 12 2 2 3 3 2" xfId="13530" xr:uid="{FB352B50-3CD9-4B37-8D68-7ADCE6334357}"/>
    <cellStyle name="Normal 12 2 2 3 4" xfId="9312" xr:uid="{CEAC8D19-F36C-4EAF-BC3F-8CD9EE2D5912}"/>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931FEBA2-58E2-46F8-B0FD-43C33A049806}"/>
    <cellStyle name="Normal 12 2 2 4 2 3" xfId="11870" xr:uid="{4D7B9506-38E7-480B-BA4C-436956A43C15}"/>
    <cellStyle name="Normal 12 2 2 4 3" xfId="5493" xr:uid="{00000000-0005-0000-0000-0000EA0D0000}"/>
    <cellStyle name="Normal 12 2 2 4 3 2" xfId="13943" xr:uid="{3DA24A36-5908-456A-8CA8-2C23221F58AD}"/>
    <cellStyle name="Normal 12 2 2 4 4" xfId="9725" xr:uid="{3363C3C1-C5B4-4242-9804-4B6CF0DE1125}"/>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C7786700-2157-4F4C-A9C4-B6ED104B121D}"/>
    <cellStyle name="Normal 12 2 2 5 2 3" xfId="12283" xr:uid="{D29D22FB-1E4F-47D7-A166-2DE975B641B8}"/>
    <cellStyle name="Normal 12 2 2 5 3" xfId="5906" xr:uid="{00000000-0005-0000-0000-0000EE0D0000}"/>
    <cellStyle name="Normal 12 2 2 5 3 2" xfId="14356" xr:uid="{A10D3445-D3F1-4200-828F-1A52F35AB1D0}"/>
    <cellStyle name="Normal 12 2 2 5 4" xfId="10138" xr:uid="{CA02B6B7-ADBE-4C06-A9D8-27B4358BC691}"/>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4CCCA0A4-4084-4C76-8E59-1D7717C82590}"/>
    <cellStyle name="Normal 12 2 2 6 2 3" xfId="12696" xr:uid="{EBA2FC54-D530-4002-B660-09A48115B0BE}"/>
    <cellStyle name="Normal 12 2 2 6 3" xfId="6319" xr:uid="{00000000-0005-0000-0000-0000F20D0000}"/>
    <cellStyle name="Normal 12 2 2 6 3 2" xfId="14769" xr:uid="{088800BC-4687-4905-8298-994FEF2033BD}"/>
    <cellStyle name="Normal 12 2 2 6 4" xfId="10551" xr:uid="{DBB46567-D0A3-4B8E-859E-FA0A0FA3DE8E}"/>
    <cellStyle name="Normal 12 2 2 7" xfId="2449" xr:uid="{00000000-0005-0000-0000-0000F30D0000}"/>
    <cellStyle name="Normal 12 2 2 7 2" xfId="6732" xr:uid="{00000000-0005-0000-0000-0000F40D0000}"/>
    <cellStyle name="Normal 12 2 2 7 2 2" xfId="15182" xr:uid="{32F5AB04-FB3F-42C7-BB52-E7AA565294F9}"/>
    <cellStyle name="Normal 12 2 2 7 3" xfId="10964" xr:uid="{3722738D-2948-4C23-92D8-8BB66008ECEA}"/>
    <cellStyle name="Normal 12 2 2 8" xfId="4666" xr:uid="{00000000-0005-0000-0000-0000F50D0000}"/>
    <cellStyle name="Normal 12 2 2 8 2" xfId="13116" xr:uid="{4A9C69C2-6601-4AE6-9FAC-D05E3320A91C}"/>
    <cellStyle name="Normal 12 2 2 9" xfId="8898" xr:uid="{BFF87748-D2F0-4E2E-BE6B-9482B5D3173A}"/>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48D15733-E65D-451D-B8F1-29D12B58045A}"/>
    <cellStyle name="Normal 12 2 3 2 2 3" xfId="11459" xr:uid="{577FE31B-4917-4E4E-BA9A-B8BF8F4B0135}"/>
    <cellStyle name="Normal 12 2 3 2 3" xfId="5082" xr:uid="{00000000-0005-0000-0000-0000FA0D0000}"/>
    <cellStyle name="Normal 12 2 3 2 3 2" xfId="13532" xr:uid="{3848FDE0-F959-494E-B47B-8953AE4EF842}"/>
    <cellStyle name="Normal 12 2 3 2 4" xfId="9314" xr:uid="{BE70E11D-4282-4F54-B849-B011DD5F84E6}"/>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A0B9385B-12BB-4532-B4B6-DB361A289B8A}"/>
    <cellStyle name="Normal 12 2 3 3 2 3" xfId="11872" xr:uid="{C66B6E4A-83E2-4B50-84F1-A4E36C5F563B}"/>
    <cellStyle name="Normal 12 2 3 3 3" xfId="5495" xr:uid="{00000000-0005-0000-0000-0000FE0D0000}"/>
    <cellStyle name="Normal 12 2 3 3 3 2" xfId="13945" xr:uid="{77175D91-3AD3-4DF9-9FE7-9434F33B75EB}"/>
    <cellStyle name="Normal 12 2 3 3 4" xfId="9727" xr:uid="{1224F276-4E6E-455F-9C92-C4473F8FDD11}"/>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CB2E8041-C332-4D23-A61C-8E5DE3E3560A}"/>
    <cellStyle name="Normal 12 2 3 4 2 3" xfId="12285" xr:uid="{CD537355-9538-4C59-B02E-D39B1F932DBF}"/>
    <cellStyle name="Normal 12 2 3 4 3" xfId="5908" xr:uid="{00000000-0005-0000-0000-0000020E0000}"/>
    <cellStyle name="Normal 12 2 3 4 3 2" xfId="14358" xr:uid="{5C564972-B799-4513-8BAA-5C61D9CA9F45}"/>
    <cellStyle name="Normal 12 2 3 4 4" xfId="10140" xr:uid="{BF714DEF-A079-4C8D-95A4-DF4E0B784CE4}"/>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D587567E-7392-41D1-855C-F0149078CB29}"/>
    <cellStyle name="Normal 12 2 3 5 2 3" xfId="12698" xr:uid="{6A413DF7-169F-4394-A3C4-68D0C25DD494}"/>
    <cellStyle name="Normal 12 2 3 5 3" xfId="6321" xr:uid="{00000000-0005-0000-0000-0000060E0000}"/>
    <cellStyle name="Normal 12 2 3 5 3 2" xfId="14771" xr:uid="{AD60F70D-179D-43DE-8E8E-4E21FCAA4462}"/>
    <cellStyle name="Normal 12 2 3 5 4" xfId="10553" xr:uid="{84B1E5CD-11F0-4AF0-A914-C8991F8A1919}"/>
    <cellStyle name="Normal 12 2 3 6" xfId="2451" xr:uid="{00000000-0005-0000-0000-0000070E0000}"/>
    <cellStyle name="Normal 12 2 3 6 2" xfId="6734" xr:uid="{00000000-0005-0000-0000-0000080E0000}"/>
    <cellStyle name="Normal 12 2 3 6 2 2" xfId="15184" xr:uid="{A39DA105-D134-409B-847D-C3CB0FC49C5C}"/>
    <cellStyle name="Normal 12 2 3 6 3" xfId="10966" xr:uid="{10904444-4DB1-4A37-807A-16ABE308A06D}"/>
    <cellStyle name="Normal 12 2 3 7" xfId="4668" xr:uid="{00000000-0005-0000-0000-0000090E0000}"/>
    <cellStyle name="Normal 12 2 3 7 2" xfId="13118" xr:uid="{D589292D-7842-44AA-AFE4-B89217A320B5}"/>
    <cellStyle name="Normal 12 2 3 8" xfId="8900" xr:uid="{2CDF641E-6B72-499B-8E0D-775AC1A9D755}"/>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1AB2F87E-1A92-4E3E-AD8D-7F12A8ECDADB}"/>
    <cellStyle name="Normal 12 2 4 2 3" xfId="11456" xr:uid="{ADD301CC-5116-46A6-B351-C88A7E22EC90}"/>
    <cellStyle name="Normal 12 2 4 3" xfId="5079" xr:uid="{00000000-0005-0000-0000-00000D0E0000}"/>
    <cellStyle name="Normal 12 2 4 3 2" xfId="13529" xr:uid="{F7CDCE7D-4FE9-4546-8EE0-7582D4AF1673}"/>
    <cellStyle name="Normal 12 2 4 4" xfId="9311" xr:uid="{73E08B3A-D509-4E00-9053-AAE242CEE838}"/>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F6AD1B1E-D2EC-4F88-BF94-8EFC1E68776D}"/>
    <cellStyle name="Normal 12 2 5 2 3" xfId="11869" xr:uid="{FD7B9E6B-81AE-4590-9098-093CD21811F4}"/>
    <cellStyle name="Normal 12 2 5 3" xfId="5492" xr:uid="{00000000-0005-0000-0000-0000110E0000}"/>
    <cellStyle name="Normal 12 2 5 3 2" xfId="13942" xr:uid="{A8BCBEA3-5EBE-4C77-AA81-9171934ECAD3}"/>
    <cellStyle name="Normal 12 2 5 4" xfId="9724" xr:uid="{CF174541-81E9-4C53-B80D-EA798366CF0B}"/>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14AD9CF1-5BEF-4B61-BB10-583B99898729}"/>
    <cellStyle name="Normal 12 2 6 2 3" xfId="12282" xr:uid="{B874A4A8-7C78-4C79-9565-1DE8129463C5}"/>
    <cellStyle name="Normal 12 2 6 3" xfId="5905" xr:uid="{00000000-0005-0000-0000-0000150E0000}"/>
    <cellStyle name="Normal 12 2 6 3 2" xfId="14355" xr:uid="{A391762B-CF1E-4546-B490-3D7964442B93}"/>
    <cellStyle name="Normal 12 2 6 4" xfId="10137" xr:uid="{052B9B59-C70F-458E-A6BB-D7569DDB5C5D}"/>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68400D33-D96E-4BA5-8172-BF0677AB16A5}"/>
    <cellStyle name="Normal 12 2 7 2 3" xfId="12695" xr:uid="{F97F2B1F-3D01-4672-A4E2-605A51CA7FEA}"/>
    <cellStyle name="Normal 12 2 7 3" xfId="6318" xr:uid="{00000000-0005-0000-0000-0000190E0000}"/>
    <cellStyle name="Normal 12 2 7 3 2" xfId="14768" xr:uid="{D9B33BD2-BA33-4A4D-B3E7-10FD8DBF9246}"/>
    <cellStyle name="Normal 12 2 7 4" xfId="10550" xr:uid="{AECE9C2A-D55D-4130-A636-18199DEB9567}"/>
    <cellStyle name="Normal 12 2 8" xfId="2448" xr:uid="{00000000-0005-0000-0000-00001A0E0000}"/>
    <cellStyle name="Normal 12 2 8 2" xfId="6731" xr:uid="{00000000-0005-0000-0000-00001B0E0000}"/>
    <cellStyle name="Normal 12 2 8 2 2" xfId="15181" xr:uid="{B7DC04EF-94E5-40A8-A836-6D2B591694B4}"/>
    <cellStyle name="Normal 12 2 8 3" xfId="10963" xr:uid="{900BD2BA-57EF-4AB0-A6BA-4350930230E1}"/>
    <cellStyle name="Normal 12 2 9" xfId="4665" xr:uid="{00000000-0005-0000-0000-00001C0E0000}"/>
    <cellStyle name="Normal 12 2 9 2" xfId="13115" xr:uid="{2093F3C6-ECF1-4C0C-8EA6-0C4754CDDCE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7829C44F-F7EA-4CBE-A8D1-F0074126411F}"/>
    <cellStyle name="Normal 12 3 2 2 2 3" xfId="11461" xr:uid="{C7BE15DE-9B74-463E-B68E-240670B28EA5}"/>
    <cellStyle name="Normal 12 3 2 2 3" xfId="5084" xr:uid="{00000000-0005-0000-0000-0000220E0000}"/>
    <cellStyle name="Normal 12 3 2 2 3 2" xfId="13534" xr:uid="{37AD98C3-664D-4F85-AD2C-EDA2245976BE}"/>
    <cellStyle name="Normal 12 3 2 2 4" xfId="9316" xr:uid="{FAB8209B-33D1-47D2-AC59-29EF91B4EEB4}"/>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56F49F12-E081-49BA-8BC2-4D6E666EDE88}"/>
    <cellStyle name="Normal 12 3 2 3 2 3" xfId="11874" xr:uid="{BE13508E-BBB8-4AA6-91CC-328DF1F7CB51}"/>
    <cellStyle name="Normal 12 3 2 3 3" xfId="5497" xr:uid="{00000000-0005-0000-0000-0000260E0000}"/>
    <cellStyle name="Normal 12 3 2 3 3 2" xfId="13947" xr:uid="{C63FA55A-53C5-4E51-A017-3FA5AD9EA834}"/>
    <cellStyle name="Normal 12 3 2 3 4" xfId="9729" xr:uid="{E04A8B37-9CC5-4838-B28D-0D2F9DF0DBE1}"/>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480FA6A7-3597-42EF-A2DE-3042D13F141A}"/>
    <cellStyle name="Normal 12 3 2 4 2 3" xfId="12287" xr:uid="{8E689E60-4A43-4C08-BB9B-0B9D96934632}"/>
    <cellStyle name="Normal 12 3 2 4 3" xfId="5910" xr:uid="{00000000-0005-0000-0000-00002A0E0000}"/>
    <cellStyle name="Normal 12 3 2 4 3 2" xfId="14360" xr:uid="{79E23933-9978-48CE-82F5-D779EC812031}"/>
    <cellStyle name="Normal 12 3 2 4 4" xfId="10142" xr:uid="{3171AF88-9200-4CF7-8AB4-1564FFC10563}"/>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4051AF4B-678E-4E28-B671-1F072661F289}"/>
    <cellStyle name="Normal 12 3 2 5 2 3" xfId="12700" xr:uid="{2569F0CE-BFE5-4CA3-87EF-9324ADD99799}"/>
    <cellStyle name="Normal 12 3 2 5 3" xfId="6323" xr:uid="{00000000-0005-0000-0000-00002E0E0000}"/>
    <cellStyle name="Normal 12 3 2 5 3 2" xfId="14773" xr:uid="{2C57D4A1-B348-4EAB-A04D-19838A3CEA6D}"/>
    <cellStyle name="Normal 12 3 2 5 4" xfId="10555" xr:uid="{FC69F610-B3B7-411F-A491-53A55CB72E75}"/>
    <cellStyle name="Normal 12 3 2 6" xfId="2453" xr:uid="{00000000-0005-0000-0000-00002F0E0000}"/>
    <cellStyle name="Normal 12 3 2 6 2" xfId="6736" xr:uid="{00000000-0005-0000-0000-0000300E0000}"/>
    <cellStyle name="Normal 12 3 2 6 2 2" xfId="15186" xr:uid="{4B359E35-EAE8-4AC8-9896-AB057F27EC71}"/>
    <cellStyle name="Normal 12 3 2 6 3" xfId="10968" xr:uid="{F9B1A9B2-758E-4B48-BB59-04D5B3818C6D}"/>
    <cellStyle name="Normal 12 3 2 7" xfId="4670" xr:uid="{00000000-0005-0000-0000-0000310E0000}"/>
    <cellStyle name="Normal 12 3 2 7 2" xfId="13120" xr:uid="{61A1E6A8-670C-41CF-BEF2-0E5984767F91}"/>
    <cellStyle name="Normal 12 3 2 8" xfId="8902" xr:uid="{DC29E7E3-DA4D-42BB-B089-305CED549FE8}"/>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E3429425-BF93-465F-A1DB-3BF67CD06F2C}"/>
    <cellStyle name="Normal 12 3 3 2 3" xfId="11460" xr:uid="{4BA0F957-95D6-409A-8C18-8782693F3AD3}"/>
    <cellStyle name="Normal 12 3 3 3" xfId="5083" xr:uid="{00000000-0005-0000-0000-0000350E0000}"/>
    <cellStyle name="Normal 12 3 3 3 2" xfId="13533" xr:uid="{98BADC38-EDF9-44E3-A5DE-0666BC8733CB}"/>
    <cellStyle name="Normal 12 3 3 4" xfId="9315" xr:uid="{6E6CED77-99EB-42AC-B6B5-6810F1B216E0}"/>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A5945CF4-3431-44E6-9D1E-65744D832342}"/>
    <cellStyle name="Normal 12 3 4 2 3" xfId="11873" xr:uid="{9E1B38CE-57D5-413B-A7E9-30D8F021AD52}"/>
    <cellStyle name="Normal 12 3 4 3" xfId="5496" xr:uid="{00000000-0005-0000-0000-0000390E0000}"/>
    <cellStyle name="Normal 12 3 4 3 2" xfId="13946" xr:uid="{126A5363-4D4A-462A-9575-B995A330D946}"/>
    <cellStyle name="Normal 12 3 4 4" xfId="9728" xr:uid="{0C2323B3-28A8-43B6-B771-224ECD11677B}"/>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AF69919C-9326-41D2-B451-1412CA45697A}"/>
    <cellStyle name="Normal 12 3 5 2 3" xfId="12286" xr:uid="{E5538C39-5712-417A-98B9-A7323CB6E2BD}"/>
    <cellStyle name="Normal 12 3 5 3" xfId="5909" xr:uid="{00000000-0005-0000-0000-00003D0E0000}"/>
    <cellStyle name="Normal 12 3 5 3 2" xfId="14359" xr:uid="{CB715B5A-2D94-4170-9789-CC7723A63509}"/>
    <cellStyle name="Normal 12 3 5 4" xfId="10141" xr:uid="{A3AC36FA-983F-4EBB-9245-A3F24D780AE5}"/>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4647FE9F-6860-4350-8FB2-E60706C501A6}"/>
    <cellStyle name="Normal 12 3 6 2 3" xfId="12699" xr:uid="{A5BFBCB0-54A3-4635-B567-5193E620D74F}"/>
    <cellStyle name="Normal 12 3 6 3" xfId="6322" xr:uid="{00000000-0005-0000-0000-0000410E0000}"/>
    <cellStyle name="Normal 12 3 6 3 2" xfId="14772" xr:uid="{F70D91D2-EF33-40BE-B287-AE842B1BC2EB}"/>
    <cellStyle name="Normal 12 3 6 4" xfId="10554" xr:uid="{A240D4D1-0C73-4452-8043-465690B09C1C}"/>
    <cellStyle name="Normal 12 3 7" xfId="2452" xr:uid="{00000000-0005-0000-0000-0000420E0000}"/>
    <cellStyle name="Normal 12 3 7 2" xfId="6735" xr:uid="{00000000-0005-0000-0000-0000430E0000}"/>
    <cellStyle name="Normal 12 3 7 2 2" xfId="15185" xr:uid="{BE7E9503-CC45-41FD-9639-FF4B619EF5CE}"/>
    <cellStyle name="Normal 12 3 7 3" xfId="10967" xr:uid="{555D6689-35F0-4CFA-8130-A1EF1D535F17}"/>
    <cellStyle name="Normal 12 3 8" xfId="4669" xr:uid="{00000000-0005-0000-0000-0000440E0000}"/>
    <cellStyle name="Normal 12 3 8 2" xfId="13119" xr:uid="{4B356478-FACE-45A2-8148-D8137964A07C}"/>
    <cellStyle name="Normal 12 3 9" xfId="8901" xr:uid="{CC6A8E63-63E5-4640-937A-BFCDABCBB06A}"/>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EB5AC609-AF3C-4490-9670-0163563392DB}"/>
    <cellStyle name="Normal 12 4 2 2 3" xfId="11462" xr:uid="{12287206-1CE0-4B03-9EE0-87FD76A9D678}"/>
    <cellStyle name="Normal 12 4 2 3" xfId="5085" xr:uid="{00000000-0005-0000-0000-0000490E0000}"/>
    <cellStyle name="Normal 12 4 2 3 2" xfId="13535" xr:uid="{8F0AE8CA-C887-49BA-BA59-8F25760CBB1B}"/>
    <cellStyle name="Normal 12 4 2 4" xfId="9317" xr:uid="{17B8C718-6FF0-4E62-9E40-A352669FCC5C}"/>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F7E52B5B-CABC-4DE9-87A1-61042EA36E4D}"/>
    <cellStyle name="Normal 12 4 3 2 3" xfId="11875" xr:uid="{C0444DD4-B58A-485F-92D4-F031E85CD4C0}"/>
    <cellStyle name="Normal 12 4 3 3" xfId="5498" xr:uid="{00000000-0005-0000-0000-00004D0E0000}"/>
    <cellStyle name="Normal 12 4 3 3 2" xfId="13948" xr:uid="{597F2BC8-F77A-483E-8388-41CD723B99AC}"/>
    <cellStyle name="Normal 12 4 3 4" xfId="9730" xr:uid="{6DF0FF20-7EC5-4FC2-A212-9F4FF065FA5B}"/>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DD98C9F1-2937-4485-9A1C-CD5657E548F6}"/>
    <cellStyle name="Normal 12 4 4 2 3" xfId="12288" xr:uid="{446BC155-CE3A-483E-A047-AFC88988E0CB}"/>
    <cellStyle name="Normal 12 4 4 3" xfId="5911" xr:uid="{00000000-0005-0000-0000-0000510E0000}"/>
    <cellStyle name="Normal 12 4 4 3 2" xfId="14361" xr:uid="{7E95D236-16F1-427A-AB0D-39DE65A79D95}"/>
    <cellStyle name="Normal 12 4 4 4" xfId="10143" xr:uid="{D13449D3-3939-4A05-A911-09578B889D4D}"/>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F9BCE2B3-2771-4696-B1BD-AAC4477A8366}"/>
    <cellStyle name="Normal 12 4 5 2 3" xfId="12701" xr:uid="{1C81260C-EE80-48E3-9C06-5CFBF92CB04D}"/>
    <cellStyle name="Normal 12 4 5 3" xfId="6324" xr:uid="{00000000-0005-0000-0000-0000550E0000}"/>
    <cellStyle name="Normal 12 4 5 3 2" xfId="14774" xr:uid="{83DD35F4-13A0-4450-BA0A-F169791ECB6A}"/>
    <cellStyle name="Normal 12 4 5 4" xfId="10556" xr:uid="{1D0889FA-0605-4202-BC7C-51E0731E8C98}"/>
    <cellStyle name="Normal 12 4 6" xfId="2454" xr:uid="{00000000-0005-0000-0000-0000560E0000}"/>
    <cellStyle name="Normal 12 4 6 2" xfId="6737" xr:uid="{00000000-0005-0000-0000-0000570E0000}"/>
    <cellStyle name="Normal 12 4 6 2 2" xfId="15187" xr:uid="{2CC90527-078E-4BEF-9606-792EE02C8E08}"/>
    <cellStyle name="Normal 12 4 6 3" xfId="10969" xr:uid="{53BE6E43-77FC-4346-923A-CC0DEDDFA42E}"/>
    <cellStyle name="Normal 12 4 7" xfId="4671" xr:uid="{00000000-0005-0000-0000-0000580E0000}"/>
    <cellStyle name="Normal 12 4 7 2" xfId="13121" xr:uid="{5E23A4E4-15F0-4831-BCE4-11E34C161272}"/>
    <cellStyle name="Normal 12 4 8" xfId="8903" xr:uid="{08302B50-51DD-4E44-BB56-82D0EB12867A}"/>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32EE13C1-EF12-4F92-8C67-EA28BA6A23D8}"/>
    <cellStyle name="Normal 12 6 2 3" xfId="11455" xr:uid="{50F72747-87F1-4CDF-AA25-9611CF52C2CF}"/>
    <cellStyle name="Normal 12 6 3" xfId="5078" xr:uid="{00000000-0005-0000-0000-00005D0E0000}"/>
    <cellStyle name="Normal 12 6 3 2" xfId="13528" xr:uid="{BC23C8B2-A1FA-4D82-AC9D-EB73BC344472}"/>
    <cellStyle name="Normal 12 6 4" xfId="9310" xr:uid="{C11AEA48-DF66-47CA-AF39-AC74897B56BE}"/>
    <cellStyle name="Normal 12 7" xfId="1183" xr:uid="{00000000-0005-0000-0000-00005E0E0000}"/>
    <cellStyle name="Normal 12 7 2" xfId="3414" xr:uid="{00000000-0005-0000-0000-00005F0E0000}"/>
    <cellStyle name="Normal 12 7 2 2" xfId="7636" xr:uid="{00000000-0005-0000-0000-0000600E0000}"/>
    <cellStyle name="Normal 12 7 2 2 2" xfId="16086" xr:uid="{5A629469-BA31-472C-B990-90CA318BA8B6}"/>
    <cellStyle name="Normal 12 7 2 3" xfId="11868" xr:uid="{E93062F8-671F-4CC0-B111-95B6AFF0DE4B}"/>
    <cellStyle name="Normal 12 7 3" xfId="5491" xr:uid="{00000000-0005-0000-0000-0000610E0000}"/>
    <cellStyle name="Normal 12 7 3 2" xfId="13941" xr:uid="{C491A498-EA9B-4407-B00A-B3EC1E235CBF}"/>
    <cellStyle name="Normal 12 7 4" xfId="9723" xr:uid="{9C425C3A-C934-470B-B358-FD0E0431FE2B}"/>
    <cellStyle name="Normal 12 8" xfId="1597" xr:uid="{00000000-0005-0000-0000-0000620E0000}"/>
    <cellStyle name="Normal 12 8 2" xfId="3827" xr:uid="{00000000-0005-0000-0000-0000630E0000}"/>
    <cellStyle name="Normal 12 8 2 2" xfId="8049" xr:uid="{00000000-0005-0000-0000-0000640E0000}"/>
    <cellStyle name="Normal 12 8 2 2 2" xfId="16499" xr:uid="{D8FF11A0-7E60-4D79-963E-E6E5DE6B609B}"/>
    <cellStyle name="Normal 12 8 2 3" xfId="12281" xr:uid="{D7FE7716-831E-4AA5-9644-DDADF2B5E28E}"/>
    <cellStyle name="Normal 12 8 3" xfId="5904" xr:uid="{00000000-0005-0000-0000-0000650E0000}"/>
    <cellStyle name="Normal 12 8 3 2" xfId="14354" xr:uid="{BB602864-7ECE-4FD4-8401-CA30B9674340}"/>
    <cellStyle name="Normal 12 8 4" xfId="10136" xr:uid="{A33191DA-0D7E-46CD-B084-CB7D5769BCAE}"/>
    <cellStyle name="Normal 12 9" xfId="2011" xr:uid="{00000000-0005-0000-0000-0000660E0000}"/>
    <cellStyle name="Normal 12 9 2" xfId="4240" xr:uid="{00000000-0005-0000-0000-0000670E0000}"/>
    <cellStyle name="Normal 12 9 2 2" xfId="8462" xr:uid="{00000000-0005-0000-0000-0000680E0000}"/>
    <cellStyle name="Normal 12 9 2 2 2" xfId="16912" xr:uid="{C51DAAF7-C760-4EDE-BFC1-1ACB60E32C85}"/>
    <cellStyle name="Normal 12 9 2 3" xfId="12694" xr:uid="{D9788C23-CC92-4287-B6A2-7D98E1ABE23C}"/>
    <cellStyle name="Normal 12 9 3" xfId="6317" xr:uid="{00000000-0005-0000-0000-0000690E0000}"/>
    <cellStyle name="Normal 12 9 3 2" xfId="14767" xr:uid="{307DB79E-D7FE-434F-A543-6950A9C30918}"/>
    <cellStyle name="Normal 12 9 4" xfId="10549" xr:uid="{625A3A7F-C901-4BED-BDEC-1E063E2F6F8E}"/>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681" xr:uid="{E6FC16C7-AEBC-4EB6-8BAE-BBAD603EB014}"/>
    <cellStyle name="Normal 14 2 2 3" xfId="11463" xr:uid="{F55961AD-BD8C-4435-838E-B79E28355DDB}"/>
    <cellStyle name="Normal 14 2 3" xfId="5086" xr:uid="{00000000-0005-0000-0000-0000700E0000}"/>
    <cellStyle name="Normal 14 2 3 2" xfId="13536" xr:uid="{D7151352-72F9-429D-A7EB-36F88FB85BE8}"/>
    <cellStyle name="Normal 14 2 4" xfId="9318" xr:uid="{E3A6A055-2B77-485C-B306-6F4C09D88B6F}"/>
    <cellStyle name="Normal 14 3" xfId="1191" xr:uid="{00000000-0005-0000-0000-0000710E0000}"/>
    <cellStyle name="Normal 14 3 2" xfId="3422" xr:uid="{00000000-0005-0000-0000-0000720E0000}"/>
    <cellStyle name="Normal 14 3 2 2" xfId="7644" xr:uid="{00000000-0005-0000-0000-0000730E0000}"/>
    <cellStyle name="Normal 14 3 2 2 2" xfId="16094" xr:uid="{35770A42-0791-4A79-B399-7946C38583BF}"/>
    <cellStyle name="Normal 14 3 2 3" xfId="11876" xr:uid="{65D16AAF-F54E-442B-88F7-B6B2405D295C}"/>
    <cellStyle name="Normal 14 3 3" xfId="5499" xr:uid="{00000000-0005-0000-0000-0000740E0000}"/>
    <cellStyle name="Normal 14 3 3 2" xfId="13949" xr:uid="{E4A53392-ED0D-47DE-ABDA-E194563318C0}"/>
    <cellStyle name="Normal 14 3 4" xfId="9731" xr:uid="{D1E71338-A116-457A-B562-90F4965D77C4}"/>
    <cellStyle name="Normal 14 4" xfId="1605" xr:uid="{00000000-0005-0000-0000-0000750E0000}"/>
    <cellStyle name="Normal 14 4 2" xfId="3835" xr:uid="{00000000-0005-0000-0000-0000760E0000}"/>
    <cellStyle name="Normal 14 4 2 2" xfId="8057" xr:uid="{00000000-0005-0000-0000-0000770E0000}"/>
    <cellStyle name="Normal 14 4 2 2 2" xfId="16507" xr:uid="{00E9B2AB-4CFB-4F59-95CC-C8E6D172BFE9}"/>
    <cellStyle name="Normal 14 4 2 3" xfId="12289" xr:uid="{C5BB95BD-7AD4-432F-B1EB-14C4EAEB1879}"/>
    <cellStyle name="Normal 14 4 3" xfId="5912" xr:uid="{00000000-0005-0000-0000-0000780E0000}"/>
    <cellStyle name="Normal 14 4 3 2" xfId="14362" xr:uid="{9E1C4DC9-C5A4-4556-8D14-1B6B7FAFA5EC}"/>
    <cellStyle name="Normal 14 4 4" xfId="10144" xr:uid="{82440189-D465-425D-8A47-EB91FE6806B5}"/>
    <cellStyle name="Normal 14 5" xfId="2019" xr:uid="{00000000-0005-0000-0000-0000790E0000}"/>
    <cellStyle name="Normal 14 5 2" xfId="4248" xr:uid="{00000000-0005-0000-0000-00007A0E0000}"/>
    <cellStyle name="Normal 14 5 2 2" xfId="8470" xr:uid="{00000000-0005-0000-0000-00007B0E0000}"/>
    <cellStyle name="Normal 14 5 2 2 2" xfId="16920" xr:uid="{771CAAE9-E0E9-4CDE-BB38-696E339D5013}"/>
    <cellStyle name="Normal 14 5 2 3" xfId="12702" xr:uid="{3AB14613-933D-4956-802C-A361C9423FD7}"/>
    <cellStyle name="Normal 14 5 3" xfId="6325" xr:uid="{00000000-0005-0000-0000-00007C0E0000}"/>
    <cellStyle name="Normal 14 5 3 2" xfId="14775" xr:uid="{B01B6337-3452-4AFF-8D59-8705490BEBA9}"/>
    <cellStyle name="Normal 14 5 4" xfId="10557" xr:uid="{F5F78BB5-8C3F-4152-8E56-320C16532661}"/>
    <cellStyle name="Normal 14 6" xfId="2455" xr:uid="{00000000-0005-0000-0000-00007D0E0000}"/>
    <cellStyle name="Normal 14 6 2" xfId="6738" xr:uid="{00000000-0005-0000-0000-00007E0E0000}"/>
    <cellStyle name="Normal 14 6 2 2" xfId="15188" xr:uid="{7AFAA5B7-E53D-400C-BDA2-379530BFEC6C}"/>
    <cellStyle name="Normal 14 6 3" xfId="10970" xr:uid="{1EE9302A-DB42-4186-9D32-3DBA7BF1A59A}"/>
    <cellStyle name="Normal 14 7" xfId="4672" xr:uid="{00000000-0005-0000-0000-00007F0E0000}"/>
    <cellStyle name="Normal 14 7 2" xfId="13122" xr:uid="{EEB29102-B63A-4F8D-BC09-5E173989CB91}"/>
    <cellStyle name="Normal 14 8" xfId="8904" xr:uid="{5A6A8F8F-5668-4792-8F32-823AA8BBEEBC}"/>
    <cellStyle name="Normal 15" xfId="4496" xr:uid="{00000000-0005-0000-0000-0000800E0000}"/>
    <cellStyle name="Normal 15 2" xfId="12948" xr:uid="{344FA95C-32DE-4984-A236-F89F7FDEB027}"/>
    <cellStyle name="Normal 16" xfId="4500" xr:uid="{00000000-0005-0000-0000-0000810E0000}"/>
    <cellStyle name="Normal 16 2" xfId="8715" xr:uid="{00000000-0005-0000-0000-0000820E0000}"/>
    <cellStyle name="Normal 16 2 2" xfId="17165" xr:uid="{D2EB973B-88B5-4434-8C95-351BA12D1508}"/>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17181" xr:uid="{1C4C8F22-08CA-4E77-8075-110DDA74E03A}"/>
    <cellStyle name="Normal 16 3 2 2 2 3" xfId="17178" xr:uid="{E663953F-682B-4088-9658-CDCDD2E7A53F}"/>
    <cellStyle name="Normal 16 3 2 2 3" xfId="17174" xr:uid="{BB5DD522-A7DA-4BEA-A59B-78EC725F00D7}"/>
    <cellStyle name="Normal 16 3 2 3" xfId="17171" xr:uid="{6FE83341-C474-424A-AE30-BF6E58245854}"/>
    <cellStyle name="Normal 16 3 3" xfId="17168" xr:uid="{3245672F-9EEB-44C7-A60A-54E205FD3522}"/>
    <cellStyle name="Normal 16 4" xfId="12951" xr:uid="{8C0BE82C-6984-4809-BC16-0B767338B806}"/>
    <cellStyle name="Normal 17" xfId="8728" xr:uid="{3FF0972C-833B-4475-99D8-1A6907499E71}"/>
    <cellStyle name="Normal 17 2" xfId="17177" xr:uid="{4CBDF6C8-F744-49DE-8754-5E3F631D0E1C}"/>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607DE46E-EC4A-416B-A5C4-6BE66983EDB3}"/>
    <cellStyle name="Normal 2 4 2 10 2 3" xfId="12703" xr:uid="{9AFDC24C-F38D-42F8-AA0A-4D9BF5339E9C}"/>
    <cellStyle name="Normal 2 4 2 10 3" xfId="6326" xr:uid="{00000000-0005-0000-0000-0000910E0000}"/>
    <cellStyle name="Normal 2 4 2 10 3 2" xfId="14776" xr:uid="{CA0D3F32-1EB9-42AE-A88B-AEF043678627}"/>
    <cellStyle name="Normal 2 4 2 10 4" xfId="10558" xr:uid="{94BEB381-0EAE-471F-8727-483D3084745D}"/>
    <cellStyle name="Normal 2 4 2 11" xfId="2456" xr:uid="{00000000-0005-0000-0000-0000920E0000}"/>
    <cellStyle name="Normal 2 4 2 11 2" xfId="6739" xr:uid="{00000000-0005-0000-0000-0000930E0000}"/>
    <cellStyle name="Normal 2 4 2 11 2 2" xfId="15189" xr:uid="{3669DB29-36E7-4DA6-B40F-8C9379B1A911}"/>
    <cellStyle name="Normal 2 4 2 11 3" xfId="10971" xr:uid="{D25CF391-64EB-4752-B7F6-831905218D09}"/>
    <cellStyle name="Normal 2 4 2 12" xfId="4673" xr:uid="{00000000-0005-0000-0000-0000940E0000}"/>
    <cellStyle name="Normal 2 4 2 12 2" xfId="13123" xr:uid="{FD213BBD-583D-43A6-B54E-CDEA54AEB6DC}"/>
    <cellStyle name="Normal 2 4 2 13" xfId="8905" xr:uid="{9A904325-B996-48B2-99EF-5B49CE1A8DA4}"/>
    <cellStyle name="Normal 2 4 2 2" xfId="280" xr:uid="{00000000-0005-0000-0000-0000950E0000}"/>
    <cellStyle name="Normal 2 4 2 3" xfId="281" xr:uid="{00000000-0005-0000-0000-0000960E0000}"/>
    <cellStyle name="Normal 2 4 2 3 10" xfId="4674" xr:uid="{00000000-0005-0000-0000-0000970E0000}"/>
    <cellStyle name="Normal 2 4 2 3 10 2" xfId="13124" xr:uid="{B0E95B4D-30C1-4C10-981A-C9CC360B7927}"/>
    <cellStyle name="Normal 2 4 2 3 11" xfId="8906" xr:uid="{1C10D9CF-ED68-4B77-A9E3-2D08A51F852D}"/>
    <cellStyle name="Normal 2 4 2 3 2" xfId="282" xr:uid="{00000000-0005-0000-0000-0000980E0000}"/>
    <cellStyle name="Normal 2 4 2 3 2 10" xfId="8907" xr:uid="{3CB9966A-9474-41A1-991E-811253227EAE}"/>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9EA42AC3-D1FB-4DB9-89D9-56A57FFD4684}"/>
    <cellStyle name="Normal 2 4 2 3 2 2 2 2 2 3" xfId="11468" xr:uid="{1574A2CD-FAF4-459E-9BCE-309B1766D310}"/>
    <cellStyle name="Normal 2 4 2 3 2 2 2 2 3" xfId="5091" xr:uid="{00000000-0005-0000-0000-00009E0E0000}"/>
    <cellStyle name="Normal 2 4 2 3 2 2 2 2 3 2" xfId="13541" xr:uid="{25E84F91-B616-494F-87A5-61A0E28D5DA7}"/>
    <cellStyle name="Normal 2 4 2 3 2 2 2 2 4" xfId="9323" xr:uid="{9C53580F-FD66-4AF8-A9AE-9B1F1487224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3C1CBDD8-B9F1-4718-A48C-DBE9717F8E1A}"/>
    <cellStyle name="Normal 2 4 2 3 2 2 2 3 2 3" xfId="11881" xr:uid="{1FA0D1FE-620B-4C17-B899-0EAE980BFEA3}"/>
    <cellStyle name="Normal 2 4 2 3 2 2 2 3 3" xfId="5504" xr:uid="{00000000-0005-0000-0000-0000A20E0000}"/>
    <cellStyle name="Normal 2 4 2 3 2 2 2 3 3 2" xfId="13954" xr:uid="{325D18D9-DEC3-4627-A88A-33FDDD8769B4}"/>
    <cellStyle name="Normal 2 4 2 3 2 2 2 3 4" xfId="9736" xr:uid="{87E39B4E-45DE-4421-B00F-2DF55D4CB571}"/>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AFC6C2C9-74D7-42DD-A2EA-8E62D03D3A45}"/>
    <cellStyle name="Normal 2 4 2 3 2 2 2 4 2 3" xfId="12294" xr:uid="{E4D964BC-A7FC-4AFB-83BF-42DCAC421F32}"/>
    <cellStyle name="Normal 2 4 2 3 2 2 2 4 3" xfId="5917" xr:uid="{00000000-0005-0000-0000-0000A60E0000}"/>
    <cellStyle name="Normal 2 4 2 3 2 2 2 4 3 2" xfId="14367" xr:uid="{2F576225-A31A-4336-94C7-2EDD851760E8}"/>
    <cellStyle name="Normal 2 4 2 3 2 2 2 4 4" xfId="10149" xr:uid="{B08CBBB0-C46F-4855-B247-56E4545094BC}"/>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EB6DEC46-BA93-463A-8D86-71B56F1F1991}"/>
    <cellStyle name="Normal 2 4 2 3 2 2 2 5 2 3" xfId="12707" xr:uid="{D9D14251-8021-48D8-AB79-0EF0FE2FA7BF}"/>
    <cellStyle name="Normal 2 4 2 3 2 2 2 5 3" xfId="6330" xr:uid="{00000000-0005-0000-0000-0000AA0E0000}"/>
    <cellStyle name="Normal 2 4 2 3 2 2 2 5 3 2" xfId="14780" xr:uid="{A293B82D-305F-4D8A-97B4-8F9A5E354FFB}"/>
    <cellStyle name="Normal 2 4 2 3 2 2 2 5 4" xfId="10562" xr:uid="{E0D307CC-D5FB-481D-935E-5B13BC8DC961}"/>
    <cellStyle name="Normal 2 4 2 3 2 2 2 6" xfId="2460" xr:uid="{00000000-0005-0000-0000-0000AB0E0000}"/>
    <cellStyle name="Normal 2 4 2 3 2 2 2 6 2" xfId="6743" xr:uid="{00000000-0005-0000-0000-0000AC0E0000}"/>
    <cellStyle name="Normal 2 4 2 3 2 2 2 6 2 2" xfId="15193" xr:uid="{46D62216-6F41-4280-813F-DF7DC9C9A342}"/>
    <cellStyle name="Normal 2 4 2 3 2 2 2 6 3" xfId="10975" xr:uid="{1798E856-99BA-4077-8751-D352C11CDBD7}"/>
    <cellStyle name="Normal 2 4 2 3 2 2 2 7" xfId="4677" xr:uid="{00000000-0005-0000-0000-0000AD0E0000}"/>
    <cellStyle name="Normal 2 4 2 3 2 2 2 7 2" xfId="13127" xr:uid="{A1D4B2B9-D186-47E4-831D-76616CEB3ABB}"/>
    <cellStyle name="Normal 2 4 2 3 2 2 2 8" xfId="8909" xr:uid="{F70AE4C8-B816-4515-A59E-AFD8ADC7D8BD}"/>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3F88034D-C6B4-49F6-A3C8-424AEB40738D}"/>
    <cellStyle name="Normal 2 4 2 3 2 2 3 2 3" xfId="11467" xr:uid="{65F05264-C40C-4CC9-8A95-D96774DFF639}"/>
    <cellStyle name="Normal 2 4 2 3 2 2 3 3" xfId="5090" xr:uid="{00000000-0005-0000-0000-0000B10E0000}"/>
    <cellStyle name="Normal 2 4 2 3 2 2 3 3 2" xfId="13540" xr:uid="{E532D356-A7C4-4C96-861C-F35FA3747FB8}"/>
    <cellStyle name="Normal 2 4 2 3 2 2 3 4" xfId="9322" xr:uid="{AD53147C-44B2-4F1C-8AE7-C3D4209516E5}"/>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0C93451D-8F2B-4C95-99CF-CE2D7DFBAACE}"/>
    <cellStyle name="Normal 2 4 2 3 2 2 4 2 3" xfId="11880" xr:uid="{EDC287E3-B01B-4932-B918-5FC86FBC7660}"/>
    <cellStyle name="Normal 2 4 2 3 2 2 4 3" xfId="5503" xr:uid="{00000000-0005-0000-0000-0000B50E0000}"/>
    <cellStyle name="Normal 2 4 2 3 2 2 4 3 2" xfId="13953" xr:uid="{5FABA8BA-1581-4DA8-A694-B9A6D9B3944D}"/>
    <cellStyle name="Normal 2 4 2 3 2 2 4 4" xfId="9735" xr:uid="{7D9BFE04-1763-4CB8-B015-CD19B4DE534D}"/>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21BE832B-D45A-4311-AAB6-4564200F2A34}"/>
    <cellStyle name="Normal 2 4 2 3 2 2 5 2 3" xfId="12293" xr:uid="{186B5652-3598-4054-9663-759B9C928432}"/>
    <cellStyle name="Normal 2 4 2 3 2 2 5 3" xfId="5916" xr:uid="{00000000-0005-0000-0000-0000B90E0000}"/>
    <cellStyle name="Normal 2 4 2 3 2 2 5 3 2" xfId="14366" xr:uid="{F83E4598-6E72-4554-9E50-9F9227A9EC14}"/>
    <cellStyle name="Normal 2 4 2 3 2 2 5 4" xfId="10148" xr:uid="{61343254-B728-4E85-AE73-CC8CBF3FAB86}"/>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44FA62C7-F0B9-4EAA-B7AF-007D86DE9EB0}"/>
    <cellStyle name="Normal 2 4 2 3 2 2 6 2 3" xfId="12706" xr:uid="{8F041552-D1A6-4F43-BF1B-649BC9F0CA2C}"/>
    <cellStyle name="Normal 2 4 2 3 2 2 6 3" xfId="6329" xr:uid="{00000000-0005-0000-0000-0000BD0E0000}"/>
    <cellStyle name="Normal 2 4 2 3 2 2 6 3 2" xfId="14779" xr:uid="{90CB20AA-D569-4C90-B67E-3B248B6B237C}"/>
    <cellStyle name="Normal 2 4 2 3 2 2 6 4" xfId="10561" xr:uid="{7DCCF949-2265-4433-9860-7A65D75279A8}"/>
    <cellStyle name="Normal 2 4 2 3 2 2 7" xfId="2459" xr:uid="{00000000-0005-0000-0000-0000BE0E0000}"/>
    <cellStyle name="Normal 2 4 2 3 2 2 7 2" xfId="6742" xr:uid="{00000000-0005-0000-0000-0000BF0E0000}"/>
    <cellStyle name="Normal 2 4 2 3 2 2 7 2 2" xfId="15192" xr:uid="{F5627C33-0C7F-4C9D-83A3-F27610ADBC4D}"/>
    <cellStyle name="Normal 2 4 2 3 2 2 7 3" xfId="10974" xr:uid="{32350169-1685-43A5-899C-42761BAFFBFC}"/>
    <cellStyle name="Normal 2 4 2 3 2 2 8" xfId="4676" xr:uid="{00000000-0005-0000-0000-0000C00E0000}"/>
    <cellStyle name="Normal 2 4 2 3 2 2 8 2" xfId="13126" xr:uid="{C61A8DEA-4FB8-45D8-9165-6412413A5093}"/>
    <cellStyle name="Normal 2 4 2 3 2 2 9" xfId="8908" xr:uid="{B70AC386-1685-4069-9383-5CB49EA08DDE}"/>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418BCC1B-0AD4-453E-8A10-3FB9AADC3474}"/>
    <cellStyle name="Normal 2 4 2 3 2 3 2 2 3" xfId="11469" xr:uid="{DDCB599A-AC92-475D-A88D-40EA51A37D67}"/>
    <cellStyle name="Normal 2 4 2 3 2 3 2 3" xfId="5092" xr:uid="{00000000-0005-0000-0000-0000C50E0000}"/>
    <cellStyle name="Normal 2 4 2 3 2 3 2 3 2" xfId="13542" xr:uid="{3A914EE2-8686-43D6-B937-78AB2019B6C3}"/>
    <cellStyle name="Normal 2 4 2 3 2 3 2 4" xfId="9324" xr:uid="{F86DFEEC-091C-4873-9C52-AE189D56A935}"/>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820EBBC1-04B7-4565-8E7E-EE13B395EF7B}"/>
    <cellStyle name="Normal 2 4 2 3 2 3 3 2 3" xfId="11882" xr:uid="{C3B9FC1D-BF4B-49BA-A9DA-3C72C431A0E9}"/>
    <cellStyle name="Normal 2 4 2 3 2 3 3 3" xfId="5505" xr:uid="{00000000-0005-0000-0000-0000C90E0000}"/>
    <cellStyle name="Normal 2 4 2 3 2 3 3 3 2" xfId="13955" xr:uid="{7ECF1741-B08D-4A3E-8D9A-818F3765578A}"/>
    <cellStyle name="Normal 2 4 2 3 2 3 3 4" xfId="9737" xr:uid="{1A5D5613-7747-4388-95C3-847DBC140B1A}"/>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B50107A5-5BAD-4776-BBA2-8AC69F8BB286}"/>
    <cellStyle name="Normal 2 4 2 3 2 3 4 2 3" xfId="12295" xr:uid="{2FBFB9A6-E83D-4B2B-82E4-AA6535C0ED36}"/>
    <cellStyle name="Normal 2 4 2 3 2 3 4 3" xfId="5918" xr:uid="{00000000-0005-0000-0000-0000CD0E0000}"/>
    <cellStyle name="Normal 2 4 2 3 2 3 4 3 2" xfId="14368" xr:uid="{20A61A33-6A4B-4758-BF77-A300F2E5E5AC}"/>
    <cellStyle name="Normal 2 4 2 3 2 3 4 4" xfId="10150" xr:uid="{8ED41C82-4ADD-433E-8CD9-88F4833BF72B}"/>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4F8C9E0E-D944-47A1-8A30-71F12613EFAD}"/>
    <cellStyle name="Normal 2 4 2 3 2 3 5 2 3" xfId="12708" xr:uid="{E67727EB-787C-4BAA-ACBC-0DE54A3B4121}"/>
    <cellStyle name="Normal 2 4 2 3 2 3 5 3" xfId="6331" xr:uid="{00000000-0005-0000-0000-0000D10E0000}"/>
    <cellStyle name="Normal 2 4 2 3 2 3 5 3 2" xfId="14781" xr:uid="{669E999C-2789-4257-95F0-FB393024CEFB}"/>
    <cellStyle name="Normal 2 4 2 3 2 3 5 4" xfId="10563" xr:uid="{D7CA7D2E-912E-4726-AC70-B57D61CEBE52}"/>
    <cellStyle name="Normal 2 4 2 3 2 3 6" xfId="2461" xr:uid="{00000000-0005-0000-0000-0000D20E0000}"/>
    <cellStyle name="Normal 2 4 2 3 2 3 6 2" xfId="6744" xr:uid="{00000000-0005-0000-0000-0000D30E0000}"/>
    <cellStyle name="Normal 2 4 2 3 2 3 6 2 2" xfId="15194" xr:uid="{DB949F94-F99A-43CE-BCD0-28E51258A97E}"/>
    <cellStyle name="Normal 2 4 2 3 2 3 6 3" xfId="10976" xr:uid="{D0C99563-FCB4-479C-8C2C-6B1B53E0F5B2}"/>
    <cellStyle name="Normal 2 4 2 3 2 3 7" xfId="4678" xr:uid="{00000000-0005-0000-0000-0000D40E0000}"/>
    <cellStyle name="Normal 2 4 2 3 2 3 7 2" xfId="13128" xr:uid="{F07D4AC9-DF6E-4B4B-962A-EF00CCC6E1A6}"/>
    <cellStyle name="Normal 2 4 2 3 2 3 8" xfId="8910" xr:uid="{D15BB431-CDC4-4A1A-89E3-D88392E9C11B}"/>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00CE76E3-038A-4CB0-8124-416B81F1F2C9}"/>
    <cellStyle name="Normal 2 4 2 3 2 4 2 3" xfId="11466" xr:uid="{4360680E-34DC-4AE9-B8F6-A934AF4B9415}"/>
    <cellStyle name="Normal 2 4 2 3 2 4 3" xfId="5089" xr:uid="{00000000-0005-0000-0000-0000D80E0000}"/>
    <cellStyle name="Normal 2 4 2 3 2 4 3 2" xfId="13539" xr:uid="{800A0B15-EEA0-497B-B662-19D0270DFCA5}"/>
    <cellStyle name="Normal 2 4 2 3 2 4 4" xfId="9321" xr:uid="{2B4A5429-9A17-4B82-98DD-EE2DAE5E5899}"/>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0D4E41D7-7345-4F99-AD53-9265899F1D34}"/>
    <cellStyle name="Normal 2 4 2 3 2 5 2 3" xfId="11879" xr:uid="{701EB99C-C498-4725-B456-802231973077}"/>
    <cellStyle name="Normal 2 4 2 3 2 5 3" xfId="5502" xr:uid="{00000000-0005-0000-0000-0000DC0E0000}"/>
    <cellStyle name="Normal 2 4 2 3 2 5 3 2" xfId="13952" xr:uid="{8F9109B7-C780-4FE6-9E6B-87E9B779FC7D}"/>
    <cellStyle name="Normal 2 4 2 3 2 5 4" xfId="9734" xr:uid="{CC0FECA5-D90F-4893-8FC7-C98871BD6C4C}"/>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08CC3BBB-06BD-4D85-9E28-A4D820E97608}"/>
    <cellStyle name="Normal 2 4 2 3 2 6 2 3" xfId="12292" xr:uid="{C724094A-4A01-4905-B733-22620254CA04}"/>
    <cellStyle name="Normal 2 4 2 3 2 6 3" xfId="5915" xr:uid="{00000000-0005-0000-0000-0000E00E0000}"/>
    <cellStyle name="Normal 2 4 2 3 2 6 3 2" xfId="14365" xr:uid="{367EBE07-700F-4400-AE10-BEFCF4E92C9C}"/>
    <cellStyle name="Normal 2 4 2 3 2 6 4" xfId="10147" xr:uid="{EDF72BDD-8923-497D-A976-AB1916FAB80C}"/>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A3EEA159-AFC6-478C-99C8-DD275B8D66AD}"/>
    <cellStyle name="Normal 2 4 2 3 2 7 2 3" xfId="12705" xr:uid="{E61D8055-EADA-46FC-82AE-BD4EBDB0F969}"/>
    <cellStyle name="Normal 2 4 2 3 2 7 3" xfId="6328" xr:uid="{00000000-0005-0000-0000-0000E40E0000}"/>
    <cellStyle name="Normal 2 4 2 3 2 7 3 2" xfId="14778" xr:uid="{16A70BAD-E634-466B-B48D-282C522C37B4}"/>
    <cellStyle name="Normal 2 4 2 3 2 7 4" xfId="10560" xr:uid="{C0DF2A5F-22E2-4264-9B5A-675BB7484A4C}"/>
    <cellStyle name="Normal 2 4 2 3 2 8" xfId="2458" xr:uid="{00000000-0005-0000-0000-0000E50E0000}"/>
    <cellStyle name="Normal 2 4 2 3 2 8 2" xfId="6741" xr:uid="{00000000-0005-0000-0000-0000E60E0000}"/>
    <cellStyle name="Normal 2 4 2 3 2 8 2 2" xfId="15191" xr:uid="{E3D64FFB-F5E9-4157-B748-4BBF5B5E611F}"/>
    <cellStyle name="Normal 2 4 2 3 2 8 3" xfId="10973" xr:uid="{74555DAE-9C5D-4705-B28A-CFD1CBB08EBA}"/>
    <cellStyle name="Normal 2 4 2 3 2 9" xfId="4675" xr:uid="{00000000-0005-0000-0000-0000E70E0000}"/>
    <cellStyle name="Normal 2 4 2 3 2 9 2" xfId="13125" xr:uid="{231372B1-0284-486C-8A91-391BEECBEFC5}"/>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A66F48F2-E2E2-46B9-8028-00C865714835}"/>
    <cellStyle name="Normal 2 4 2 3 3 2 2 2 3" xfId="11471" xr:uid="{D1859E0D-5DA2-4E1C-96D4-70AE2C403E55}"/>
    <cellStyle name="Normal 2 4 2 3 3 2 2 3" xfId="5094" xr:uid="{00000000-0005-0000-0000-0000ED0E0000}"/>
    <cellStyle name="Normal 2 4 2 3 3 2 2 3 2" xfId="13544" xr:uid="{B2B98DC8-A251-4188-B6A2-F209BD993826}"/>
    <cellStyle name="Normal 2 4 2 3 3 2 2 4" xfId="9326" xr:uid="{8C823989-E157-419E-9A68-D6F5585658E8}"/>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D6CBD554-54BE-4527-AEBF-9E5BB8CAEB97}"/>
    <cellStyle name="Normal 2 4 2 3 3 2 3 2 3" xfId="11884" xr:uid="{F01F767A-396F-4697-A809-45BC71F919B4}"/>
    <cellStyle name="Normal 2 4 2 3 3 2 3 3" xfId="5507" xr:uid="{00000000-0005-0000-0000-0000F10E0000}"/>
    <cellStyle name="Normal 2 4 2 3 3 2 3 3 2" xfId="13957" xr:uid="{95E9155B-E7AD-47E8-9DF2-455C35406DFE}"/>
    <cellStyle name="Normal 2 4 2 3 3 2 3 4" xfId="9739" xr:uid="{AD26C14B-5F51-4AE5-8629-7CBB6E6C8EB2}"/>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8A669DDE-A929-4691-87F8-6DEF98DF3127}"/>
    <cellStyle name="Normal 2 4 2 3 3 2 4 2 3" xfId="12297" xr:uid="{1CEF2763-86A8-4CB5-A621-DEF66CBCB221}"/>
    <cellStyle name="Normal 2 4 2 3 3 2 4 3" xfId="5920" xr:uid="{00000000-0005-0000-0000-0000F50E0000}"/>
    <cellStyle name="Normal 2 4 2 3 3 2 4 3 2" xfId="14370" xr:uid="{187C12EC-1BA8-4739-AAB0-727E36BEC9BD}"/>
    <cellStyle name="Normal 2 4 2 3 3 2 4 4" xfId="10152" xr:uid="{E1E1685A-A791-4643-BD8A-C5959B32B2CD}"/>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100C42BA-A90D-4558-A062-56C6C97B89A5}"/>
    <cellStyle name="Normal 2 4 2 3 3 2 5 2 3" xfId="12710" xr:uid="{6BB01E19-960A-44BB-AF2F-05835F0F534F}"/>
    <cellStyle name="Normal 2 4 2 3 3 2 5 3" xfId="6333" xr:uid="{00000000-0005-0000-0000-0000F90E0000}"/>
    <cellStyle name="Normal 2 4 2 3 3 2 5 3 2" xfId="14783" xr:uid="{BDEF55DA-1402-49B6-ABBC-7E0AC746E7C3}"/>
    <cellStyle name="Normal 2 4 2 3 3 2 5 4" xfId="10565" xr:uid="{0BA53F1D-D50A-49E7-931E-DF8B0AACDB74}"/>
    <cellStyle name="Normal 2 4 2 3 3 2 6" xfId="2463" xr:uid="{00000000-0005-0000-0000-0000FA0E0000}"/>
    <cellStyle name="Normal 2 4 2 3 3 2 6 2" xfId="6746" xr:uid="{00000000-0005-0000-0000-0000FB0E0000}"/>
    <cellStyle name="Normal 2 4 2 3 3 2 6 2 2" xfId="15196" xr:uid="{02F1CAAA-FFE2-472B-B582-C649A97D1055}"/>
    <cellStyle name="Normal 2 4 2 3 3 2 6 3" xfId="10978" xr:uid="{7EE21AC9-D299-4D3C-91B6-9E057E8DF5D5}"/>
    <cellStyle name="Normal 2 4 2 3 3 2 7" xfId="4680" xr:uid="{00000000-0005-0000-0000-0000FC0E0000}"/>
    <cellStyle name="Normal 2 4 2 3 3 2 7 2" xfId="13130" xr:uid="{10B44F42-97B3-47A8-A2E7-C0F41828C7DF}"/>
    <cellStyle name="Normal 2 4 2 3 3 2 8" xfId="8912" xr:uid="{7B6D24FB-9503-42C2-B91E-5F8F211CAA48}"/>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86935D75-7F49-4E3B-BC8F-D4202B5618F1}"/>
    <cellStyle name="Normal 2 4 2 3 3 3 2 3" xfId="11470" xr:uid="{8550B0AA-B260-4CD0-8289-0FCC711FA59E}"/>
    <cellStyle name="Normal 2 4 2 3 3 3 3" xfId="5093" xr:uid="{00000000-0005-0000-0000-0000000F0000}"/>
    <cellStyle name="Normal 2 4 2 3 3 3 3 2" xfId="13543" xr:uid="{5024FAA7-6F1B-40D1-B2A5-A69CEE3A429A}"/>
    <cellStyle name="Normal 2 4 2 3 3 3 4" xfId="9325" xr:uid="{320EFC33-1C54-42C2-A5EB-9F31FE530007}"/>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847AB425-758C-4BE3-ADCC-A7B4459663F0}"/>
    <cellStyle name="Normal 2 4 2 3 3 4 2 3" xfId="11883" xr:uid="{99C37C89-4502-4973-9358-FF9C91152032}"/>
    <cellStyle name="Normal 2 4 2 3 3 4 3" xfId="5506" xr:uid="{00000000-0005-0000-0000-0000040F0000}"/>
    <cellStyle name="Normal 2 4 2 3 3 4 3 2" xfId="13956" xr:uid="{1215A985-16E0-4EF1-AA75-864C378FEA2E}"/>
    <cellStyle name="Normal 2 4 2 3 3 4 4" xfId="9738" xr:uid="{A3089ADA-3580-4620-991B-EB760E73DBC2}"/>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A65883CA-FFDF-4AF3-AF09-A70375F56407}"/>
    <cellStyle name="Normal 2 4 2 3 3 5 2 3" xfId="12296" xr:uid="{BF9E6576-6386-470D-A1F7-397DB874FB1F}"/>
    <cellStyle name="Normal 2 4 2 3 3 5 3" xfId="5919" xr:uid="{00000000-0005-0000-0000-0000080F0000}"/>
    <cellStyle name="Normal 2 4 2 3 3 5 3 2" xfId="14369" xr:uid="{A6640D4B-6CDA-4511-A49E-032895BDD8BA}"/>
    <cellStyle name="Normal 2 4 2 3 3 5 4" xfId="10151" xr:uid="{215946EF-43D4-4476-A721-A03DD347D4FF}"/>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BA5568E8-3524-4F1E-926D-0DF76A9C4924}"/>
    <cellStyle name="Normal 2 4 2 3 3 6 2 3" xfId="12709" xr:uid="{1E1A02DE-260F-4996-BF46-8D158B99C665}"/>
    <cellStyle name="Normal 2 4 2 3 3 6 3" xfId="6332" xr:uid="{00000000-0005-0000-0000-00000C0F0000}"/>
    <cellStyle name="Normal 2 4 2 3 3 6 3 2" xfId="14782" xr:uid="{BC6753FE-F5A3-4C67-8510-2CB5D67A0B2C}"/>
    <cellStyle name="Normal 2 4 2 3 3 6 4" xfId="10564" xr:uid="{D3F0B8CE-6E25-455D-938E-CD1095E8D29A}"/>
    <cellStyle name="Normal 2 4 2 3 3 7" xfId="2462" xr:uid="{00000000-0005-0000-0000-00000D0F0000}"/>
    <cellStyle name="Normal 2 4 2 3 3 7 2" xfId="6745" xr:uid="{00000000-0005-0000-0000-00000E0F0000}"/>
    <cellStyle name="Normal 2 4 2 3 3 7 2 2" xfId="15195" xr:uid="{78575EBB-3A94-4510-BFA3-CA2419BB8505}"/>
    <cellStyle name="Normal 2 4 2 3 3 7 3" xfId="10977" xr:uid="{4E06A265-0639-4BCA-84F8-CE68978D75E7}"/>
    <cellStyle name="Normal 2 4 2 3 3 8" xfId="4679" xr:uid="{00000000-0005-0000-0000-00000F0F0000}"/>
    <cellStyle name="Normal 2 4 2 3 3 8 2" xfId="13129" xr:uid="{826C95B7-AB4A-49BD-A16C-F50883B14BEB}"/>
    <cellStyle name="Normal 2 4 2 3 3 9" xfId="8911" xr:uid="{BBDFDD00-4704-473C-BC94-6313F6A4DA3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B8934CB2-0C38-49BF-806D-EA9562CF9157}"/>
    <cellStyle name="Normal 2 4 2 3 4 2 2 3" xfId="11472" xr:uid="{7AA71274-2728-493E-BC25-B539A635BA46}"/>
    <cellStyle name="Normal 2 4 2 3 4 2 3" xfId="5095" xr:uid="{00000000-0005-0000-0000-0000140F0000}"/>
    <cellStyle name="Normal 2 4 2 3 4 2 3 2" xfId="13545" xr:uid="{7CFB2A00-1FAD-46F4-AF8E-EEC6401DDCFC}"/>
    <cellStyle name="Normal 2 4 2 3 4 2 4" xfId="9327" xr:uid="{FA77F345-B020-41E7-BBB8-E86C6101602D}"/>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DF0E0BBC-1F32-468B-BD4A-0595559A1068}"/>
    <cellStyle name="Normal 2 4 2 3 4 3 2 3" xfId="11885" xr:uid="{27633F5B-995F-491C-B417-D5C0F16DF66F}"/>
    <cellStyle name="Normal 2 4 2 3 4 3 3" xfId="5508" xr:uid="{00000000-0005-0000-0000-0000180F0000}"/>
    <cellStyle name="Normal 2 4 2 3 4 3 3 2" xfId="13958" xr:uid="{AA8AFD9D-E205-4B85-9DBF-B3F4D01844B3}"/>
    <cellStyle name="Normal 2 4 2 3 4 3 4" xfId="9740" xr:uid="{1F7AAB63-6E5E-41A4-B769-02D9DF559E72}"/>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35F1819A-FB7C-4556-ADDD-4D63352DB177}"/>
    <cellStyle name="Normal 2 4 2 3 4 4 2 3" xfId="12298" xr:uid="{85578F4F-B10F-40FD-BDDC-D1B94B88B8D6}"/>
    <cellStyle name="Normal 2 4 2 3 4 4 3" xfId="5921" xr:uid="{00000000-0005-0000-0000-00001C0F0000}"/>
    <cellStyle name="Normal 2 4 2 3 4 4 3 2" xfId="14371" xr:uid="{8D912230-000D-4CE1-A376-532164AA67CE}"/>
    <cellStyle name="Normal 2 4 2 3 4 4 4" xfId="10153" xr:uid="{F988AD0B-C09C-4AA3-ACDD-12CB7EC44E57}"/>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320230BE-4B08-419F-AF8E-0E9E828F9F4C}"/>
    <cellStyle name="Normal 2 4 2 3 4 5 2 3" xfId="12711" xr:uid="{CBA93CAA-D164-461D-AF8C-59A14A9C4939}"/>
    <cellStyle name="Normal 2 4 2 3 4 5 3" xfId="6334" xr:uid="{00000000-0005-0000-0000-0000200F0000}"/>
    <cellStyle name="Normal 2 4 2 3 4 5 3 2" xfId="14784" xr:uid="{53B0325B-3C2D-45CB-AE99-A68FAAC8489D}"/>
    <cellStyle name="Normal 2 4 2 3 4 5 4" xfId="10566" xr:uid="{90821D28-5ED7-4521-945A-451637CE51BC}"/>
    <cellStyle name="Normal 2 4 2 3 4 6" xfId="2464" xr:uid="{00000000-0005-0000-0000-0000210F0000}"/>
    <cellStyle name="Normal 2 4 2 3 4 6 2" xfId="6747" xr:uid="{00000000-0005-0000-0000-0000220F0000}"/>
    <cellStyle name="Normal 2 4 2 3 4 6 2 2" xfId="15197" xr:uid="{C4FBDC4B-DFC8-4CC0-95DC-2E347D3A512F}"/>
    <cellStyle name="Normal 2 4 2 3 4 6 3" xfId="10979" xr:uid="{9398C651-C78E-45B1-8A87-09A92EF0512E}"/>
    <cellStyle name="Normal 2 4 2 3 4 7" xfId="4681" xr:uid="{00000000-0005-0000-0000-0000230F0000}"/>
    <cellStyle name="Normal 2 4 2 3 4 7 2" xfId="13131" xr:uid="{CF0D01E1-5EEC-4D83-817B-742020AE9C7B}"/>
    <cellStyle name="Normal 2 4 2 3 4 8" xfId="8913" xr:uid="{174EB6D5-7329-4991-B6D3-0E9CA48C82DD}"/>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55A0E8DE-7ED7-41DC-B802-25CE50E4A60B}"/>
    <cellStyle name="Normal 2 4 2 3 5 2 3" xfId="11465" xr:uid="{D56BA77F-3F84-4CC7-A9E3-69D905E957D6}"/>
    <cellStyle name="Normal 2 4 2 3 5 3" xfId="5088" xr:uid="{00000000-0005-0000-0000-0000270F0000}"/>
    <cellStyle name="Normal 2 4 2 3 5 3 2" xfId="13538" xr:uid="{D58CC3D5-6689-4DD8-B8CF-C815DD33B4ED}"/>
    <cellStyle name="Normal 2 4 2 3 5 4" xfId="9320" xr:uid="{57E382A8-C164-4FF4-A69D-A629F6CC452C}"/>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6018D26F-6E5C-45CE-B407-64DF5B60CC00}"/>
    <cellStyle name="Normal 2 4 2 3 6 2 3" xfId="11878" xr:uid="{207F6170-4D5B-406D-B193-08ED7532E7E1}"/>
    <cellStyle name="Normal 2 4 2 3 6 3" xfId="5501" xr:uid="{00000000-0005-0000-0000-00002B0F0000}"/>
    <cellStyle name="Normal 2 4 2 3 6 3 2" xfId="13951" xr:uid="{1A100B73-D23F-49B9-8C00-01D678FED6CC}"/>
    <cellStyle name="Normal 2 4 2 3 6 4" xfId="9733" xr:uid="{9786B02C-C102-4245-8E22-E74B5CA7CD0F}"/>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E62215D1-5842-4A79-8D7C-70CE16C57292}"/>
    <cellStyle name="Normal 2 4 2 3 7 2 3" xfId="12291" xr:uid="{5C200BAC-F63C-4920-9F7D-5720151D7DCE}"/>
    <cellStyle name="Normal 2 4 2 3 7 3" xfId="5914" xr:uid="{00000000-0005-0000-0000-00002F0F0000}"/>
    <cellStyle name="Normal 2 4 2 3 7 3 2" xfId="14364" xr:uid="{E3196AE7-AA79-4A9B-88A3-B723ED3DA8F4}"/>
    <cellStyle name="Normal 2 4 2 3 7 4" xfId="10146" xr:uid="{FB4BD6D4-3077-4F9E-86D0-8AD92BFEE6CE}"/>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ED55ABC7-66EE-4BFE-8E27-BEA64F9B7647}"/>
    <cellStyle name="Normal 2 4 2 3 8 2 3" xfId="12704" xr:uid="{726FC616-C439-436F-A101-FE8CFCF7EC14}"/>
    <cellStyle name="Normal 2 4 2 3 8 3" xfId="6327" xr:uid="{00000000-0005-0000-0000-0000330F0000}"/>
    <cellStyle name="Normal 2 4 2 3 8 3 2" xfId="14777" xr:uid="{08BA6019-96AB-45F3-84FB-0A151160046E}"/>
    <cellStyle name="Normal 2 4 2 3 8 4" xfId="10559" xr:uid="{DBCE7FF1-59C0-480E-8E99-24C95E7C9744}"/>
    <cellStyle name="Normal 2 4 2 3 9" xfId="2457" xr:uid="{00000000-0005-0000-0000-0000340F0000}"/>
    <cellStyle name="Normal 2 4 2 3 9 2" xfId="6740" xr:uid="{00000000-0005-0000-0000-0000350F0000}"/>
    <cellStyle name="Normal 2 4 2 3 9 2 2" xfId="15190" xr:uid="{C9ACE4E8-CA3E-4BD7-B2EB-CC826E3C9FF6}"/>
    <cellStyle name="Normal 2 4 2 3 9 3" xfId="10972" xr:uid="{DF4C9A01-D9AD-4AB4-8B58-E9B530E360D8}"/>
    <cellStyle name="Normal 2 4 2 4" xfId="289" xr:uid="{00000000-0005-0000-0000-0000360F0000}"/>
    <cellStyle name="Normal 2 4 2 4 10" xfId="8914" xr:uid="{D2CEF685-850D-4A34-987E-27D2B9F59F85}"/>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20702CBA-A1B1-4941-B3CE-6EEA246CF297}"/>
    <cellStyle name="Normal 2 4 2 4 2 2 2 2 3" xfId="11475" xr:uid="{459433F2-AE77-42C1-9745-6BBB0333BD78}"/>
    <cellStyle name="Normal 2 4 2 4 2 2 2 3" xfId="5098" xr:uid="{00000000-0005-0000-0000-00003C0F0000}"/>
    <cellStyle name="Normal 2 4 2 4 2 2 2 3 2" xfId="13548" xr:uid="{5270B028-27E8-4F29-A2C8-8049BA1DD36F}"/>
    <cellStyle name="Normal 2 4 2 4 2 2 2 4" xfId="9330" xr:uid="{279FACD4-3856-4570-A82C-2B401A96FAC3}"/>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7A29ECF5-6700-48DA-A37C-70CD32215C30}"/>
    <cellStyle name="Normal 2 4 2 4 2 2 3 2 3" xfId="11888" xr:uid="{FE47502F-EDAB-42D7-B731-3005094B377E}"/>
    <cellStyle name="Normal 2 4 2 4 2 2 3 3" xfId="5511" xr:uid="{00000000-0005-0000-0000-0000400F0000}"/>
    <cellStyle name="Normal 2 4 2 4 2 2 3 3 2" xfId="13961" xr:uid="{92B6B210-F4E7-4A24-8EE6-1092A31C12CC}"/>
    <cellStyle name="Normal 2 4 2 4 2 2 3 4" xfId="9743" xr:uid="{64CDA8DD-5A1C-49CF-B072-8BE283553DD5}"/>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940A374E-E2DD-47C1-97EA-3F0B285C400A}"/>
    <cellStyle name="Normal 2 4 2 4 2 2 4 2 3" xfId="12301" xr:uid="{5549E30B-8EA7-4A3E-A9BD-7E5602D363B1}"/>
    <cellStyle name="Normal 2 4 2 4 2 2 4 3" xfId="5924" xr:uid="{00000000-0005-0000-0000-0000440F0000}"/>
    <cellStyle name="Normal 2 4 2 4 2 2 4 3 2" xfId="14374" xr:uid="{9BA1F7D9-2335-4FD4-B88F-CDAFE7A7B3D1}"/>
    <cellStyle name="Normal 2 4 2 4 2 2 4 4" xfId="10156" xr:uid="{9ED15854-1659-4B9E-854D-A5A61F1C6077}"/>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DAAF031A-7DC4-48F0-80B5-9FE1AF4FF946}"/>
    <cellStyle name="Normal 2 4 2 4 2 2 5 2 3" xfId="12714" xr:uid="{C59718A2-CF8C-4653-8FD5-F33E99331D3E}"/>
    <cellStyle name="Normal 2 4 2 4 2 2 5 3" xfId="6337" xr:uid="{00000000-0005-0000-0000-0000480F0000}"/>
    <cellStyle name="Normal 2 4 2 4 2 2 5 3 2" xfId="14787" xr:uid="{C2ED1196-DA0A-4755-826B-3D42F59A9ACA}"/>
    <cellStyle name="Normal 2 4 2 4 2 2 5 4" xfId="10569" xr:uid="{C78917BF-B029-49BB-AB9F-70B2D55748A1}"/>
    <cellStyle name="Normal 2 4 2 4 2 2 6" xfId="2467" xr:uid="{00000000-0005-0000-0000-0000490F0000}"/>
    <cellStyle name="Normal 2 4 2 4 2 2 6 2" xfId="6750" xr:uid="{00000000-0005-0000-0000-00004A0F0000}"/>
    <cellStyle name="Normal 2 4 2 4 2 2 6 2 2" xfId="15200" xr:uid="{73BEAB60-7C1D-4817-AF7B-1EE6AE3BB9DD}"/>
    <cellStyle name="Normal 2 4 2 4 2 2 6 3" xfId="10982" xr:uid="{EC81906F-9DCD-44EE-A4DF-FC9F2C19AB18}"/>
    <cellStyle name="Normal 2 4 2 4 2 2 7" xfId="4684" xr:uid="{00000000-0005-0000-0000-00004B0F0000}"/>
    <cellStyle name="Normal 2 4 2 4 2 2 7 2" xfId="13134" xr:uid="{F2A3E414-0494-4DD9-B467-7A13B12D554B}"/>
    <cellStyle name="Normal 2 4 2 4 2 2 8" xfId="8916" xr:uid="{D891ABAD-8FD7-4C7D-8052-DBE33BB8A564}"/>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A87C25D2-3406-465E-A38E-9697DDE74007}"/>
    <cellStyle name="Normal 2 4 2 4 2 3 2 3" xfId="11474" xr:uid="{1376BA86-2EFB-4AAE-BFE4-66684A621F9C}"/>
    <cellStyle name="Normal 2 4 2 4 2 3 3" xfId="5097" xr:uid="{00000000-0005-0000-0000-00004F0F0000}"/>
    <cellStyle name="Normal 2 4 2 4 2 3 3 2" xfId="13547" xr:uid="{D511E5BD-7774-4449-BE3B-4B48B02EBF7A}"/>
    <cellStyle name="Normal 2 4 2 4 2 3 4" xfId="9329" xr:uid="{8480AF0E-B86D-4818-8024-B0F63964B729}"/>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3A3F241A-F72E-40E9-AB87-93BE20C6E558}"/>
    <cellStyle name="Normal 2 4 2 4 2 4 2 3" xfId="11887" xr:uid="{5D20D904-E1AA-4B43-BC33-F4D542765B0A}"/>
    <cellStyle name="Normal 2 4 2 4 2 4 3" xfId="5510" xr:uid="{00000000-0005-0000-0000-0000530F0000}"/>
    <cellStyle name="Normal 2 4 2 4 2 4 3 2" xfId="13960" xr:uid="{97690BFB-5D5B-43D2-A6DB-E7D4D86A0520}"/>
    <cellStyle name="Normal 2 4 2 4 2 4 4" xfId="9742" xr:uid="{6D97CD2C-3B07-4526-930B-98A1F2EDF52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13FC7C06-663B-4D03-846D-D9A13DD62881}"/>
    <cellStyle name="Normal 2 4 2 4 2 5 2 3" xfId="12300" xr:uid="{7A7FAA0C-DD67-4617-BB5D-23ECEED06BCC}"/>
    <cellStyle name="Normal 2 4 2 4 2 5 3" xfId="5923" xr:uid="{00000000-0005-0000-0000-0000570F0000}"/>
    <cellStyle name="Normal 2 4 2 4 2 5 3 2" xfId="14373" xr:uid="{D5DB6C94-304D-4DC9-89B2-5B2D70D33A93}"/>
    <cellStyle name="Normal 2 4 2 4 2 5 4" xfId="10155" xr:uid="{AF1ADA7D-1DF0-4728-8C8C-BFA02FB21DC1}"/>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326D92D1-3C1E-4C60-B394-9D1C9F643A08}"/>
    <cellStyle name="Normal 2 4 2 4 2 6 2 3" xfId="12713" xr:uid="{02DDCB20-8E4E-4714-AE4F-28FA245ED912}"/>
    <cellStyle name="Normal 2 4 2 4 2 6 3" xfId="6336" xr:uid="{00000000-0005-0000-0000-00005B0F0000}"/>
    <cellStyle name="Normal 2 4 2 4 2 6 3 2" xfId="14786" xr:uid="{DEADDE1D-338D-4E0B-9853-7A13E4E6F54A}"/>
    <cellStyle name="Normal 2 4 2 4 2 6 4" xfId="10568" xr:uid="{FC6B72C2-8C63-41FC-A722-3BE63E999D4B}"/>
    <cellStyle name="Normal 2 4 2 4 2 7" xfId="2466" xr:uid="{00000000-0005-0000-0000-00005C0F0000}"/>
    <cellStyle name="Normal 2 4 2 4 2 7 2" xfId="6749" xr:uid="{00000000-0005-0000-0000-00005D0F0000}"/>
    <cellStyle name="Normal 2 4 2 4 2 7 2 2" xfId="15199" xr:uid="{29BB367D-E004-46B1-AD9C-60BB4826C41A}"/>
    <cellStyle name="Normal 2 4 2 4 2 7 3" xfId="10981" xr:uid="{1EE5EECF-3303-4825-9ED8-86204B11111E}"/>
    <cellStyle name="Normal 2 4 2 4 2 8" xfId="4683" xr:uid="{00000000-0005-0000-0000-00005E0F0000}"/>
    <cellStyle name="Normal 2 4 2 4 2 8 2" xfId="13133" xr:uid="{9E8C7E5B-4489-4C97-85EA-DA1AF9BAE3C8}"/>
    <cellStyle name="Normal 2 4 2 4 2 9" xfId="8915" xr:uid="{1B9BC488-74A8-46FA-9C3C-D3917D8983A4}"/>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09FBAF99-2D7F-4C45-9F69-61A23D1D0CF8}"/>
    <cellStyle name="Normal 2 4 2 4 3 2 2 3" xfId="11476" xr:uid="{95EF20E2-253E-40DA-B226-CAC2F9FDC7F4}"/>
    <cellStyle name="Normal 2 4 2 4 3 2 3" xfId="5099" xr:uid="{00000000-0005-0000-0000-0000630F0000}"/>
    <cellStyle name="Normal 2 4 2 4 3 2 3 2" xfId="13549" xr:uid="{587F8D32-FF8B-40A2-BBC5-65912B38DB09}"/>
    <cellStyle name="Normal 2 4 2 4 3 2 4" xfId="9331" xr:uid="{18A72355-A4CD-4C45-920F-C4450C805338}"/>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A38C2F07-B2A7-4750-A000-5837CB925D92}"/>
    <cellStyle name="Normal 2 4 2 4 3 3 2 3" xfId="11889" xr:uid="{9B75A78C-826E-4E93-9194-A62EA94C30E3}"/>
    <cellStyle name="Normal 2 4 2 4 3 3 3" xfId="5512" xr:uid="{00000000-0005-0000-0000-0000670F0000}"/>
    <cellStyle name="Normal 2 4 2 4 3 3 3 2" xfId="13962" xr:uid="{786AEE88-4BB9-451D-9C93-FA071194C280}"/>
    <cellStyle name="Normal 2 4 2 4 3 3 4" xfId="9744" xr:uid="{24EA15E6-A9CA-4835-8A94-16DD69051627}"/>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81915FFA-4935-4285-ADE4-BAE783432E22}"/>
    <cellStyle name="Normal 2 4 2 4 3 4 2 3" xfId="12302" xr:uid="{C61066B0-E4D2-4746-8E55-0D3E402D8A35}"/>
    <cellStyle name="Normal 2 4 2 4 3 4 3" xfId="5925" xr:uid="{00000000-0005-0000-0000-00006B0F0000}"/>
    <cellStyle name="Normal 2 4 2 4 3 4 3 2" xfId="14375" xr:uid="{DB3369F0-56D6-4EF4-B292-B5B0D82D27A8}"/>
    <cellStyle name="Normal 2 4 2 4 3 4 4" xfId="10157" xr:uid="{6F3716A8-0AE2-4704-95E6-BE09E735082A}"/>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0E8162E4-32A2-4A68-9354-BCDD2AA87CBB}"/>
    <cellStyle name="Normal 2 4 2 4 3 5 2 3" xfId="12715" xr:uid="{7D36E5FE-6D5E-4975-92EC-2423D3167F74}"/>
    <cellStyle name="Normal 2 4 2 4 3 5 3" xfId="6338" xr:uid="{00000000-0005-0000-0000-00006F0F0000}"/>
    <cellStyle name="Normal 2 4 2 4 3 5 3 2" xfId="14788" xr:uid="{727A9773-3A3B-4C46-9C15-74364955086C}"/>
    <cellStyle name="Normal 2 4 2 4 3 5 4" xfId="10570" xr:uid="{B69D0661-6978-47A0-B990-A42A1F79C942}"/>
    <cellStyle name="Normal 2 4 2 4 3 6" xfId="2468" xr:uid="{00000000-0005-0000-0000-0000700F0000}"/>
    <cellStyle name="Normal 2 4 2 4 3 6 2" xfId="6751" xr:uid="{00000000-0005-0000-0000-0000710F0000}"/>
    <cellStyle name="Normal 2 4 2 4 3 6 2 2" xfId="15201" xr:uid="{AA5B3B75-72AA-49FC-8EC6-CAFE2DA6A072}"/>
    <cellStyle name="Normal 2 4 2 4 3 6 3" xfId="10983" xr:uid="{964B021D-1CD6-4B39-92E2-67B73EB5ACBB}"/>
    <cellStyle name="Normal 2 4 2 4 3 7" xfId="4685" xr:uid="{00000000-0005-0000-0000-0000720F0000}"/>
    <cellStyle name="Normal 2 4 2 4 3 7 2" xfId="13135" xr:uid="{A76BAE85-1620-4CFA-86FB-D0059996863D}"/>
    <cellStyle name="Normal 2 4 2 4 3 8" xfId="8917" xr:uid="{E838EFAC-DDB2-4259-B82F-565722BB4018}"/>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E01DCC93-4C7C-4053-8019-A49691E6AD87}"/>
    <cellStyle name="Normal 2 4 2 4 4 2 3" xfId="11473" xr:uid="{F678B4B6-5F3D-4519-8151-35997E128AE0}"/>
    <cellStyle name="Normal 2 4 2 4 4 3" xfId="5096" xr:uid="{00000000-0005-0000-0000-0000760F0000}"/>
    <cellStyle name="Normal 2 4 2 4 4 3 2" xfId="13546" xr:uid="{99A58924-075A-4866-B5CF-FF899D91F95C}"/>
    <cellStyle name="Normal 2 4 2 4 4 4" xfId="9328" xr:uid="{94042336-116E-40EB-8D62-4265E842624F}"/>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D7FE3FC5-C2DC-418D-B427-31D2F71DE09A}"/>
    <cellStyle name="Normal 2 4 2 4 5 2 3" xfId="11886" xr:uid="{8E91A7EF-595E-4A48-BFB0-D0722CABEF06}"/>
    <cellStyle name="Normal 2 4 2 4 5 3" xfId="5509" xr:uid="{00000000-0005-0000-0000-00007A0F0000}"/>
    <cellStyle name="Normal 2 4 2 4 5 3 2" xfId="13959" xr:uid="{D6DC5EF9-D379-4782-AEA2-7A162CAABBBF}"/>
    <cellStyle name="Normal 2 4 2 4 5 4" xfId="9741" xr:uid="{79F8EB14-2303-4C0E-AA10-E3D29885F91A}"/>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058F3415-4CFC-462F-8DA9-1C4876E17C57}"/>
    <cellStyle name="Normal 2 4 2 4 6 2 3" xfId="12299" xr:uid="{F09CDCA1-D0A8-4E3D-8178-5DED502FD9FF}"/>
    <cellStyle name="Normal 2 4 2 4 6 3" xfId="5922" xr:uid="{00000000-0005-0000-0000-00007E0F0000}"/>
    <cellStyle name="Normal 2 4 2 4 6 3 2" xfId="14372" xr:uid="{7E989923-BC6B-4686-9E32-7245D6F11021}"/>
    <cellStyle name="Normal 2 4 2 4 6 4" xfId="10154" xr:uid="{18A66EC1-49FB-427F-8F39-24EB1E44192A}"/>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4F2807FC-C14D-47B0-99FE-DED88C61D66D}"/>
    <cellStyle name="Normal 2 4 2 4 7 2 3" xfId="12712" xr:uid="{378C64BE-95F5-496E-962C-07A938F280D9}"/>
    <cellStyle name="Normal 2 4 2 4 7 3" xfId="6335" xr:uid="{00000000-0005-0000-0000-0000820F0000}"/>
    <cellStyle name="Normal 2 4 2 4 7 3 2" xfId="14785" xr:uid="{CED924B7-7029-4C0B-915C-632E75779855}"/>
    <cellStyle name="Normal 2 4 2 4 7 4" xfId="10567" xr:uid="{65AFB0A0-F18A-44DE-BFAC-A4DD9E761D49}"/>
    <cellStyle name="Normal 2 4 2 4 8" xfId="2465" xr:uid="{00000000-0005-0000-0000-0000830F0000}"/>
    <cellStyle name="Normal 2 4 2 4 8 2" xfId="6748" xr:uid="{00000000-0005-0000-0000-0000840F0000}"/>
    <cellStyle name="Normal 2 4 2 4 8 2 2" xfId="15198" xr:uid="{6FB0780D-CE9E-479C-8776-CB4BFC9CDABC}"/>
    <cellStyle name="Normal 2 4 2 4 8 3" xfId="10980" xr:uid="{EA2D3951-27CC-4943-8AE7-5400FAF800D1}"/>
    <cellStyle name="Normal 2 4 2 4 9" xfId="4682" xr:uid="{00000000-0005-0000-0000-0000850F0000}"/>
    <cellStyle name="Normal 2 4 2 4 9 2" xfId="13132" xr:uid="{CF793AA7-CC1F-4F09-B241-CAD9ED74A33B}"/>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94D68A92-0AF6-4CF0-BD04-D17911353EFC}"/>
    <cellStyle name="Normal 2 4 2 5 2 2 2 3" xfId="11478" xr:uid="{EF791199-1B99-41D1-AD93-C29ADECD73FB}"/>
    <cellStyle name="Normal 2 4 2 5 2 2 3" xfId="5101" xr:uid="{00000000-0005-0000-0000-00008B0F0000}"/>
    <cellStyle name="Normal 2 4 2 5 2 2 3 2" xfId="13551" xr:uid="{B13FA9BD-8977-493B-BD35-4D69319AEE05}"/>
    <cellStyle name="Normal 2 4 2 5 2 2 4" xfId="9333" xr:uid="{7EFCE8B4-A1C5-40EF-B3CE-E64930AB4B46}"/>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98B2F03B-5584-4D68-87B0-E011156A8622}"/>
    <cellStyle name="Normal 2 4 2 5 2 3 2 3" xfId="11891" xr:uid="{8A1298A9-9B9D-4167-BDB5-5F7B16E1D390}"/>
    <cellStyle name="Normal 2 4 2 5 2 3 3" xfId="5514" xr:uid="{00000000-0005-0000-0000-00008F0F0000}"/>
    <cellStyle name="Normal 2 4 2 5 2 3 3 2" xfId="13964" xr:uid="{D92E9655-4068-4BFA-9E87-E07038C0D6F8}"/>
    <cellStyle name="Normal 2 4 2 5 2 3 4" xfId="9746" xr:uid="{A548915E-7BBB-4BD6-AB4E-5F7E4A219776}"/>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856B7BED-BCA1-463B-90DF-C65D284822EB}"/>
    <cellStyle name="Normal 2 4 2 5 2 4 2 3" xfId="12304" xr:uid="{680596C1-771F-4751-923D-C25E451A0F0F}"/>
    <cellStyle name="Normal 2 4 2 5 2 4 3" xfId="5927" xr:uid="{00000000-0005-0000-0000-0000930F0000}"/>
    <cellStyle name="Normal 2 4 2 5 2 4 3 2" xfId="14377" xr:uid="{CE0ABB59-65C4-471E-97EB-DFCB1C62577B}"/>
    <cellStyle name="Normal 2 4 2 5 2 4 4" xfId="10159" xr:uid="{499A43CF-15B6-46EB-A93D-BD92125E1B29}"/>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6621928E-4AB8-4D0A-9BB7-E7A1B37A8989}"/>
    <cellStyle name="Normal 2 4 2 5 2 5 2 3" xfId="12717" xr:uid="{EBE22CDA-BB55-4724-B33B-23AA461F4F3B}"/>
    <cellStyle name="Normal 2 4 2 5 2 5 3" xfId="6340" xr:uid="{00000000-0005-0000-0000-0000970F0000}"/>
    <cellStyle name="Normal 2 4 2 5 2 5 3 2" xfId="14790" xr:uid="{8DA51BCB-9241-42D7-AF5D-1BE8264520C7}"/>
    <cellStyle name="Normal 2 4 2 5 2 5 4" xfId="10572" xr:uid="{A6F8A929-30FD-4718-8424-CD53314EF15A}"/>
    <cellStyle name="Normal 2 4 2 5 2 6" xfId="2470" xr:uid="{00000000-0005-0000-0000-0000980F0000}"/>
    <cellStyle name="Normal 2 4 2 5 2 6 2" xfId="6753" xr:uid="{00000000-0005-0000-0000-0000990F0000}"/>
    <cellStyle name="Normal 2 4 2 5 2 6 2 2" xfId="15203" xr:uid="{23F91575-E42C-401A-864F-37E6555B8282}"/>
    <cellStyle name="Normal 2 4 2 5 2 6 3" xfId="10985" xr:uid="{E300E86A-32D8-45F8-B6B7-2080F84A3412}"/>
    <cellStyle name="Normal 2 4 2 5 2 7" xfId="4687" xr:uid="{00000000-0005-0000-0000-00009A0F0000}"/>
    <cellStyle name="Normal 2 4 2 5 2 7 2" xfId="13137" xr:uid="{6A718860-CE73-4D3B-B642-AD9BF80A4BE9}"/>
    <cellStyle name="Normal 2 4 2 5 2 8" xfId="8919" xr:uid="{AD88D601-BB90-4F30-B274-010E14EC6937}"/>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263BC937-2222-43D9-B57C-5CD05FFF93BC}"/>
    <cellStyle name="Normal 2 4 2 5 3 2 3" xfId="11477" xr:uid="{79BCD1BF-F651-4B4B-A044-6A1BF11E4328}"/>
    <cellStyle name="Normal 2 4 2 5 3 3" xfId="5100" xr:uid="{00000000-0005-0000-0000-00009E0F0000}"/>
    <cellStyle name="Normal 2 4 2 5 3 3 2" xfId="13550" xr:uid="{86A50884-64D8-42DC-857C-7E525FF84074}"/>
    <cellStyle name="Normal 2 4 2 5 3 4" xfId="9332" xr:uid="{1A27B6CD-BFB3-4AB9-8B69-93294B2017F2}"/>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C4232F56-B32F-4A6D-96BA-8C70974EABE5}"/>
    <cellStyle name="Normal 2 4 2 5 4 2 3" xfId="11890" xr:uid="{A89B7696-678B-44DA-A504-0F25F238E4FF}"/>
    <cellStyle name="Normal 2 4 2 5 4 3" xfId="5513" xr:uid="{00000000-0005-0000-0000-0000A20F0000}"/>
    <cellStyle name="Normal 2 4 2 5 4 3 2" xfId="13963" xr:uid="{22502B58-663E-4080-85C9-0F39E0489FE9}"/>
    <cellStyle name="Normal 2 4 2 5 4 4" xfId="9745" xr:uid="{3B8A9761-FAA6-437B-A7E8-BD5D5CA27130}"/>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134388F6-DE59-4610-96E2-55EE8A1FBC17}"/>
    <cellStyle name="Normal 2 4 2 5 5 2 3" xfId="12303" xr:uid="{B0B4C9B5-0CA6-412B-92E4-4D696D3F8D4F}"/>
    <cellStyle name="Normal 2 4 2 5 5 3" xfId="5926" xr:uid="{00000000-0005-0000-0000-0000A60F0000}"/>
    <cellStyle name="Normal 2 4 2 5 5 3 2" xfId="14376" xr:uid="{5C13C26F-F8A7-4E54-BEAD-147551C966FC}"/>
    <cellStyle name="Normal 2 4 2 5 5 4" xfId="10158" xr:uid="{8B299475-751B-4937-9D40-E242E37AD1A8}"/>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B05273FA-14C5-438E-AB3D-FD9C64D672EB}"/>
    <cellStyle name="Normal 2 4 2 5 6 2 3" xfId="12716" xr:uid="{AEC727A3-36C7-4FB6-8E37-CFC545458951}"/>
    <cellStyle name="Normal 2 4 2 5 6 3" xfId="6339" xr:uid="{00000000-0005-0000-0000-0000AA0F0000}"/>
    <cellStyle name="Normal 2 4 2 5 6 3 2" xfId="14789" xr:uid="{C518DA3C-5718-4AC1-A17C-B8FD93E4020A}"/>
    <cellStyle name="Normal 2 4 2 5 6 4" xfId="10571" xr:uid="{7445117A-BB44-4BA7-9D76-7DB6CAD8DDAA}"/>
    <cellStyle name="Normal 2 4 2 5 7" xfId="2469" xr:uid="{00000000-0005-0000-0000-0000AB0F0000}"/>
    <cellStyle name="Normal 2 4 2 5 7 2" xfId="6752" xr:uid="{00000000-0005-0000-0000-0000AC0F0000}"/>
    <cellStyle name="Normal 2 4 2 5 7 2 2" xfId="15202" xr:uid="{FB30CA60-6FB4-4A66-A9EB-120C2D880FCF}"/>
    <cellStyle name="Normal 2 4 2 5 7 3" xfId="10984" xr:uid="{6A08B1E6-D18A-4F80-BF3B-93CA85BF8FDA}"/>
    <cellStyle name="Normal 2 4 2 5 8" xfId="4686" xr:uid="{00000000-0005-0000-0000-0000AD0F0000}"/>
    <cellStyle name="Normal 2 4 2 5 8 2" xfId="13136" xr:uid="{7E45F227-0F4B-4C52-891C-E418D0D648CA}"/>
    <cellStyle name="Normal 2 4 2 5 9" xfId="8918" xr:uid="{DC129C93-B520-426F-9920-9DDD4563AB37}"/>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B3EBFB7E-07DB-4F66-9AF7-556B4CA033EC}"/>
    <cellStyle name="Normal 2 4 2 6 2 2 3" xfId="11479" xr:uid="{2B0EE231-F427-4707-ADE2-22ADCE512C60}"/>
    <cellStyle name="Normal 2 4 2 6 2 3" xfId="5102" xr:uid="{00000000-0005-0000-0000-0000B20F0000}"/>
    <cellStyle name="Normal 2 4 2 6 2 3 2" xfId="13552" xr:uid="{87E99000-BA5B-425D-AD4E-8B18554BA915}"/>
    <cellStyle name="Normal 2 4 2 6 2 4" xfId="9334" xr:uid="{1ADB48ED-0BD9-423A-86AC-CA473B9A039C}"/>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ECB87101-9630-43A7-9B10-EDB03DFAD243}"/>
    <cellStyle name="Normal 2 4 2 6 3 2 3" xfId="11892" xr:uid="{111EA273-1FD1-439F-9CC7-13BF63CDE47E}"/>
    <cellStyle name="Normal 2 4 2 6 3 3" xfId="5515" xr:uid="{00000000-0005-0000-0000-0000B60F0000}"/>
    <cellStyle name="Normal 2 4 2 6 3 3 2" xfId="13965" xr:uid="{E98B1DB8-DE01-46AB-B25B-CDB6DEC13150}"/>
    <cellStyle name="Normal 2 4 2 6 3 4" xfId="9747" xr:uid="{FA1473E5-20AB-47A8-AFDF-351FE18D173E}"/>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8F6B099C-9290-460C-AF84-AE1A0CC3B296}"/>
    <cellStyle name="Normal 2 4 2 6 4 2 3" xfId="12305" xr:uid="{77C4C03E-5694-477D-BEAA-A80D57E6B3B5}"/>
    <cellStyle name="Normal 2 4 2 6 4 3" xfId="5928" xr:uid="{00000000-0005-0000-0000-0000BA0F0000}"/>
    <cellStyle name="Normal 2 4 2 6 4 3 2" xfId="14378" xr:uid="{706C6771-C931-49AE-AE4A-AD7520969E31}"/>
    <cellStyle name="Normal 2 4 2 6 4 4" xfId="10160" xr:uid="{F1A3779B-5F47-4300-A38E-B9C3460715A3}"/>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9D2AC87C-0E0F-413A-BF3C-7131BEDFBFBA}"/>
    <cellStyle name="Normal 2 4 2 6 5 2 3" xfId="12718" xr:uid="{BDF61E8C-408C-4E4B-879F-2DD36F3D2DFE}"/>
    <cellStyle name="Normal 2 4 2 6 5 3" xfId="6341" xr:uid="{00000000-0005-0000-0000-0000BE0F0000}"/>
    <cellStyle name="Normal 2 4 2 6 5 3 2" xfId="14791" xr:uid="{BAA410DE-1D73-4633-8EBA-0B232CE89114}"/>
    <cellStyle name="Normal 2 4 2 6 5 4" xfId="10573" xr:uid="{9C0E444C-BB34-496A-80F0-861176D8D39C}"/>
    <cellStyle name="Normal 2 4 2 6 6" xfId="2471" xr:uid="{00000000-0005-0000-0000-0000BF0F0000}"/>
    <cellStyle name="Normal 2 4 2 6 6 2" xfId="6754" xr:uid="{00000000-0005-0000-0000-0000C00F0000}"/>
    <cellStyle name="Normal 2 4 2 6 6 2 2" xfId="15204" xr:uid="{B3E81AD5-89E0-4D52-9508-7338B351F14D}"/>
    <cellStyle name="Normal 2 4 2 6 6 3" xfId="10986" xr:uid="{0742E172-BFCB-4733-BE5A-6A80B5E499AF}"/>
    <cellStyle name="Normal 2 4 2 6 7" xfId="4688" xr:uid="{00000000-0005-0000-0000-0000C10F0000}"/>
    <cellStyle name="Normal 2 4 2 6 7 2" xfId="13138" xr:uid="{BB157A84-39F3-4F2B-B064-EB6413E3F749}"/>
    <cellStyle name="Normal 2 4 2 6 8" xfId="8920" xr:uid="{23BED4A0-3505-43D9-84AA-7CF7D19C2BA4}"/>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BA8DBD0C-E72A-403B-B171-66B74C6435BD}"/>
    <cellStyle name="Normal 2 4 2 7 2 3" xfId="11464" xr:uid="{EF3415A6-AAF7-4604-8807-3B10999CA8E0}"/>
    <cellStyle name="Normal 2 4 2 7 3" xfId="5087" xr:uid="{00000000-0005-0000-0000-0000C50F0000}"/>
    <cellStyle name="Normal 2 4 2 7 3 2" xfId="13537" xr:uid="{A559BCD3-F8AE-431F-B6BA-9B3C7DEBC637}"/>
    <cellStyle name="Normal 2 4 2 7 4" xfId="9319" xr:uid="{A498D657-CA6F-43AD-9A5E-34ECE8EE5D07}"/>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D6BC2FBA-CE62-45A5-8880-F27673A50B57}"/>
    <cellStyle name="Normal 2 4 2 8 2 3" xfId="11877" xr:uid="{5876A23A-EB4E-432C-8391-BA41792E0EB6}"/>
    <cellStyle name="Normal 2 4 2 8 3" xfId="5500" xr:uid="{00000000-0005-0000-0000-0000C90F0000}"/>
    <cellStyle name="Normal 2 4 2 8 3 2" xfId="13950" xr:uid="{7FA5FD42-AF32-4DD6-8298-15D526D14C30}"/>
    <cellStyle name="Normal 2 4 2 8 4" xfId="9732" xr:uid="{31C29731-C331-45CF-9587-F6F65C6580F9}"/>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354011A7-2AC8-4E93-8DDE-5AEBE592EECD}"/>
    <cellStyle name="Normal 2 4 2 9 2 3" xfId="12290" xr:uid="{59F47975-9A45-4CB4-A3FF-172A0BAA8A23}"/>
    <cellStyle name="Normal 2 4 2 9 3" xfId="5913" xr:uid="{00000000-0005-0000-0000-0000CD0F0000}"/>
    <cellStyle name="Normal 2 4 2 9 3 2" xfId="14363" xr:uid="{4FC867F0-ADB2-40D5-A619-A10DA3D75AA4}"/>
    <cellStyle name="Normal 2 4 2 9 4" xfId="10145" xr:uid="{4584731C-5EDE-4122-B192-DA62D7AB1847}"/>
    <cellStyle name="Normal 2 4 3" xfId="296" xr:uid="{00000000-0005-0000-0000-0000CE0F0000}"/>
    <cellStyle name="Normal 2 4 3 10" xfId="8921" xr:uid="{85E75D79-7392-493C-8155-D48EF52C6A83}"/>
    <cellStyle name="Normal 2 4 3 2" xfId="297" xr:uid="{00000000-0005-0000-0000-0000CF0F0000}"/>
    <cellStyle name="Normal 2 4 3 3" xfId="298" xr:uid="{00000000-0005-0000-0000-0000D00F0000}"/>
    <cellStyle name="Normal 2 4 3 3 10" xfId="8922" xr:uid="{3C176A20-7223-481B-988C-8443D1A8C34F}"/>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D341F714-C38E-4892-8F59-53B669B92C4D}"/>
    <cellStyle name="Normal 2 4 3 3 2 2 2 2 3" xfId="11483" xr:uid="{C26438BB-0621-470E-8372-5AC8F058BCC8}"/>
    <cellStyle name="Normal 2 4 3 3 2 2 2 3" xfId="5106" xr:uid="{00000000-0005-0000-0000-0000D60F0000}"/>
    <cellStyle name="Normal 2 4 3 3 2 2 2 3 2" xfId="13556" xr:uid="{3C2BA7CD-BBAA-461E-B664-90E22FD62C5A}"/>
    <cellStyle name="Normal 2 4 3 3 2 2 2 4" xfId="9338" xr:uid="{8151A16F-22D2-4578-9FFE-7867D19CD558}"/>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D31660A1-A117-4B3B-BA95-173C821C0804}"/>
    <cellStyle name="Normal 2 4 3 3 2 2 3 2 3" xfId="11896" xr:uid="{C74C7013-8E46-4CAD-A266-DB90D3603933}"/>
    <cellStyle name="Normal 2 4 3 3 2 2 3 3" xfId="5519" xr:uid="{00000000-0005-0000-0000-0000DA0F0000}"/>
    <cellStyle name="Normal 2 4 3 3 2 2 3 3 2" xfId="13969" xr:uid="{41CCBAEF-75A9-4B04-BF7C-005D8E6F94B6}"/>
    <cellStyle name="Normal 2 4 3 3 2 2 3 4" xfId="9751" xr:uid="{A1F38FC1-BD75-4209-BA1E-21FEC26E105F}"/>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2015E47A-A518-45CD-8955-AA7E69CD27BB}"/>
    <cellStyle name="Normal 2 4 3 3 2 2 4 2 3" xfId="12309" xr:uid="{3DD9E8FE-C97D-4D6E-8D12-FC8BA6AB2EFA}"/>
    <cellStyle name="Normal 2 4 3 3 2 2 4 3" xfId="5932" xr:uid="{00000000-0005-0000-0000-0000DE0F0000}"/>
    <cellStyle name="Normal 2 4 3 3 2 2 4 3 2" xfId="14382" xr:uid="{5FD8F5A7-8C85-45C6-9DD9-8D2E1D47E437}"/>
    <cellStyle name="Normal 2 4 3 3 2 2 4 4" xfId="10164" xr:uid="{0CFAB82A-9DDC-4577-82A0-74E88D63945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899D8CAF-8E8D-4F3E-BEDA-C63CD10081D2}"/>
    <cellStyle name="Normal 2 4 3 3 2 2 5 2 3" xfId="12722" xr:uid="{DD045E6A-07B4-45FA-8274-9E2761311666}"/>
    <cellStyle name="Normal 2 4 3 3 2 2 5 3" xfId="6345" xr:uid="{00000000-0005-0000-0000-0000E20F0000}"/>
    <cellStyle name="Normal 2 4 3 3 2 2 5 3 2" xfId="14795" xr:uid="{2791A82D-D478-49B6-9DB5-16AC494C9D49}"/>
    <cellStyle name="Normal 2 4 3 3 2 2 5 4" xfId="10577" xr:uid="{6C118BEB-3ECE-42A1-8ABA-7E139819FF74}"/>
    <cellStyle name="Normal 2 4 3 3 2 2 6" xfId="2475" xr:uid="{00000000-0005-0000-0000-0000E30F0000}"/>
    <cellStyle name="Normal 2 4 3 3 2 2 6 2" xfId="6758" xr:uid="{00000000-0005-0000-0000-0000E40F0000}"/>
    <cellStyle name="Normal 2 4 3 3 2 2 6 2 2" xfId="15208" xr:uid="{645DB520-78FC-453A-96C0-018559F9A783}"/>
    <cellStyle name="Normal 2 4 3 3 2 2 6 3" xfId="10990" xr:uid="{BFA7439C-DCE6-4F4A-8B37-A00AB47C0149}"/>
    <cellStyle name="Normal 2 4 3 3 2 2 7" xfId="4692" xr:uid="{00000000-0005-0000-0000-0000E50F0000}"/>
    <cellStyle name="Normal 2 4 3 3 2 2 7 2" xfId="13142" xr:uid="{C1FD91DB-ECA3-44DA-9C0C-64231FD1CCFA}"/>
    <cellStyle name="Normal 2 4 3 3 2 2 8" xfId="8924" xr:uid="{BD68CCC1-A0FC-43F1-B4E0-09EF0B78554D}"/>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A4E5CFAB-8C14-44EE-977B-CEF89D18AC61}"/>
    <cellStyle name="Normal 2 4 3 3 2 3 2 3" xfId="11482" xr:uid="{9D1C8E26-86D2-4C00-B87B-21A00869861D}"/>
    <cellStyle name="Normal 2 4 3 3 2 3 3" xfId="5105" xr:uid="{00000000-0005-0000-0000-0000E90F0000}"/>
    <cellStyle name="Normal 2 4 3 3 2 3 3 2" xfId="13555" xr:uid="{DDF02093-77A6-4EFD-BA05-DAF99BFAD1ED}"/>
    <cellStyle name="Normal 2 4 3 3 2 3 4" xfId="9337" xr:uid="{6ABA37FF-2DEE-41A9-A00C-B0B4AF2E898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6411817D-C65C-4531-A06F-B3545886CF58}"/>
    <cellStyle name="Normal 2 4 3 3 2 4 2 3" xfId="11895" xr:uid="{A49D923D-BAC7-46C1-A81E-429296124933}"/>
    <cellStyle name="Normal 2 4 3 3 2 4 3" xfId="5518" xr:uid="{00000000-0005-0000-0000-0000ED0F0000}"/>
    <cellStyle name="Normal 2 4 3 3 2 4 3 2" xfId="13968" xr:uid="{D99284FA-3D42-4422-9CB4-270AC52AF3E0}"/>
    <cellStyle name="Normal 2 4 3 3 2 4 4" xfId="9750" xr:uid="{5C663308-9882-495C-ABEB-3C2A3CACC2D6}"/>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8DBC6DA9-E128-457E-A535-76362304B5FC}"/>
    <cellStyle name="Normal 2 4 3 3 2 5 2 3" xfId="12308" xr:uid="{577927DA-1CE0-45D4-9488-192325F1BE97}"/>
    <cellStyle name="Normal 2 4 3 3 2 5 3" xfId="5931" xr:uid="{00000000-0005-0000-0000-0000F10F0000}"/>
    <cellStyle name="Normal 2 4 3 3 2 5 3 2" xfId="14381" xr:uid="{1F528EA1-DD9B-4CF7-B68E-F9125E9E82D0}"/>
    <cellStyle name="Normal 2 4 3 3 2 5 4" xfId="10163" xr:uid="{1B63D08E-8631-4B3C-A416-366BAA471E79}"/>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002D7A09-1F03-4409-88AE-491CFDFB57EA}"/>
    <cellStyle name="Normal 2 4 3 3 2 6 2 3" xfId="12721" xr:uid="{F1239FAD-F7BA-47AD-8121-19DD5D0E79B8}"/>
    <cellStyle name="Normal 2 4 3 3 2 6 3" xfId="6344" xr:uid="{00000000-0005-0000-0000-0000F50F0000}"/>
    <cellStyle name="Normal 2 4 3 3 2 6 3 2" xfId="14794" xr:uid="{94440637-53E1-4140-B072-F0C572D1CAC5}"/>
    <cellStyle name="Normal 2 4 3 3 2 6 4" xfId="10576" xr:uid="{E0FEA735-0CDA-44D2-BC70-F0B5E4AD3525}"/>
    <cellStyle name="Normal 2 4 3 3 2 7" xfId="2474" xr:uid="{00000000-0005-0000-0000-0000F60F0000}"/>
    <cellStyle name="Normal 2 4 3 3 2 7 2" xfId="6757" xr:uid="{00000000-0005-0000-0000-0000F70F0000}"/>
    <cellStyle name="Normal 2 4 3 3 2 7 2 2" xfId="15207" xr:uid="{4A032FC1-8137-4B91-BBAF-08F054DDCABC}"/>
    <cellStyle name="Normal 2 4 3 3 2 7 3" xfId="10989" xr:uid="{4D3579C3-7CA2-43D3-8AFD-AEDFC74A0B36}"/>
    <cellStyle name="Normal 2 4 3 3 2 8" xfId="4691" xr:uid="{00000000-0005-0000-0000-0000F80F0000}"/>
    <cellStyle name="Normal 2 4 3 3 2 8 2" xfId="13141" xr:uid="{5B601D75-ED0D-4583-8B91-77BEB0D1E38E}"/>
    <cellStyle name="Normal 2 4 3 3 2 9" xfId="8923" xr:uid="{7BEC57A1-78E3-495C-8596-AA9C9BCDC88D}"/>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C6783485-9C4E-46E0-917C-4F76A3D9E44E}"/>
    <cellStyle name="Normal 2 4 3 3 3 2 2 3" xfId="11484" xr:uid="{D9BBF4B2-DC0C-4695-9190-97F0EB582795}"/>
    <cellStyle name="Normal 2 4 3 3 3 2 3" xfId="5107" xr:uid="{00000000-0005-0000-0000-0000FD0F0000}"/>
    <cellStyle name="Normal 2 4 3 3 3 2 3 2" xfId="13557" xr:uid="{93A0C029-E129-41FE-B18F-E4F03D0888F0}"/>
    <cellStyle name="Normal 2 4 3 3 3 2 4" xfId="9339" xr:uid="{50476B6F-AE58-4C8C-8355-F3FE9602E148}"/>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1A42BC58-1395-46EE-902F-CA592B58F65A}"/>
    <cellStyle name="Normal 2 4 3 3 3 3 2 3" xfId="11897" xr:uid="{286F477E-49A1-4612-ADDA-775AB631DDC2}"/>
    <cellStyle name="Normal 2 4 3 3 3 3 3" xfId="5520" xr:uid="{00000000-0005-0000-0000-000001100000}"/>
    <cellStyle name="Normal 2 4 3 3 3 3 3 2" xfId="13970" xr:uid="{435A8BD1-0101-43A2-AB8B-B0186D491CFA}"/>
    <cellStyle name="Normal 2 4 3 3 3 3 4" xfId="9752" xr:uid="{34C977A6-6D91-4C64-AFC7-E443C5264749}"/>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E56223DE-BF82-4D0F-9B92-4F54E7B3A003}"/>
    <cellStyle name="Normal 2 4 3 3 3 4 2 3" xfId="12310" xr:uid="{ABC4144A-E8F7-4102-BB4F-883A1915D57C}"/>
    <cellStyle name="Normal 2 4 3 3 3 4 3" xfId="5933" xr:uid="{00000000-0005-0000-0000-000005100000}"/>
    <cellStyle name="Normal 2 4 3 3 3 4 3 2" xfId="14383" xr:uid="{6D69E3C9-70F2-4F5C-880E-A5D06A437DB3}"/>
    <cellStyle name="Normal 2 4 3 3 3 4 4" xfId="10165" xr:uid="{8C1F02BF-E549-495B-BA95-7562FF06206F}"/>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385D96BA-71CD-4860-8B4A-8A6346D54DBC}"/>
    <cellStyle name="Normal 2 4 3 3 3 5 2 3" xfId="12723" xr:uid="{91DCC5BA-2100-4257-AE04-A9877DD6344D}"/>
    <cellStyle name="Normal 2 4 3 3 3 5 3" xfId="6346" xr:uid="{00000000-0005-0000-0000-000009100000}"/>
    <cellStyle name="Normal 2 4 3 3 3 5 3 2" xfId="14796" xr:uid="{E4DCB5B7-72F3-438B-8E03-0F93119F9453}"/>
    <cellStyle name="Normal 2 4 3 3 3 5 4" xfId="10578" xr:uid="{D1CC8CEE-AC9F-4CEC-977E-4B94B0DA1D72}"/>
    <cellStyle name="Normal 2 4 3 3 3 6" xfId="2476" xr:uid="{00000000-0005-0000-0000-00000A100000}"/>
    <cellStyle name="Normal 2 4 3 3 3 6 2" xfId="6759" xr:uid="{00000000-0005-0000-0000-00000B100000}"/>
    <cellStyle name="Normal 2 4 3 3 3 6 2 2" xfId="15209" xr:uid="{E07CFA55-4BC3-4E62-B4E7-40D84BC5A421}"/>
    <cellStyle name="Normal 2 4 3 3 3 6 3" xfId="10991" xr:uid="{A8B8ECE7-6273-47FE-A8CE-851CF8BC2076}"/>
    <cellStyle name="Normal 2 4 3 3 3 7" xfId="4693" xr:uid="{00000000-0005-0000-0000-00000C100000}"/>
    <cellStyle name="Normal 2 4 3 3 3 7 2" xfId="13143" xr:uid="{E6FB2AAC-4B62-4399-B6EF-8D6237161282}"/>
    <cellStyle name="Normal 2 4 3 3 3 8" xfId="8925" xr:uid="{2B072A5D-BE1D-4E1D-9CD9-B7EA4D0C3723}"/>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47933E5E-BA91-429E-A246-ECA882D50760}"/>
    <cellStyle name="Normal 2 4 3 3 4 2 3" xfId="11481" xr:uid="{81E3BBF2-3641-4243-A9F3-90FB18196199}"/>
    <cellStyle name="Normal 2 4 3 3 4 3" xfId="5104" xr:uid="{00000000-0005-0000-0000-000010100000}"/>
    <cellStyle name="Normal 2 4 3 3 4 3 2" xfId="13554" xr:uid="{D2C7179A-FDF9-4EC3-9547-40EB240F8D92}"/>
    <cellStyle name="Normal 2 4 3 3 4 4" xfId="9336" xr:uid="{AFD730E4-47F9-41E6-B80E-AB931909CE9C}"/>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07350EE4-6150-4E89-9B27-EA3BD6D6EFDA}"/>
    <cellStyle name="Normal 2 4 3 3 5 2 3" xfId="11894" xr:uid="{E860B195-4231-4BBE-B870-9B67E92A1FBA}"/>
    <cellStyle name="Normal 2 4 3 3 5 3" xfId="5517" xr:uid="{00000000-0005-0000-0000-000014100000}"/>
    <cellStyle name="Normal 2 4 3 3 5 3 2" xfId="13967" xr:uid="{D3F4FE74-9555-4081-9045-86EBF0C42EDC}"/>
    <cellStyle name="Normal 2 4 3 3 5 4" xfId="9749" xr:uid="{A819BFEE-DD2B-422D-81E1-B2510DE77515}"/>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A55ED442-60CD-4E42-B987-FB42E7A1403F}"/>
    <cellStyle name="Normal 2 4 3 3 6 2 3" xfId="12307" xr:uid="{CF5EA3B7-CBA6-4F1F-8B2B-D9A906000415}"/>
    <cellStyle name="Normal 2 4 3 3 6 3" xfId="5930" xr:uid="{00000000-0005-0000-0000-000018100000}"/>
    <cellStyle name="Normal 2 4 3 3 6 3 2" xfId="14380" xr:uid="{71956D6B-9599-48E6-9613-922DF75647F7}"/>
    <cellStyle name="Normal 2 4 3 3 6 4" xfId="10162" xr:uid="{452C5064-5826-4A76-AA84-CB037211E341}"/>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7780F845-7DEA-45D4-A252-64B926FE8D77}"/>
    <cellStyle name="Normal 2 4 3 3 7 2 3" xfId="12720" xr:uid="{092434E9-C375-4E6E-8C68-11863DBF99BF}"/>
    <cellStyle name="Normal 2 4 3 3 7 3" xfId="6343" xr:uid="{00000000-0005-0000-0000-00001C100000}"/>
    <cellStyle name="Normal 2 4 3 3 7 3 2" xfId="14793" xr:uid="{CDFF1FEC-A8A9-4387-AB8F-F192CD19A63F}"/>
    <cellStyle name="Normal 2 4 3 3 7 4" xfId="10575" xr:uid="{0F2529D8-B432-4CA2-A352-41D816E252D9}"/>
    <cellStyle name="Normal 2 4 3 3 8" xfId="2473" xr:uid="{00000000-0005-0000-0000-00001D100000}"/>
    <cellStyle name="Normal 2 4 3 3 8 2" xfId="6756" xr:uid="{00000000-0005-0000-0000-00001E100000}"/>
    <cellStyle name="Normal 2 4 3 3 8 2 2" xfId="15206" xr:uid="{0E9A2F1E-D26D-45AD-9F60-B3FA09570156}"/>
    <cellStyle name="Normal 2 4 3 3 8 3" xfId="10988" xr:uid="{41633E3A-E16C-405B-833A-88AABE5D96E8}"/>
    <cellStyle name="Normal 2 4 3 3 9" xfId="4690" xr:uid="{00000000-0005-0000-0000-00001F100000}"/>
    <cellStyle name="Normal 2 4 3 3 9 2" xfId="13140" xr:uid="{90D43FB2-BD8D-4828-A88A-729648AD163D}"/>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6AFC195C-83D6-42E1-BC2C-30B6E99533F4}"/>
    <cellStyle name="Normal 2 4 3 4 2 3" xfId="11480" xr:uid="{11EA4B0A-BD3A-44ED-8FBF-53FF051D2C45}"/>
    <cellStyle name="Normal 2 4 3 4 3" xfId="5103" xr:uid="{00000000-0005-0000-0000-000023100000}"/>
    <cellStyle name="Normal 2 4 3 4 3 2" xfId="13553" xr:uid="{0034B1D1-7C87-49A9-AE4A-C1C0312C97FA}"/>
    <cellStyle name="Normal 2 4 3 4 4" xfId="9335" xr:uid="{FF1B1D26-5310-4384-953B-7B3E8F8F1250}"/>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68B2962E-7ED8-4C68-A94D-FF3FD1F35D19}"/>
    <cellStyle name="Normal 2 4 3 5 2 3" xfId="11893" xr:uid="{E28B3948-68A1-4DFD-89D8-2CB72247FC30}"/>
    <cellStyle name="Normal 2 4 3 5 3" xfId="5516" xr:uid="{00000000-0005-0000-0000-000027100000}"/>
    <cellStyle name="Normal 2 4 3 5 3 2" xfId="13966" xr:uid="{388A3BB2-67D5-49EF-B5F3-F4099DE7C580}"/>
    <cellStyle name="Normal 2 4 3 5 4" xfId="9748" xr:uid="{F2458246-C8A1-4741-AC77-7DD63C8BBC29}"/>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208358A5-BFEA-414F-A515-5EAF8E5AED3C}"/>
    <cellStyle name="Normal 2 4 3 6 2 3" xfId="12306" xr:uid="{9BF59879-153F-490E-9427-96FA743EE113}"/>
    <cellStyle name="Normal 2 4 3 6 3" xfId="5929" xr:uid="{00000000-0005-0000-0000-00002B100000}"/>
    <cellStyle name="Normal 2 4 3 6 3 2" xfId="14379" xr:uid="{35781CC5-B982-431C-A7DC-A9FB5053563D}"/>
    <cellStyle name="Normal 2 4 3 6 4" xfId="10161" xr:uid="{CB3B8172-93AE-4D6E-9DEB-A0E5BD34EF65}"/>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1F7D9257-29C8-4D80-AF44-52412B0C1E72}"/>
    <cellStyle name="Normal 2 4 3 7 2 3" xfId="12719" xr:uid="{F5850692-E11F-43EE-A66C-1B0ACBD0BBF0}"/>
    <cellStyle name="Normal 2 4 3 7 3" xfId="6342" xr:uid="{00000000-0005-0000-0000-00002F100000}"/>
    <cellStyle name="Normal 2 4 3 7 3 2" xfId="14792" xr:uid="{73F9D65C-0822-4D61-859B-E5E3EA1A2107}"/>
    <cellStyle name="Normal 2 4 3 7 4" xfId="10574" xr:uid="{71204CB3-A692-4389-AFD5-D4AA25D50644}"/>
    <cellStyle name="Normal 2 4 3 8" xfId="2472" xr:uid="{00000000-0005-0000-0000-000030100000}"/>
    <cellStyle name="Normal 2 4 3 8 2" xfId="6755" xr:uid="{00000000-0005-0000-0000-000031100000}"/>
    <cellStyle name="Normal 2 4 3 8 2 2" xfId="15205" xr:uid="{AC5E907D-0F14-4E3E-A187-25C266D7F95B}"/>
    <cellStyle name="Normal 2 4 3 8 3" xfId="10987" xr:uid="{E60D641C-93B3-4046-B1C0-F981E67B64EF}"/>
    <cellStyle name="Normal 2 4 3 9" xfId="4689" xr:uid="{00000000-0005-0000-0000-000032100000}"/>
    <cellStyle name="Normal 2 4 3 9 2" xfId="13139" xr:uid="{8D17E61F-1B3C-4055-8947-7E22A26B90A8}"/>
    <cellStyle name="Normal 2 4 4" xfId="302" xr:uid="{00000000-0005-0000-0000-000033100000}"/>
    <cellStyle name="Normal 2 4 5" xfId="303" xr:uid="{00000000-0005-0000-0000-000034100000}"/>
    <cellStyle name="Normal 2 4 5 10" xfId="4694" xr:uid="{00000000-0005-0000-0000-000035100000}"/>
    <cellStyle name="Normal 2 4 5 10 2" xfId="13144" xr:uid="{6485F2EF-9E7F-4E32-B4A8-F344ACBDC78E}"/>
    <cellStyle name="Normal 2 4 5 11" xfId="8926" xr:uid="{EAC51567-A3ED-4E66-BEB3-6D232C9C0974}"/>
    <cellStyle name="Normal 2 4 5 2" xfId="304" xr:uid="{00000000-0005-0000-0000-000036100000}"/>
    <cellStyle name="Normal 2 4 5 2 10" xfId="8927" xr:uid="{03AA0AA5-D4AC-4CE8-A967-5F8AB136747F}"/>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020BDD05-595F-46A2-B651-D20BE9140297}"/>
    <cellStyle name="Normal 2 4 5 2 2 2 2 2 3" xfId="11488" xr:uid="{371F7DF4-885B-4686-B529-77313B8F72C1}"/>
    <cellStyle name="Normal 2 4 5 2 2 2 2 3" xfId="5111" xr:uid="{00000000-0005-0000-0000-00003C100000}"/>
    <cellStyle name="Normal 2 4 5 2 2 2 2 3 2" xfId="13561" xr:uid="{E5BD602B-A963-4C3F-BBF4-5A8B6336FABE}"/>
    <cellStyle name="Normal 2 4 5 2 2 2 2 4" xfId="9343" xr:uid="{93FF4186-62D9-4E1B-BD48-2F5E3AE80E8B}"/>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2C849ECF-E77D-4C73-88C5-67204956C588}"/>
    <cellStyle name="Normal 2 4 5 2 2 2 3 2 3" xfId="11901" xr:uid="{A8907DFF-FAA0-4784-A6A9-010C0042C237}"/>
    <cellStyle name="Normal 2 4 5 2 2 2 3 3" xfId="5524" xr:uid="{00000000-0005-0000-0000-000040100000}"/>
    <cellStyle name="Normal 2 4 5 2 2 2 3 3 2" xfId="13974" xr:uid="{7FC4EE37-F161-4D67-A7B7-7E717BD43170}"/>
    <cellStyle name="Normal 2 4 5 2 2 2 3 4" xfId="9756" xr:uid="{CDF257CC-D566-4682-AF81-411C6F72257D}"/>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C62C10BB-9632-4397-A46A-002421E3B368}"/>
    <cellStyle name="Normal 2 4 5 2 2 2 4 2 3" xfId="12314" xr:uid="{EDB05B40-15A4-4DF3-B7BE-F2050A273BDA}"/>
    <cellStyle name="Normal 2 4 5 2 2 2 4 3" xfId="5937" xr:uid="{00000000-0005-0000-0000-000044100000}"/>
    <cellStyle name="Normal 2 4 5 2 2 2 4 3 2" xfId="14387" xr:uid="{4680D0C5-18F2-42AD-A853-2B6F6FB722D7}"/>
    <cellStyle name="Normal 2 4 5 2 2 2 4 4" xfId="10169" xr:uid="{127818DC-F3E7-4850-B8ED-634C0B976922}"/>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E9874CB3-2908-4562-9815-E3BCEF88CC0D}"/>
    <cellStyle name="Normal 2 4 5 2 2 2 5 2 3" xfId="12727" xr:uid="{6334519E-EB74-4471-AA4D-6B127AB5EDB9}"/>
    <cellStyle name="Normal 2 4 5 2 2 2 5 3" xfId="6350" xr:uid="{00000000-0005-0000-0000-000048100000}"/>
    <cellStyle name="Normal 2 4 5 2 2 2 5 3 2" xfId="14800" xr:uid="{C4244154-55C9-4A57-B1CC-5DBED0A629BE}"/>
    <cellStyle name="Normal 2 4 5 2 2 2 5 4" xfId="10582" xr:uid="{4E41B029-68B5-4C63-A896-19DC65D2F842}"/>
    <cellStyle name="Normal 2 4 5 2 2 2 6" xfId="2480" xr:uid="{00000000-0005-0000-0000-000049100000}"/>
    <cellStyle name="Normal 2 4 5 2 2 2 6 2" xfId="6763" xr:uid="{00000000-0005-0000-0000-00004A100000}"/>
    <cellStyle name="Normal 2 4 5 2 2 2 6 2 2" xfId="15213" xr:uid="{CBEC527F-9585-4EC0-ACB7-20AF93283CB3}"/>
    <cellStyle name="Normal 2 4 5 2 2 2 6 3" xfId="10995" xr:uid="{421BAB03-6FB3-4B9A-BA93-2969D1C6898B}"/>
    <cellStyle name="Normal 2 4 5 2 2 2 7" xfId="4697" xr:uid="{00000000-0005-0000-0000-00004B100000}"/>
    <cellStyle name="Normal 2 4 5 2 2 2 7 2" xfId="13147" xr:uid="{A433CB62-44C7-4BD4-86F1-946BDA162D62}"/>
    <cellStyle name="Normal 2 4 5 2 2 2 8" xfId="8929" xr:uid="{DEBFE533-DB67-4AC9-BF84-9465898DF96A}"/>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4AE52367-18A3-4778-A4CF-445649DA4CAF}"/>
    <cellStyle name="Normal 2 4 5 2 2 3 2 3" xfId="11487" xr:uid="{A5A360DF-92D7-4924-9280-B9FBD86BC1D4}"/>
    <cellStyle name="Normal 2 4 5 2 2 3 3" xfId="5110" xr:uid="{00000000-0005-0000-0000-00004F100000}"/>
    <cellStyle name="Normal 2 4 5 2 2 3 3 2" xfId="13560" xr:uid="{9C39A00D-C2CB-46BE-A4FE-01F2C5B5B0A8}"/>
    <cellStyle name="Normal 2 4 5 2 2 3 4" xfId="9342" xr:uid="{02D1280A-0918-4F32-86BB-1DE51159215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845868C3-4741-4D4C-A02C-650BD2BD9A80}"/>
    <cellStyle name="Normal 2 4 5 2 2 4 2 3" xfId="11900" xr:uid="{2120165F-66CC-4E59-86DF-BB844CC40324}"/>
    <cellStyle name="Normal 2 4 5 2 2 4 3" xfId="5523" xr:uid="{00000000-0005-0000-0000-000053100000}"/>
    <cellStyle name="Normal 2 4 5 2 2 4 3 2" xfId="13973" xr:uid="{31EE326A-67BB-4413-A4B0-D2B41EBCC709}"/>
    <cellStyle name="Normal 2 4 5 2 2 4 4" xfId="9755" xr:uid="{E6CB977A-BC3A-4360-8C6E-6D39CDD5783B}"/>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362FD869-0C4E-4822-9B9B-A2DD2747C675}"/>
    <cellStyle name="Normal 2 4 5 2 2 5 2 3" xfId="12313" xr:uid="{C07D80E4-0936-4F95-8E0A-34893DBC19A5}"/>
    <cellStyle name="Normal 2 4 5 2 2 5 3" xfId="5936" xr:uid="{00000000-0005-0000-0000-000057100000}"/>
    <cellStyle name="Normal 2 4 5 2 2 5 3 2" xfId="14386" xr:uid="{5B5FBFD7-A1AC-4C9D-B313-4F9593D27562}"/>
    <cellStyle name="Normal 2 4 5 2 2 5 4" xfId="10168" xr:uid="{71359D49-0533-4E3C-B8EB-A9BF4C44FF7F}"/>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221AD710-199A-4D0C-B787-B475310EB2E4}"/>
    <cellStyle name="Normal 2 4 5 2 2 6 2 3" xfId="12726" xr:uid="{F816FC0B-BCC4-460E-9568-621D5F0F7921}"/>
    <cellStyle name="Normal 2 4 5 2 2 6 3" xfId="6349" xr:uid="{00000000-0005-0000-0000-00005B100000}"/>
    <cellStyle name="Normal 2 4 5 2 2 6 3 2" xfId="14799" xr:uid="{0B366E5E-F5E8-4996-A035-C6D378227530}"/>
    <cellStyle name="Normal 2 4 5 2 2 6 4" xfId="10581" xr:uid="{CBFAB476-21C9-4352-8E41-A5BE35940214}"/>
    <cellStyle name="Normal 2 4 5 2 2 7" xfId="2479" xr:uid="{00000000-0005-0000-0000-00005C100000}"/>
    <cellStyle name="Normal 2 4 5 2 2 7 2" xfId="6762" xr:uid="{00000000-0005-0000-0000-00005D100000}"/>
    <cellStyle name="Normal 2 4 5 2 2 7 2 2" xfId="15212" xr:uid="{D0F3E4DF-1296-4916-9321-1B4790247652}"/>
    <cellStyle name="Normal 2 4 5 2 2 7 3" xfId="10994" xr:uid="{79726915-C23E-4CE7-B8EC-52ACA677CA6C}"/>
    <cellStyle name="Normal 2 4 5 2 2 8" xfId="4696" xr:uid="{00000000-0005-0000-0000-00005E100000}"/>
    <cellStyle name="Normal 2 4 5 2 2 8 2" xfId="13146" xr:uid="{041401E1-C4BF-4C6F-865A-B401CCA38341}"/>
    <cellStyle name="Normal 2 4 5 2 2 9" xfId="8928" xr:uid="{52506CBE-ED0E-472C-AE69-25DC237BB402}"/>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A51A6A83-ED23-4428-9BD3-F1EC94133BB4}"/>
    <cellStyle name="Normal 2 4 5 2 3 2 2 3" xfId="11489" xr:uid="{C89D713B-5CD2-4B72-86BE-E729AF722ABD}"/>
    <cellStyle name="Normal 2 4 5 2 3 2 3" xfId="5112" xr:uid="{00000000-0005-0000-0000-000063100000}"/>
    <cellStyle name="Normal 2 4 5 2 3 2 3 2" xfId="13562" xr:uid="{8DBAF5E6-85BE-4C18-952E-42201360A1E6}"/>
    <cellStyle name="Normal 2 4 5 2 3 2 4" xfId="9344" xr:uid="{4C26E3CD-B29A-47EE-B9C4-CB0E01F6C18B}"/>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B0767C01-160B-46AC-BDEB-3AED3D34CC03}"/>
    <cellStyle name="Normal 2 4 5 2 3 3 2 3" xfId="11902" xr:uid="{F1213C24-14E7-4CB3-B6C5-C7EB7466183D}"/>
    <cellStyle name="Normal 2 4 5 2 3 3 3" xfId="5525" xr:uid="{00000000-0005-0000-0000-000067100000}"/>
    <cellStyle name="Normal 2 4 5 2 3 3 3 2" xfId="13975" xr:uid="{866C598D-0429-494B-B271-9B6BB4EBCFE3}"/>
    <cellStyle name="Normal 2 4 5 2 3 3 4" xfId="9757" xr:uid="{FF09F7A8-BB9B-4AA2-BC36-4CFFAB6222CC}"/>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C03488AD-78D4-4868-800D-53BC69F399F0}"/>
    <cellStyle name="Normal 2 4 5 2 3 4 2 3" xfId="12315" xr:uid="{540881CF-F49C-4BAA-90A0-3A266AFBA5D5}"/>
    <cellStyle name="Normal 2 4 5 2 3 4 3" xfId="5938" xr:uid="{00000000-0005-0000-0000-00006B100000}"/>
    <cellStyle name="Normal 2 4 5 2 3 4 3 2" xfId="14388" xr:uid="{5C5D7E14-8B84-4508-B068-56F1F95F9A9A}"/>
    <cellStyle name="Normal 2 4 5 2 3 4 4" xfId="10170" xr:uid="{46730ADA-0532-4727-BB48-04D7AC8466EE}"/>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4D3538AF-8AB8-4445-BE5D-46BFF30D15FF}"/>
    <cellStyle name="Normal 2 4 5 2 3 5 2 3" xfId="12728" xr:uid="{4F745277-D634-4041-9DEB-F919038C7F55}"/>
    <cellStyle name="Normal 2 4 5 2 3 5 3" xfId="6351" xr:uid="{00000000-0005-0000-0000-00006F100000}"/>
    <cellStyle name="Normal 2 4 5 2 3 5 3 2" xfId="14801" xr:uid="{2102F632-D5F5-4B46-9154-76922C3C4A85}"/>
    <cellStyle name="Normal 2 4 5 2 3 5 4" xfId="10583" xr:uid="{F915AEF9-B695-46CA-AB82-A0908B9A01AD}"/>
    <cellStyle name="Normal 2 4 5 2 3 6" xfId="2481" xr:uid="{00000000-0005-0000-0000-000070100000}"/>
    <cellStyle name="Normal 2 4 5 2 3 6 2" xfId="6764" xr:uid="{00000000-0005-0000-0000-000071100000}"/>
    <cellStyle name="Normal 2 4 5 2 3 6 2 2" xfId="15214" xr:uid="{C48121F1-7BCB-4D97-9F9B-678B5C3A3DEB}"/>
    <cellStyle name="Normal 2 4 5 2 3 6 3" xfId="10996" xr:uid="{307C6FB7-A374-4C7F-80F3-7859197D924B}"/>
    <cellStyle name="Normal 2 4 5 2 3 7" xfId="4698" xr:uid="{00000000-0005-0000-0000-000072100000}"/>
    <cellStyle name="Normal 2 4 5 2 3 7 2" xfId="13148" xr:uid="{810C7061-4EE6-4C71-89FC-E5B1A6EF8F5B}"/>
    <cellStyle name="Normal 2 4 5 2 3 8" xfId="8930" xr:uid="{D0E26830-57DA-44F4-AF5A-ABAFBA6D601C}"/>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041905FB-9CC4-40CA-A198-9677FABCC3BB}"/>
    <cellStyle name="Normal 2 4 5 2 4 2 3" xfId="11486" xr:uid="{071B386D-ADB0-40DC-B3FA-93F84558690E}"/>
    <cellStyle name="Normal 2 4 5 2 4 3" xfId="5109" xr:uid="{00000000-0005-0000-0000-000076100000}"/>
    <cellStyle name="Normal 2 4 5 2 4 3 2" xfId="13559" xr:uid="{80EE313C-6508-4409-8C3A-EE58D89B9D02}"/>
    <cellStyle name="Normal 2 4 5 2 4 4" xfId="9341" xr:uid="{2D03729D-DB2E-4ED5-9D09-41CE0C6C75FC}"/>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C77B0C04-3085-4753-8410-E1F0B34CACF4}"/>
    <cellStyle name="Normal 2 4 5 2 5 2 3" xfId="11899" xr:uid="{F0FDD965-0896-452D-AE3B-EABC55078DC8}"/>
    <cellStyle name="Normal 2 4 5 2 5 3" xfId="5522" xr:uid="{00000000-0005-0000-0000-00007A100000}"/>
    <cellStyle name="Normal 2 4 5 2 5 3 2" xfId="13972" xr:uid="{4D3DA9C9-9111-42A9-AA02-69ED135D3A70}"/>
    <cellStyle name="Normal 2 4 5 2 5 4" xfId="9754" xr:uid="{A3372777-281A-49CB-801C-5D57927BA2F4}"/>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2D57A497-AA6D-4A32-BA9B-B5897A39CC94}"/>
    <cellStyle name="Normal 2 4 5 2 6 2 3" xfId="12312" xr:uid="{667FF795-C2A4-4823-9DE7-436C43116DDF}"/>
    <cellStyle name="Normal 2 4 5 2 6 3" xfId="5935" xr:uid="{00000000-0005-0000-0000-00007E100000}"/>
    <cellStyle name="Normal 2 4 5 2 6 3 2" xfId="14385" xr:uid="{4FA89DFC-5EFC-4C4F-A6C7-0858B2CB257F}"/>
    <cellStyle name="Normal 2 4 5 2 6 4" xfId="10167" xr:uid="{3CDB647A-463C-44F5-92E8-3B543811F5AB}"/>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0F8B7EA5-A8C3-4811-B5B3-4B7825EB5F59}"/>
    <cellStyle name="Normal 2 4 5 2 7 2 3" xfId="12725" xr:uid="{C8966557-2AE1-4496-9616-BD756BD42C9E}"/>
    <cellStyle name="Normal 2 4 5 2 7 3" xfId="6348" xr:uid="{00000000-0005-0000-0000-000082100000}"/>
    <cellStyle name="Normal 2 4 5 2 7 3 2" xfId="14798" xr:uid="{6F0356F6-D6BC-4C9B-B00E-0C1CF24137E0}"/>
    <cellStyle name="Normal 2 4 5 2 7 4" xfId="10580" xr:uid="{3652D9DF-3F0A-4384-B974-76382A9D9E00}"/>
    <cellStyle name="Normal 2 4 5 2 8" xfId="2478" xr:uid="{00000000-0005-0000-0000-000083100000}"/>
    <cellStyle name="Normal 2 4 5 2 8 2" xfId="6761" xr:uid="{00000000-0005-0000-0000-000084100000}"/>
    <cellStyle name="Normal 2 4 5 2 8 2 2" xfId="15211" xr:uid="{F29EC064-BE3A-4C45-BD31-1A139A6F637C}"/>
    <cellStyle name="Normal 2 4 5 2 8 3" xfId="10993" xr:uid="{29EAE597-A757-4B82-BED5-2E5542FDC75F}"/>
    <cellStyle name="Normal 2 4 5 2 9" xfId="4695" xr:uid="{00000000-0005-0000-0000-000085100000}"/>
    <cellStyle name="Normal 2 4 5 2 9 2" xfId="13145" xr:uid="{82AACF35-3138-413F-BF92-03F8ADB5D31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85475B16-923D-4E1C-8271-29F2AB496ECA}"/>
    <cellStyle name="Normal 2 4 5 3 2 2 2 3" xfId="11491" xr:uid="{A4355563-B600-4B17-B43A-CA6CA9038E53}"/>
    <cellStyle name="Normal 2 4 5 3 2 2 3" xfId="5114" xr:uid="{00000000-0005-0000-0000-00008B100000}"/>
    <cellStyle name="Normal 2 4 5 3 2 2 3 2" xfId="13564" xr:uid="{E3EFFAC1-DD32-45F7-A2DF-1387BB2023E4}"/>
    <cellStyle name="Normal 2 4 5 3 2 2 4" xfId="9346" xr:uid="{3ABC125E-E1B0-4505-9656-87D36B0A97BA}"/>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5CD7BE99-3E17-48C7-A5DF-CE77525583A2}"/>
    <cellStyle name="Normal 2 4 5 3 2 3 2 3" xfId="11904" xr:uid="{CF85BA4A-95F5-459A-867A-27DABDD3AE60}"/>
    <cellStyle name="Normal 2 4 5 3 2 3 3" xfId="5527" xr:uid="{00000000-0005-0000-0000-00008F100000}"/>
    <cellStyle name="Normal 2 4 5 3 2 3 3 2" xfId="13977" xr:uid="{079A5FA3-1A36-4FCC-AACA-3BCE39518753}"/>
    <cellStyle name="Normal 2 4 5 3 2 3 4" xfId="9759" xr:uid="{02E92BE8-407A-4572-AFC9-75AAA648B652}"/>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58289A48-F931-4773-8CC2-31C70DA6DB25}"/>
    <cellStyle name="Normal 2 4 5 3 2 4 2 3" xfId="12317" xr:uid="{293F1FF3-3B66-4376-B080-EB574F06F481}"/>
    <cellStyle name="Normal 2 4 5 3 2 4 3" xfId="5940" xr:uid="{00000000-0005-0000-0000-000093100000}"/>
    <cellStyle name="Normal 2 4 5 3 2 4 3 2" xfId="14390" xr:uid="{BF4F9B0E-1FB1-4702-806A-8E762CAFC82F}"/>
    <cellStyle name="Normal 2 4 5 3 2 4 4" xfId="10172" xr:uid="{3716B394-C86E-41D8-9DD8-6581BA03A8FA}"/>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D3E345E9-D9B0-4A7C-A38F-C1BCC8FCEB2C}"/>
    <cellStyle name="Normal 2 4 5 3 2 5 2 3" xfId="12730" xr:uid="{9F05E7A8-3FAF-4A48-9B01-6CA94D7D146A}"/>
    <cellStyle name="Normal 2 4 5 3 2 5 3" xfId="6353" xr:uid="{00000000-0005-0000-0000-000097100000}"/>
    <cellStyle name="Normal 2 4 5 3 2 5 3 2" xfId="14803" xr:uid="{7C7153B8-A850-4CEF-B6FC-5D9B09D314C0}"/>
    <cellStyle name="Normal 2 4 5 3 2 5 4" xfId="10585" xr:uid="{EDE0EBE3-6484-4130-BFFD-CF905AD33713}"/>
    <cellStyle name="Normal 2 4 5 3 2 6" xfId="2483" xr:uid="{00000000-0005-0000-0000-000098100000}"/>
    <cellStyle name="Normal 2 4 5 3 2 6 2" xfId="6766" xr:uid="{00000000-0005-0000-0000-000099100000}"/>
    <cellStyle name="Normal 2 4 5 3 2 6 2 2" xfId="15216" xr:uid="{C2B15A51-8D98-44B0-9115-39D870CDE070}"/>
    <cellStyle name="Normal 2 4 5 3 2 6 3" xfId="10998" xr:uid="{4511BCB6-CE4D-4DBB-BBA9-B9F993C17BC2}"/>
    <cellStyle name="Normal 2 4 5 3 2 7" xfId="4700" xr:uid="{00000000-0005-0000-0000-00009A100000}"/>
    <cellStyle name="Normal 2 4 5 3 2 7 2" xfId="13150" xr:uid="{2696E028-079D-437A-B5C8-15088CF3E334}"/>
    <cellStyle name="Normal 2 4 5 3 2 8" xfId="8932" xr:uid="{C1F62F99-0E7B-457D-8564-1ADDB26E8AEC}"/>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CF4121A5-0785-4602-B6A3-BE46F5D37DB8}"/>
    <cellStyle name="Normal 2 4 5 3 3 2 3" xfId="11490" xr:uid="{0EE68498-0391-4477-B541-C6EDE0803581}"/>
    <cellStyle name="Normal 2 4 5 3 3 3" xfId="5113" xr:uid="{00000000-0005-0000-0000-00009E100000}"/>
    <cellStyle name="Normal 2 4 5 3 3 3 2" xfId="13563" xr:uid="{9F5D6BDB-6C3A-4A0B-A70C-A351A5A79CA4}"/>
    <cellStyle name="Normal 2 4 5 3 3 4" xfId="9345" xr:uid="{D671563E-067E-4ED2-8231-6847DFBA7757}"/>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B905679E-9CD2-4544-8D9D-25BF38F82F3C}"/>
    <cellStyle name="Normal 2 4 5 3 4 2 3" xfId="11903" xr:uid="{5E9B0D8B-BC31-4F42-AAA5-CF27201510FE}"/>
    <cellStyle name="Normal 2 4 5 3 4 3" xfId="5526" xr:uid="{00000000-0005-0000-0000-0000A2100000}"/>
    <cellStyle name="Normal 2 4 5 3 4 3 2" xfId="13976" xr:uid="{39A09E99-7016-44C7-BF1C-E1B1E92D6DFC}"/>
    <cellStyle name="Normal 2 4 5 3 4 4" xfId="9758" xr:uid="{0D870E3B-C775-4FA5-A239-DFF5945F3933}"/>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2A67F654-2BB6-499C-8903-AD9B480C8C73}"/>
    <cellStyle name="Normal 2 4 5 3 5 2 3" xfId="12316" xr:uid="{D341DBAB-2F50-4C8C-A469-0A906FBFF36E}"/>
    <cellStyle name="Normal 2 4 5 3 5 3" xfId="5939" xr:uid="{00000000-0005-0000-0000-0000A6100000}"/>
    <cellStyle name="Normal 2 4 5 3 5 3 2" xfId="14389" xr:uid="{8FC141C7-7E11-4C7E-8726-FFDA8947B8C7}"/>
    <cellStyle name="Normal 2 4 5 3 5 4" xfId="10171" xr:uid="{271B124A-94BE-431C-8A5A-D197DFF1533A}"/>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CC83A460-421D-436F-ACA6-8EB5F2F20793}"/>
    <cellStyle name="Normal 2 4 5 3 6 2 3" xfId="12729" xr:uid="{9B63FC6E-4CFA-4A55-96C3-F917255FE981}"/>
    <cellStyle name="Normal 2 4 5 3 6 3" xfId="6352" xr:uid="{00000000-0005-0000-0000-0000AA100000}"/>
    <cellStyle name="Normal 2 4 5 3 6 3 2" xfId="14802" xr:uid="{3EBA4AB1-224C-41D5-8EC2-822A983F521C}"/>
    <cellStyle name="Normal 2 4 5 3 6 4" xfId="10584" xr:uid="{043815D3-4C86-4BC9-97B7-DAD3431EE489}"/>
    <cellStyle name="Normal 2 4 5 3 7" xfId="2482" xr:uid="{00000000-0005-0000-0000-0000AB100000}"/>
    <cellStyle name="Normal 2 4 5 3 7 2" xfId="6765" xr:uid="{00000000-0005-0000-0000-0000AC100000}"/>
    <cellStyle name="Normal 2 4 5 3 7 2 2" xfId="15215" xr:uid="{30713F01-4EB3-4692-A9DF-DC0C3DD53B33}"/>
    <cellStyle name="Normal 2 4 5 3 7 3" xfId="10997" xr:uid="{B4866FE8-5CEF-4EC1-9CC3-1666430536DD}"/>
    <cellStyle name="Normal 2 4 5 3 8" xfId="4699" xr:uid="{00000000-0005-0000-0000-0000AD100000}"/>
    <cellStyle name="Normal 2 4 5 3 8 2" xfId="13149" xr:uid="{5336DA9B-3052-4857-A7DC-52AAC56F144C}"/>
    <cellStyle name="Normal 2 4 5 3 9" xfId="8931" xr:uid="{0214BFAA-CD63-4A01-8FD6-13303B3AADBA}"/>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6E1A03FD-FE12-4BA0-A56A-3CB12BA55720}"/>
    <cellStyle name="Normal 2 4 5 4 2 2 3" xfId="11492" xr:uid="{50702CF7-9192-4B17-8575-7DBB6AF7F4B2}"/>
    <cellStyle name="Normal 2 4 5 4 2 3" xfId="5115" xr:uid="{00000000-0005-0000-0000-0000B2100000}"/>
    <cellStyle name="Normal 2 4 5 4 2 3 2" xfId="13565" xr:uid="{CBDFB4AC-15CE-4C44-A25A-0B1277B98C5E}"/>
    <cellStyle name="Normal 2 4 5 4 2 4" xfId="9347" xr:uid="{E24A251B-8D6E-4581-983A-F1201F335D13}"/>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AB0F3F95-A88A-434F-ABBC-6E4F905AE984}"/>
    <cellStyle name="Normal 2 4 5 4 3 2 3" xfId="11905" xr:uid="{1C59BC97-065F-4EE5-B5A6-B93B3442FA77}"/>
    <cellStyle name="Normal 2 4 5 4 3 3" xfId="5528" xr:uid="{00000000-0005-0000-0000-0000B6100000}"/>
    <cellStyle name="Normal 2 4 5 4 3 3 2" xfId="13978" xr:uid="{4B0CDB15-0158-426D-ABE3-F5A2E20B7C3A}"/>
    <cellStyle name="Normal 2 4 5 4 3 4" xfId="9760" xr:uid="{DE98EAC3-B8E8-4521-B9A8-57B1D9A2BC14}"/>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A8675C99-106A-4CE6-BE32-A73E1D284982}"/>
    <cellStyle name="Normal 2 4 5 4 4 2 3" xfId="12318" xr:uid="{CE1259E5-68D4-4D94-AD6E-F64DF75F72C7}"/>
    <cellStyle name="Normal 2 4 5 4 4 3" xfId="5941" xr:uid="{00000000-0005-0000-0000-0000BA100000}"/>
    <cellStyle name="Normal 2 4 5 4 4 3 2" xfId="14391" xr:uid="{56F6E883-795C-4775-8537-1DB50B76C4BB}"/>
    <cellStyle name="Normal 2 4 5 4 4 4" xfId="10173" xr:uid="{2C9290C2-AA67-49B0-9468-45ECBE8EF343}"/>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A303817F-49A3-4454-99EA-A3D623960DAD}"/>
    <cellStyle name="Normal 2 4 5 4 5 2 3" xfId="12731" xr:uid="{62F99FDC-1910-4D3D-A650-2829EB7A3FD2}"/>
    <cellStyle name="Normal 2 4 5 4 5 3" xfId="6354" xr:uid="{00000000-0005-0000-0000-0000BE100000}"/>
    <cellStyle name="Normal 2 4 5 4 5 3 2" xfId="14804" xr:uid="{3A333A4D-2BBA-4F4B-8EAA-37E4013E8465}"/>
    <cellStyle name="Normal 2 4 5 4 5 4" xfId="10586" xr:uid="{25456303-CC8A-4BC7-A7E5-65FD933F17D9}"/>
    <cellStyle name="Normal 2 4 5 4 6" xfId="2484" xr:uid="{00000000-0005-0000-0000-0000BF100000}"/>
    <cellStyle name="Normal 2 4 5 4 6 2" xfId="6767" xr:uid="{00000000-0005-0000-0000-0000C0100000}"/>
    <cellStyle name="Normal 2 4 5 4 6 2 2" xfId="15217" xr:uid="{84A7F531-1DD4-4510-A7D9-8B338C83ED0D}"/>
    <cellStyle name="Normal 2 4 5 4 6 3" xfId="10999" xr:uid="{88B53B30-07F2-48F4-A1E9-7CD596D62732}"/>
    <cellStyle name="Normal 2 4 5 4 7" xfId="4701" xr:uid="{00000000-0005-0000-0000-0000C1100000}"/>
    <cellStyle name="Normal 2 4 5 4 7 2" xfId="13151" xr:uid="{2FDF5C5E-89E1-4074-BFFB-3580AB23B828}"/>
    <cellStyle name="Normal 2 4 5 4 8" xfId="8933" xr:uid="{DB17E86A-58AF-4DCA-8E1D-63997CBF0BFF}"/>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DEB4B746-A159-4783-AB73-75B2441C5FC0}"/>
    <cellStyle name="Normal 2 4 5 5 2 3" xfId="11485" xr:uid="{9C3DF326-49C0-4523-A479-1F33341D09A7}"/>
    <cellStyle name="Normal 2 4 5 5 3" xfId="5108" xr:uid="{00000000-0005-0000-0000-0000C5100000}"/>
    <cellStyle name="Normal 2 4 5 5 3 2" xfId="13558" xr:uid="{E93C276A-8D0C-4597-821C-3CF0A64C59B3}"/>
    <cellStyle name="Normal 2 4 5 5 4" xfId="9340" xr:uid="{D66EECC7-9299-468C-9402-A02FAC1E1C49}"/>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FEB12445-0BC8-4584-BDB1-7B0124D91751}"/>
    <cellStyle name="Normal 2 4 5 6 2 3" xfId="11898" xr:uid="{A17E601D-4110-49B2-91E4-499910EBF6F3}"/>
    <cellStyle name="Normal 2 4 5 6 3" xfId="5521" xr:uid="{00000000-0005-0000-0000-0000C9100000}"/>
    <cellStyle name="Normal 2 4 5 6 3 2" xfId="13971" xr:uid="{99797B2A-A056-43E8-B4B8-D957B9CA13CD}"/>
    <cellStyle name="Normal 2 4 5 6 4" xfId="9753" xr:uid="{1978707A-FEC7-49B7-B1D2-130B0BEC16DE}"/>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0643E414-110B-4F88-8EE3-71ABF428C6D1}"/>
    <cellStyle name="Normal 2 4 5 7 2 3" xfId="12311" xr:uid="{903C3D55-6ED5-479E-8344-64F70AFCA0B4}"/>
    <cellStyle name="Normal 2 4 5 7 3" xfId="5934" xr:uid="{00000000-0005-0000-0000-0000CD100000}"/>
    <cellStyle name="Normal 2 4 5 7 3 2" xfId="14384" xr:uid="{5A0026A5-8A8B-420C-9F5A-CE3D9E1D413B}"/>
    <cellStyle name="Normal 2 4 5 7 4" xfId="10166" xr:uid="{7CFB00EF-56ED-4EB7-A791-8C43B6170552}"/>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127A1D39-CC8B-4D8D-9FBE-186EBDB53555}"/>
    <cellStyle name="Normal 2 4 5 8 2 3" xfId="12724" xr:uid="{906A4F0D-E48B-4D72-B8F1-7FCAC44266AC}"/>
    <cellStyle name="Normal 2 4 5 8 3" xfId="6347" xr:uid="{00000000-0005-0000-0000-0000D1100000}"/>
    <cellStyle name="Normal 2 4 5 8 3 2" xfId="14797" xr:uid="{82545DCA-ECD2-4CD3-9196-6CEC31FC78A9}"/>
    <cellStyle name="Normal 2 4 5 8 4" xfId="10579" xr:uid="{0B52316F-A1D8-4B3F-8C30-21ABC2217E5F}"/>
    <cellStyle name="Normal 2 4 5 9" xfId="2477" xr:uid="{00000000-0005-0000-0000-0000D2100000}"/>
    <cellStyle name="Normal 2 4 5 9 2" xfId="6760" xr:uid="{00000000-0005-0000-0000-0000D3100000}"/>
    <cellStyle name="Normal 2 4 5 9 2 2" xfId="15210" xr:uid="{3435214A-79EE-4360-8AF9-111C6A2950AC}"/>
    <cellStyle name="Normal 2 4 5 9 3" xfId="10992" xr:uid="{8EC4D60F-C191-4F99-AD87-F63B336C4937}"/>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14F63D54-C142-456E-BE8B-5286D325D6ED}"/>
    <cellStyle name="Normal 2 4 7 2 2 2 3" xfId="11494" xr:uid="{76047192-7B6C-4701-9763-C26AA5802C50}"/>
    <cellStyle name="Normal 2 4 7 2 2 3" xfId="5117" xr:uid="{00000000-0005-0000-0000-0000DA100000}"/>
    <cellStyle name="Normal 2 4 7 2 2 3 2" xfId="13567" xr:uid="{595E36AF-DF8A-496F-AC6F-A2B6A2E692C5}"/>
    <cellStyle name="Normal 2 4 7 2 2 4" xfId="9349" xr:uid="{FEE7DCD9-0B42-439A-9F35-3F2300B5484E}"/>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AE31625C-4B9A-482F-A812-E7A2C4452515}"/>
    <cellStyle name="Normal 2 4 7 2 3 2 3" xfId="11907" xr:uid="{0446DA79-8115-4513-B06B-D9254EDFFE23}"/>
    <cellStyle name="Normal 2 4 7 2 3 3" xfId="5530" xr:uid="{00000000-0005-0000-0000-0000DE100000}"/>
    <cellStyle name="Normal 2 4 7 2 3 3 2" xfId="13980" xr:uid="{65269F1F-2F79-4D01-8040-C1AC6A01F0DE}"/>
    <cellStyle name="Normal 2 4 7 2 3 4" xfId="9762" xr:uid="{12F0291C-9EB2-4D06-A431-878324440386}"/>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303209D6-274F-4643-A12A-DAE2A26366F9}"/>
    <cellStyle name="Normal 2 4 7 2 4 2 3" xfId="12320" xr:uid="{5363E1AC-73BD-4E4C-A1B6-8CCE3F34070E}"/>
    <cellStyle name="Normal 2 4 7 2 4 3" xfId="5943" xr:uid="{00000000-0005-0000-0000-0000E2100000}"/>
    <cellStyle name="Normal 2 4 7 2 4 3 2" xfId="14393" xr:uid="{2092372F-DC80-46ED-A27E-C23461363E58}"/>
    <cellStyle name="Normal 2 4 7 2 4 4" xfId="10175" xr:uid="{408472C2-9133-4FB5-A2B3-D2BDA61646D5}"/>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88DDF33D-D4B6-47A3-9024-E0689C2B4868}"/>
    <cellStyle name="Normal 2 4 7 2 5 2 3" xfId="12733" xr:uid="{48EA0A12-6765-485E-B9BB-0069CD7AC7A6}"/>
    <cellStyle name="Normal 2 4 7 2 5 3" xfId="6356" xr:uid="{00000000-0005-0000-0000-0000E6100000}"/>
    <cellStyle name="Normal 2 4 7 2 5 3 2" xfId="14806" xr:uid="{9191DE0D-9C01-4894-B816-77097EAFC4DA}"/>
    <cellStyle name="Normal 2 4 7 2 5 4" xfId="10588" xr:uid="{502B9E7B-D3DC-4CFE-BB60-E8A816BC2769}"/>
    <cellStyle name="Normal 2 4 7 2 6" xfId="2486" xr:uid="{00000000-0005-0000-0000-0000E7100000}"/>
    <cellStyle name="Normal 2 4 7 2 6 2" xfId="6769" xr:uid="{00000000-0005-0000-0000-0000E8100000}"/>
    <cellStyle name="Normal 2 4 7 2 6 2 2" xfId="15219" xr:uid="{AA5F5025-ACB7-4DCA-B7FA-26471242F0D4}"/>
    <cellStyle name="Normal 2 4 7 2 6 3" xfId="11001" xr:uid="{3BB4ED46-A99E-4429-8C60-0058235FEB61}"/>
    <cellStyle name="Normal 2 4 7 2 7" xfId="4703" xr:uid="{00000000-0005-0000-0000-0000E9100000}"/>
    <cellStyle name="Normal 2 4 7 2 7 2" xfId="13153" xr:uid="{3D77A6AA-5AD9-4409-92A5-08CDEACA5D4E}"/>
    <cellStyle name="Normal 2 4 7 2 8" xfId="8935" xr:uid="{30BA2788-11F9-488A-B3DF-50C3AA228312}"/>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22C56D62-731E-43C1-88B8-041320F39EBF}"/>
    <cellStyle name="Normal 2 4 7 3 2 3" xfId="11493" xr:uid="{3C287C2E-5C21-454D-A796-F688407BA556}"/>
    <cellStyle name="Normal 2 4 7 3 3" xfId="5116" xr:uid="{00000000-0005-0000-0000-0000ED100000}"/>
    <cellStyle name="Normal 2 4 7 3 3 2" xfId="13566" xr:uid="{0E4BA96B-85F0-4A58-BB6E-EF2B6FEA63BD}"/>
    <cellStyle name="Normal 2 4 7 3 4" xfId="9348" xr:uid="{2A949293-17E9-4327-AD08-03C3FEFB7539}"/>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3EC4AFBD-E5FA-45A2-84B7-E05626B8A962}"/>
    <cellStyle name="Normal 2 4 7 4 2 3" xfId="11906" xr:uid="{ED32ADE0-1A6A-4059-A8C1-93A7B215E3F1}"/>
    <cellStyle name="Normal 2 4 7 4 3" xfId="5529" xr:uid="{00000000-0005-0000-0000-0000F1100000}"/>
    <cellStyle name="Normal 2 4 7 4 3 2" xfId="13979" xr:uid="{CA685E07-8C68-4911-88A0-A94BF7259912}"/>
    <cellStyle name="Normal 2 4 7 4 4" xfId="9761" xr:uid="{370A2B4F-97D4-4B09-95D7-386C10A6778C}"/>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0C3E440F-23BE-448C-B8AE-7DD908CE025D}"/>
    <cellStyle name="Normal 2 4 7 5 2 3" xfId="12319" xr:uid="{A36ED6A4-5ACB-421D-8C53-D43D48156855}"/>
    <cellStyle name="Normal 2 4 7 5 3" xfId="5942" xr:uid="{00000000-0005-0000-0000-0000F5100000}"/>
    <cellStyle name="Normal 2 4 7 5 3 2" xfId="14392" xr:uid="{91678CD9-1D1D-4D7E-ABA5-BD999C211476}"/>
    <cellStyle name="Normal 2 4 7 5 4" xfId="10174" xr:uid="{4C91F58E-C583-42AE-8B2F-E7350E5F9AF9}"/>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CBF42F27-B1CD-4674-818C-2F5924E16D9C}"/>
    <cellStyle name="Normal 2 4 7 6 2 3" xfId="12732" xr:uid="{3AAD5B39-81AE-4E7B-B49E-80FDA19CE76E}"/>
    <cellStyle name="Normal 2 4 7 6 3" xfId="6355" xr:uid="{00000000-0005-0000-0000-0000F9100000}"/>
    <cellStyle name="Normal 2 4 7 6 3 2" xfId="14805" xr:uid="{3C31D0EF-8CB7-4441-B790-DE86382F070C}"/>
    <cellStyle name="Normal 2 4 7 6 4" xfId="10587" xr:uid="{6F317736-344F-49C0-B7D3-9195E0ADAA96}"/>
    <cellStyle name="Normal 2 4 7 7" xfId="2485" xr:uid="{00000000-0005-0000-0000-0000FA100000}"/>
    <cellStyle name="Normal 2 4 7 7 2" xfId="6768" xr:uid="{00000000-0005-0000-0000-0000FB100000}"/>
    <cellStyle name="Normal 2 4 7 7 2 2" xfId="15218" xr:uid="{63E2BC79-5938-461B-95EF-0611386F7FCA}"/>
    <cellStyle name="Normal 2 4 7 7 3" xfId="11000" xr:uid="{216A7DE2-0411-4DA7-9E7B-576B2008BFFA}"/>
    <cellStyle name="Normal 2 4 7 8" xfId="4702" xr:uid="{00000000-0005-0000-0000-0000FC100000}"/>
    <cellStyle name="Normal 2 4 7 8 2" xfId="13152" xr:uid="{BD17FAC7-74E9-49AA-8967-E3F86557CFC4}"/>
    <cellStyle name="Normal 2 4 7 9" xfId="8934" xr:uid="{63DACE7E-BB17-4D6C-807E-6E1ABF3DEE8B}"/>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93493399-5741-45C5-B4B2-ED000B8A2499}"/>
    <cellStyle name="Normal 2 4 8 2 2 3" xfId="11495" xr:uid="{1BE96321-8955-4D1C-8836-01DB7A8472C7}"/>
    <cellStyle name="Normal 2 4 8 2 3" xfId="5118" xr:uid="{00000000-0005-0000-0000-000001110000}"/>
    <cellStyle name="Normal 2 4 8 2 3 2" xfId="13568" xr:uid="{F3F64D40-66CB-49A0-878D-2BF5FB984B62}"/>
    <cellStyle name="Normal 2 4 8 2 4" xfId="9350" xr:uid="{4AE7F788-0B26-49FB-A8B9-56528C8C6D78}"/>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D530B367-3808-442E-9D9F-4D759F79B1F4}"/>
    <cellStyle name="Normal 2 4 8 3 2 3" xfId="11908" xr:uid="{BF4A9B3C-75EE-46CB-AF62-D1DA21116B69}"/>
    <cellStyle name="Normal 2 4 8 3 3" xfId="5531" xr:uid="{00000000-0005-0000-0000-000005110000}"/>
    <cellStyle name="Normal 2 4 8 3 3 2" xfId="13981" xr:uid="{C960CAD7-190C-4E40-B0F5-5FF9826E0D48}"/>
    <cellStyle name="Normal 2 4 8 3 4" xfId="9763" xr:uid="{61ACE0BB-D275-4C36-A580-6ED80386B3B2}"/>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4C6218D5-2571-465F-AD85-D775FCB55EDB}"/>
    <cellStyle name="Normal 2 4 8 4 2 3" xfId="12321" xr:uid="{38E71A1D-4333-45FE-B15E-87EBFBBB07C8}"/>
    <cellStyle name="Normal 2 4 8 4 3" xfId="5944" xr:uid="{00000000-0005-0000-0000-000009110000}"/>
    <cellStyle name="Normal 2 4 8 4 3 2" xfId="14394" xr:uid="{9870FAF6-4523-4416-B095-70D65104D12A}"/>
    <cellStyle name="Normal 2 4 8 4 4" xfId="10176" xr:uid="{EED94B90-DCC4-4075-A369-202D93EAD93A}"/>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2F0B7824-3ACC-4EBD-A041-9E24B8239832}"/>
    <cellStyle name="Normal 2 4 8 5 2 3" xfId="12734" xr:uid="{CDD26A43-30FE-45AD-927F-14C2A35F1DC3}"/>
    <cellStyle name="Normal 2 4 8 5 3" xfId="6357" xr:uid="{00000000-0005-0000-0000-00000D110000}"/>
    <cellStyle name="Normal 2 4 8 5 3 2" xfId="14807" xr:uid="{45AD06D9-2709-4095-90A4-79CE50AD63EA}"/>
    <cellStyle name="Normal 2 4 8 5 4" xfId="10589" xr:uid="{A2634A6A-895C-4090-895B-F83ADC6F8008}"/>
    <cellStyle name="Normal 2 4 8 6" xfId="2487" xr:uid="{00000000-0005-0000-0000-00000E110000}"/>
    <cellStyle name="Normal 2 4 8 6 2" xfId="6770" xr:uid="{00000000-0005-0000-0000-00000F110000}"/>
    <cellStyle name="Normal 2 4 8 6 2 2" xfId="15220" xr:uid="{0A11931B-E003-42F2-8AED-D2234A396810}"/>
    <cellStyle name="Normal 2 4 8 6 3" xfId="11002" xr:uid="{74CBCA88-3B22-47E3-B2BB-1EA2EFEE4BFA}"/>
    <cellStyle name="Normal 2 4 8 7" xfId="4704" xr:uid="{00000000-0005-0000-0000-000010110000}"/>
    <cellStyle name="Normal 2 4 8 7 2" xfId="13154" xr:uid="{48F3A437-5DC6-4F70-A37C-C961B9AF492B}"/>
    <cellStyle name="Normal 2 4 8 8" xfId="8936" xr:uid="{BEDE763A-8122-4F94-82CC-3AAA3EB724D1}"/>
    <cellStyle name="Normal 2 5" xfId="315" xr:uid="{00000000-0005-0000-0000-000011110000}"/>
    <cellStyle name="Normal 2 5 10" xfId="4705" xr:uid="{00000000-0005-0000-0000-000012110000}"/>
    <cellStyle name="Normal 2 5 10 2" xfId="13155" xr:uid="{B2733C35-44E3-4080-BAEA-06F1FAC3935F}"/>
    <cellStyle name="Normal 2 5 11" xfId="8937" xr:uid="{8FD1587C-C868-4E1A-93E2-6EA4EF6B4840}"/>
    <cellStyle name="Normal 2 5 2" xfId="316" xr:uid="{00000000-0005-0000-0000-000013110000}"/>
    <cellStyle name="Normal 2 5 3" xfId="317" xr:uid="{00000000-0005-0000-0000-000014110000}"/>
    <cellStyle name="Normal 2 5 4" xfId="318" xr:uid="{00000000-0005-0000-0000-000015110000}"/>
    <cellStyle name="Normal 2 5 4 10" xfId="8938" xr:uid="{3F362C3A-C22D-49D5-9F87-D4CF18F5FCD8}"/>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08643E11-1143-4AD5-AC92-977FBD6344BB}"/>
    <cellStyle name="Normal 2 5 4 2 2 2 2 3" xfId="11499" xr:uid="{9157EA6E-DF2C-4062-9D34-2A3B344927D2}"/>
    <cellStyle name="Normal 2 5 4 2 2 2 3" xfId="5122" xr:uid="{00000000-0005-0000-0000-00001B110000}"/>
    <cellStyle name="Normal 2 5 4 2 2 2 3 2" xfId="13572" xr:uid="{6B6BBB59-DABB-4DC8-89DE-FD9B11153A23}"/>
    <cellStyle name="Normal 2 5 4 2 2 2 4" xfId="9354" xr:uid="{B5F1AF0F-18F4-4B00-BC1A-A63CEA412C84}"/>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7B1B0151-020A-46BF-9571-6AEBEB17DD8A}"/>
    <cellStyle name="Normal 2 5 4 2 2 3 2 3" xfId="11912" xr:uid="{182D4F02-6CD1-423D-B2B1-5F1B8299EA87}"/>
    <cellStyle name="Normal 2 5 4 2 2 3 3" xfId="5535" xr:uid="{00000000-0005-0000-0000-00001F110000}"/>
    <cellStyle name="Normal 2 5 4 2 2 3 3 2" xfId="13985" xr:uid="{6A1F138D-07A9-49E4-ADEC-52DB294510BA}"/>
    <cellStyle name="Normal 2 5 4 2 2 3 4" xfId="9767" xr:uid="{F9FF7C5B-6F45-4E43-A910-A619A7135BD5}"/>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BDCEA2EF-2991-41C9-8EC5-28BC28EE6094}"/>
    <cellStyle name="Normal 2 5 4 2 2 4 2 3" xfId="12325" xr:uid="{1C5D92A0-5679-4AB8-A977-35B1D04CA7EB}"/>
    <cellStyle name="Normal 2 5 4 2 2 4 3" xfId="5948" xr:uid="{00000000-0005-0000-0000-000023110000}"/>
    <cellStyle name="Normal 2 5 4 2 2 4 3 2" xfId="14398" xr:uid="{09402C20-396D-4906-898F-3F5A672FEE9A}"/>
    <cellStyle name="Normal 2 5 4 2 2 4 4" xfId="10180" xr:uid="{493549A6-4C87-4E47-A911-878F65D71186}"/>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2126A11C-57A2-4C82-A7E3-07C830F3F722}"/>
    <cellStyle name="Normal 2 5 4 2 2 5 2 3" xfId="12738" xr:uid="{C54FABA7-6E14-4ABF-B565-2DC61E1A712D}"/>
    <cellStyle name="Normal 2 5 4 2 2 5 3" xfId="6361" xr:uid="{00000000-0005-0000-0000-000027110000}"/>
    <cellStyle name="Normal 2 5 4 2 2 5 3 2" xfId="14811" xr:uid="{63200745-08AB-4287-BECE-F6443B9204CA}"/>
    <cellStyle name="Normal 2 5 4 2 2 5 4" xfId="10593" xr:uid="{F9B16058-6FC0-468F-B5EC-649A85B2FFCA}"/>
    <cellStyle name="Normal 2 5 4 2 2 6" xfId="2491" xr:uid="{00000000-0005-0000-0000-000028110000}"/>
    <cellStyle name="Normal 2 5 4 2 2 6 2" xfId="6774" xr:uid="{00000000-0005-0000-0000-000029110000}"/>
    <cellStyle name="Normal 2 5 4 2 2 6 2 2" xfId="15224" xr:uid="{17A1B18A-C472-4E56-B744-BBF5A097EE02}"/>
    <cellStyle name="Normal 2 5 4 2 2 6 3" xfId="11006" xr:uid="{D53E172E-46D7-4CB2-B0ED-334BCF4C4701}"/>
    <cellStyle name="Normal 2 5 4 2 2 7" xfId="4708" xr:uid="{00000000-0005-0000-0000-00002A110000}"/>
    <cellStyle name="Normal 2 5 4 2 2 7 2" xfId="13158" xr:uid="{F2C71B88-4A24-4B6A-95FD-8F95C602D9D5}"/>
    <cellStyle name="Normal 2 5 4 2 2 8" xfId="8940" xr:uid="{BF43630B-1EF9-48F5-978F-DE3A01AB42A1}"/>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72C80F09-D50B-4975-AC68-80781228D88D}"/>
    <cellStyle name="Normal 2 5 4 2 3 2 3" xfId="11498" xr:uid="{EBDFB4BA-CF6D-4D0B-91F8-EF3472B83404}"/>
    <cellStyle name="Normal 2 5 4 2 3 3" xfId="5121" xr:uid="{00000000-0005-0000-0000-00002E110000}"/>
    <cellStyle name="Normal 2 5 4 2 3 3 2" xfId="13571" xr:uid="{6E6F7713-10CE-4A4D-B075-B64952B45411}"/>
    <cellStyle name="Normal 2 5 4 2 3 4" xfId="9353" xr:uid="{3A4C9BB7-09A1-4C90-84D0-69AAC03CA01B}"/>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62525DDF-8D5E-4665-8432-CF295F4B71B0}"/>
    <cellStyle name="Normal 2 5 4 2 4 2 3" xfId="11911" xr:uid="{2F60C3EE-A5D1-4C37-B371-8403EF26FF4E}"/>
    <cellStyle name="Normal 2 5 4 2 4 3" xfId="5534" xr:uid="{00000000-0005-0000-0000-000032110000}"/>
    <cellStyle name="Normal 2 5 4 2 4 3 2" xfId="13984" xr:uid="{4F601857-56FC-453F-B172-5346CFC105EF}"/>
    <cellStyle name="Normal 2 5 4 2 4 4" xfId="9766" xr:uid="{9EF54F7B-2B11-4C70-BC14-5F955BDCCD75}"/>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19B1701C-B4E2-4233-8057-C8B67D6463FB}"/>
    <cellStyle name="Normal 2 5 4 2 5 2 3" xfId="12324" xr:uid="{3D360756-0005-46E5-816A-54AC5FAFAF00}"/>
    <cellStyle name="Normal 2 5 4 2 5 3" xfId="5947" xr:uid="{00000000-0005-0000-0000-000036110000}"/>
    <cellStyle name="Normal 2 5 4 2 5 3 2" xfId="14397" xr:uid="{FBF19F1F-6721-4D7F-8EDC-9C5C284CBDDC}"/>
    <cellStyle name="Normal 2 5 4 2 5 4" xfId="10179" xr:uid="{4E7B7EBD-3E8B-4B86-A519-73F28FAB7D9F}"/>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C52190CF-178A-44A4-9018-DE78DE662A53}"/>
    <cellStyle name="Normal 2 5 4 2 6 2 3" xfId="12737" xr:uid="{8AB38885-0B37-4544-9CFE-D1D58F527736}"/>
    <cellStyle name="Normal 2 5 4 2 6 3" xfId="6360" xr:uid="{00000000-0005-0000-0000-00003A110000}"/>
    <cellStyle name="Normal 2 5 4 2 6 3 2" xfId="14810" xr:uid="{F6812CF9-B952-4CE7-B93A-CC98E44990C9}"/>
    <cellStyle name="Normal 2 5 4 2 6 4" xfId="10592" xr:uid="{3385C861-49BE-43DD-98E8-13618B206C20}"/>
    <cellStyle name="Normal 2 5 4 2 7" xfId="2490" xr:uid="{00000000-0005-0000-0000-00003B110000}"/>
    <cellStyle name="Normal 2 5 4 2 7 2" xfId="6773" xr:uid="{00000000-0005-0000-0000-00003C110000}"/>
    <cellStyle name="Normal 2 5 4 2 7 2 2" xfId="15223" xr:uid="{BE8FF5B4-ABAD-4428-BB34-E9D5B9C46C92}"/>
    <cellStyle name="Normal 2 5 4 2 7 3" xfId="11005" xr:uid="{C29D3964-58BC-4A1E-9372-05D9820F0EC1}"/>
    <cellStyle name="Normal 2 5 4 2 8" xfId="4707" xr:uid="{00000000-0005-0000-0000-00003D110000}"/>
    <cellStyle name="Normal 2 5 4 2 8 2" xfId="13157" xr:uid="{25CF0793-7F9A-4E59-8695-4BAAD1133CBA}"/>
    <cellStyle name="Normal 2 5 4 2 9" xfId="8939" xr:uid="{2A348301-3899-444A-B95D-CE50904ABD86}"/>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60249F00-A430-4368-A302-E9B226167010}"/>
    <cellStyle name="Normal 2 5 4 3 2 2 3" xfId="11500" xr:uid="{457DC816-97BA-4AEA-BEC9-1D970E7A8DC9}"/>
    <cellStyle name="Normal 2 5 4 3 2 3" xfId="5123" xr:uid="{00000000-0005-0000-0000-000042110000}"/>
    <cellStyle name="Normal 2 5 4 3 2 3 2" xfId="13573" xr:uid="{2341E6AF-F0DD-4D68-8D2D-663920F63D1F}"/>
    <cellStyle name="Normal 2 5 4 3 2 4" xfId="9355" xr:uid="{C8779A33-48E6-47FE-9E98-BA6577186755}"/>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73D3F372-B3BB-4705-8F8E-1C2BAE5448E1}"/>
    <cellStyle name="Normal 2 5 4 3 3 2 3" xfId="11913" xr:uid="{9DD9B663-29BB-498F-982B-0298995FE2A3}"/>
    <cellStyle name="Normal 2 5 4 3 3 3" xfId="5536" xr:uid="{00000000-0005-0000-0000-000046110000}"/>
    <cellStyle name="Normal 2 5 4 3 3 3 2" xfId="13986" xr:uid="{F9A8E7FA-FB79-4C7D-B7F5-4D255C43279A}"/>
    <cellStyle name="Normal 2 5 4 3 3 4" xfId="9768" xr:uid="{777C9BBB-74A0-44F0-BF1B-BEBC6142362C}"/>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0340C709-6977-4D3F-A89C-5C213FFDE958}"/>
    <cellStyle name="Normal 2 5 4 3 4 2 3" xfId="12326" xr:uid="{10677FBA-5118-4841-9C99-DC9782CA875B}"/>
    <cellStyle name="Normal 2 5 4 3 4 3" xfId="5949" xr:uid="{00000000-0005-0000-0000-00004A110000}"/>
    <cellStyle name="Normal 2 5 4 3 4 3 2" xfId="14399" xr:uid="{EB6A3DDB-4F49-4051-B614-2430891ACB4A}"/>
    <cellStyle name="Normal 2 5 4 3 4 4" xfId="10181" xr:uid="{DE481F88-D831-4E07-8C1C-34066D302972}"/>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797E9690-F25D-426B-AD8C-2AD54BF2FAB6}"/>
    <cellStyle name="Normal 2 5 4 3 5 2 3" xfId="12739" xr:uid="{0FC71E4B-5D79-44D6-AECE-5E13B83BF392}"/>
    <cellStyle name="Normal 2 5 4 3 5 3" xfId="6362" xr:uid="{00000000-0005-0000-0000-00004E110000}"/>
    <cellStyle name="Normal 2 5 4 3 5 3 2" xfId="14812" xr:uid="{36F467A7-B0C1-4E57-8A4A-D66F33334B09}"/>
    <cellStyle name="Normal 2 5 4 3 5 4" xfId="10594" xr:uid="{F0D329BA-10B0-423F-981D-D3E47CE47245}"/>
    <cellStyle name="Normal 2 5 4 3 6" xfId="2492" xr:uid="{00000000-0005-0000-0000-00004F110000}"/>
    <cellStyle name="Normal 2 5 4 3 6 2" xfId="6775" xr:uid="{00000000-0005-0000-0000-000050110000}"/>
    <cellStyle name="Normal 2 5 4 3 6 2 2" xfId="15225" xr:uid="{E67D98A5-C968-4744-936D-5279C0BCB458}"/>
    <cellStyle name="Normal 2 5 4 3 6 3" xfId="11007" xr:uid="{E20DDFF1-92F2-4351-AA5F-4320B5B850D7}"/>
    <cellStyle name="Normal 2 5 4 3 7" xfId="4709" xr:uid="{00000000-0005-0000-0000-000051110000}"/>
    <cellStyle name="Normal 2 5 4 3 7 2" xfId="13159" xr:uid="{3D5AB2CA-0BEF-4374-A17D-119E7206325A}"/>
    <cellStyle name="Normal 2 5 4 3 8" xfId="8941" xr:uid="{C30B0A3D-B27C-40B8-B95B-5291C92CCFA8}"/>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FE7D469C-87E6-4896-80A9-90886FE0D70E}"/>
    <cellStyle name="Normal 2 5 4 4 2 3" xfId="11497" xr:uid="{14EC15DF-69FA-48B5-80CB-F4A2036F76EE}"/>
    <cellStyle name="Normal 2 5 4 4 3" xfId="5120" xr:uid="{00000000-0005-0000-0000-000055110000}"/>
    <cellStyle name="Normal 2 5 4 4 3 2" xfId="13570" xr:uid="{590AD667-25C2-4896-BEFF-0B0BD6BF5F60}"/>
    <cellStyle name="Normal 2 5 4 4 4" xfId="9352" xr:uid="{4C27487B-5F3A-4AA8-B20B-1076B239A78A}"/>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5A1EA9C4-2E09-405A-989E-A3F4FCEE4ADA}"/>
    <cellStyle name="Normal 2 5 4 5 2 3" xfId="11910" xr:uid="{3759DB30-9454-457F-A56A-4D81C246A87C}"/>
    <cellStyle name="Normal 2 5 4 5 3" xfId="5533" xr:uid="{00000000-0005-0000-0000-000059110000}"/>
    <cellStyle name="Normal 2 5 4 5 3 2" xfId="13983" xr:uid="{8FB81AD5-5767-4312-9407-7043D5DE833F}"/>
    <cellStyle name="Normal 2 5 4 5 4" xfId="9765" xr:uid="{E648F069-034D-4642-929C-A70E36E01DD8}"/>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A3386FC1-0979-43C6-8BC0-0A3002A41B0E}"/>
    <cellStyle name="Normal 2 5 4 6 2 3" xfId="12323" xr:uid="{61445EC1-BF3C-4C28-B7AA-49F815EF0333}"/>
    <cellStyle name="Normal 2 5 4 6 3" xfId="5946" xr:uid="{00000000-0005-0000-0000-00005D110000}"/>
    <cellStyle name="Normal 2 5 4 6 3 2" xfId="14396" xr:uid="{7F41499E-FF98-440F-AF74-FC0285152709}"/>
    <cellStyle name="Normal 2 5 4 6 4" xfId="10178" xr:uid="{19576092-E32E-4C1A-A0DE-EE25747CBE90}"/>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F9879B50-D3B8-4BFE-AC40-38D0B285DB7B}"/>
    <cellStyle name="Normal 2 5 4 7 2 3" xfId="12736" xr:uid="{F2894B54-344A-4B32-B87D-C08F84AB94B8}"/>
    <cellStyle name="Normal 2 5 4 7 3" xfId="6359" xr:uid="{00000000-0005-0000-0000-000061110000}"/>
    <cellStyle name="Normal 2 5 4 7 3 2" xfId="14809" xr:uid="{4C8F18DE-0E62-4ED8-B1F3-E12F0AE9FA05}"/>
    <cellStyle name="Normal 2 5 4 7 4" xfId="10591" xr:uid="{BBA28C9A-552D-464B-9478-36F81F71A0C3}"/>
    <cellStyle name="Normal 2 5 4 8" xfId="2489" xr:uid="{00000000-0005-0000-0000-000062110000}"/>
    <cellStyle name="Normal 2 5 4 8 2" xfId="6772" xr:uid="{00000000-0005-0000-0000-000063110000}"/>
    <cellStyle name="Normal 2 5 4 8 2 2" xfId="15222" xr:uid="{2F7A160B-CD62-43D4-B903-EA266C3AF55F}"/>
    <cellStyle name="Normal 2 5 4 8 3" xfId="11004" xr:uid="{867C9F83-B121-4A0C-B414-3EF8D48F5A05}"/>
    <cellStyle name="Normal 2 5 4 9" xfId="4706" xr:uid="{00000000-0005-0000-0000-000064110000}"/>
    <cellStyle name="Normal 2 5 4 9 2" xfId="13156" xr:uid="{60785E41-938E-4B76-BE38-7F1F1DFDD18F}"/>
    <cellStyle name="Normal 2 5 5" xfId="803" xr:uid="{00000000-0005-0000-0000-000065110000}"/>
    <cellStyle name="Normal 2 5 5 2" xfId="3042" xr:uid="{00000000-0005-0000-0000-000066110000}"/>
    <cellStyle name="Normal 2 5 5 2 2" xfId="7264" xr:uid="{00000000-0005-0000-0000-000067110000}"/>
    <cellStyle name="Normal 2 5 5 2 2 2" xfId="15714" xr:uid="{80463304-899C-4259-9485-B37F4F3B7683}"/>
    <cellStyle name="Normal 2 5 5 2 3" xfId="11496" xr:uid="{01714A8E-027C-48FB-8FF4-9144953A7277}"/>
    <cellStyle name="Normal 2 5 5 3" xfId="5119" xr:uid="{00000000-0005-0000-0000-000068110000}"/>
    <cellStyle name="Normal 2 5 5 3 2" xfId="13569" xr:uid="{6DF9AC0F-9C9E-498B-849B-EF6750189EFD}"/>
    <cellStyle name="Normal 2 5 5 4" xfId="9351" xr:uid="{9E997691-BFD0-45ED-B704-0B0B8A010EDC}"/>
    <cellStyle name="Normal 2 5 6" xfId="1225" xr:uid="{00000000-0005-0000-0000-000069110000}"/>
    <cellStyle name="Normal 2 5 6 2" xfId="3455" xr:uid="{00000000-0005-0000-0000-00006A110000}"/>
    <cellStyle name="Normal 2 5 6 2 2" xfId="7677" xr:uid="{00000000-0005-0000-0000-00006B110000}"/>
    <cellStyle name="Normal 2 5 6 2 2 2" xfId="16127" xr:uid="{3F74C637-6D08-4000-978B-3F9C655FE161}"/>
    <cellStyle name="Normal 2 5 6 2 3" xfId="11909" xr:uid="{B113A861-EA91-4AC0-A5E8-99975683B4D7}"/>
    <cellStyle name="Normal 2 5 6 3" xfId="5532" xr:uid="{00000000-0005-0000-0000-00006C110000}"/>
    <cellStyle name="Normal 2 5 6 3 2" xfId="13982" xr:uid="{0C2EF593-5C3E-4AD6-B5EC-81A391B12FE5}"/>
    <cellStyle name="Normal 2 5 6 4" xfId="9764" xr:uid="{9CC5A500-B1E1-4164-93C9-13EBFA9FF6C3}"/>
    <cellStyle name="Normal 2 5 7" xfId="1638" xr:uid="{00000000-0005-0000-0000-00006D110000}"/>
    <cellStyle name="Normal 2 5 7 2" xfId="3868" xr:uid="{00000000-0005-0000-0000-00006E110000}"/>
    <cellStyle name="Normal 2 5 7 2 2" xfId="8090" xr:uid="{00000000-0005-0000-0000-00006F110000}"/>
    <cellStyle name="Normal 2 5 7 2 2 2" xfId="16540" xr:uid="{A16C91C1-FB87-4406-BBA7-365424761967}"/>
    <cellStyle name="Normal 2 5 7 2 3" xfId="12322" xr:uid="{823435C0-3CC2-4702-9AE8-B7A2758CA04F}"/>
    <cellStyle name="Normal 2 5 7 3" xfId="5945" xr:uid="{00000000-0005-0000-0000-000070110000}"/>
    <cellStyle name="Normal 2 5 7 3 2" xfId="14395" xr:uid="{7C878F8B-E303-44CF-8D81-3C3E4F8484FD}"/>
    <cellStyle name="Normal 2 5 7 4" xfId="10177" xr:uid="{765498BB-17BB-41EC-AED4-42BC9E3792C0}"/>
    <cellStyle name="Normal 2 5 8" xfId="2052" xr:uid="{00000000-0005-0000-0000-000071110000}"/>
    <cellStyle name="Normal 2 5 8 2" xfId="4281" xr:uid="{00000000-0005-0000-0000-000072110000}"/>
    <cellStyle name="Normal 2 5 8 2 2" xfId="8503" xr:uid="{00000000-0005-0000-0000-000073110000}"/>
    <cellStyle name="Normal 2 5 8 2 2 2" xfId="16953" xr:uid="{13310FB6-F1D0-46B8-994E-A983532E8177}"/>
    <cellStyle name="Normal 2 5 8 2 3" xfId="12735" xr:uid="{E3792011-032B-407B-83AA-80CE6F6720C8}"/>
    <cellStyle name="Normal 2 5 8 3" xfId="6358" xr:uid="{00000000-0005-0000-0000-000074110000}"/>
    <cellStyle name="Normal 2 5 8 3 2" xfId="14808" xr:uid="{008FE5B1-2C5D-41E3-869A-9EFBE342A64A}"/>
    <cellStyle name="Normal 2 5 8 4" xfId="10590" xr:uid="{F27CB0C8-BEB7-497D-9C3C-F4E2366E0B49}"/>
    <cellStyle name="Normal 2 5 9" xfId="2488" xr:uid="{00000000-0005-0000-0000-000075110000}"/>
    <cellStyle name="Normal 2 5 9 2" xfId="6771" xr:uid="{00000000-0005-0000-0000-000076110000}"/>
    <cellStyle name="Normal 2 5 9 2 2" xfId="15221" xr:uid="{96897E88-9923-4789-B175-6A2A14A92C21}"/>
    <cellStyle name="Normal 2 5 9 3" xfId="11003" xr:uid="{39C033E9-2817-4752-B97E-D93C5962BD98}"/>
    <cellStyle name="Normal 2 6" xfId="322" xr:uid="{00000000-0005-0000-0000-000077110000}"/>
    <cellStyle name="Normal 2 7" xfId="769" xr:uid="{00000000-0005-0000-0000-000078110000}"/>
    <cellStyle name="Normal 2 8" xfId="4495" xr:uid="{00000000-0005-0000-0000-000079110000}"/>
    <cellStyle name="Normal 2 8 2" xfId="12947" xr:uid="{BF33A561-CF5A-45FC-A846-5132ABE10058}"/>
    <cellStyle name="Normal 3" xfId="323" xr:uid="{00000000-0005-0000-0000-00007A110000}"/>
    <cellStyle name="Normal 3 2" xfId="324" xr:uid="{00000000-0005-0000-0000-00007B110000}"/>
    <cellStyle name="Normal 3 2 10" xfId="8942" xr:uid="{63A41B6C-A71F-4ED2-8BC4-D9830F3B904D}"/>
    <cellStyle name="Normal 3 2 2" xfId="325" xr:uid="{00000000-0005-0000-0000-00007C110000}"/>
    <cellStyle name="Normal 3 2 2 2" xfId="810" xr:uid="{00000000-0005-0000-0000-00007D110000}"/>
    <cellStyle name="Normal 3 2 3" xfId="326" xr:uid="{00000000-0005-0000-0000-00007E110000}"/>
    <cellStyle name="Normal 3 2 3 10" xfId="8943" xr:uid="{416B6293-F07E-44AA-98D1-14215455510A}"/>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629187BE-1452-4CBA-B247-9A6C3C7078CE}"/>
    <cellStyle name="Normal 3 2 3 2 2 2 2 3" xfId="11504" xr:uid="{D1656A68-619D-430D-9ABB-EAE1B045B75F}"/>
    <cellStyle name="Normal 3 2 3 2 2 2 3" xfId="5127" xr:uid="{00000000-0005-0000-0000-000084110000}"/>
    <cellStyle name="Normal 3 2 3 2 2 2 3 2" xfId="13577" xr:uid="{AF89143B-B963-47EF-B6CE-E9F0BA8D70DB}"/>
    <cellStyle name="Normal 3 2 3 2 2 2 4" xfId="9359" xr:uid="{FB906DCA-39B7-465B-AE45-29E7C09F33F5}"/>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820B461D-258D-4A75-BC44-266C013BCDE3}"/>
    <cellStyle name="Normal 3 2 3 2 2 3 2 3" xfId="11917" xr:uid="{6C85F272-DBAE-4434-A3EC-F3F706AEA5B7}"/>
    <cellStyle name="Normal 3 2 3 2 2 3 3" xfId="5540" xr:uid="{00000000-0005-0000-0000-000088110000}"/>
    <cellStyle name="Normal 3 2 3 2 2 3 3 2" xfId="13990" xr:uid="{AFBE9BC6-D991-40FB-8FBD-5E256E22870B}"/>
    <cellStyle name="Normal 3 2 3 2 2 3 4" xfId="9772" xr:uid="{DB9C6AC8-4B84-407F-8324-09627996EDE9}"/>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EDAA6B4B-953D-4174-8709-42B2333FC721}"/>
    <cellStyle name="Normal 3 2 3 2 2 4 2 3" xfId="12330" xr:uid="{99E00CAD-3401-4B0D-9B18-AAC3E5ECC80F}"/>
    <cellStyle name="Normal 3 2 3 2 2 4 3" xfId="5953" xr:uid="{00000000-0005-0000-0000-00008C110000}"/>
    <cellStyle name="Normal 3 2 3 2 2 4 3 2" xfId="14403" xr:uid="{FB80CE9F-231E-404E-92CE-00E90AC5E6C2}"/>
    <cellStyle name="Normal 3 2 3 2 2 4 4" xfId="10185" xr:uid="{AA1EA891-6828-4AAB-80FE-7ADF3794F711}"/>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ED211347-DE76-4192-8FA4-144E6A302B05}"/>
    <cellStyle name="Normal 3 2 3 2 2 5 2 3" xfId="12743" xr:uid="{929FCA26-9CBA-4D13-9272-307A7DE4572C}"/>
    <cellStyle name="Normal 3 2 3 2 2 5 3" xfId="6366" xr:uid="{00000000-0005-0000-0000-000090110000}"/>
    <cellStyle name="Normal 3 2 3 2 2 5 3 2" xfId="14816" xr:uid="{63C8A688-CBEE-482E-B0AD-A97216F97EF7}"/>
    <cellStyle name="Normal 3 2 3 2 2 5 4" xfId="10598" xr:uid="{1879250E-5995-4C67-9A52-BD011E4736D6}"/>
    <cellStyle name="Normal 3 2 3 2 2 6" xfId="2496" xr:uid="{00000000-0005-0000-0000-000091110000}"/>
    <cellStyle name="Normal 3 2 3 2 2 6 2" xfId="6779" xr:uid="{00000000-0005-0000-0000-000092110000}"/>
    <cellStyle name="Normal 3 2 3 2 2 6 2 2" xfId="15229" xr:uid="{73373430-3A2D-4223-99E8-1A89E9C93C13}"/>
    <cellStyle name="Normal 3 2 3 2 2 6 3" xfId="11011" xr:uid="{B6AFEA16-59C5-4544-988A-9FA1E37AFAC1}"/>
    <cellStyle name="Normal 3 2 3 2 2 7" xfId="4713" xr:uid="{00000000-0005-0000-0000-000093110000}"/>
    <cellStyle name="Normal 3 2 3 2 2 7 2" xfId="13163" xr:uid="{18FA28FC-F42D-49E2-917F-664C5D6D2071}"/>
    <cellStyle name="Normal 3 2 3 2 2 8" xfId="8945" xr:uid="{61EF6F58-0FA1-480F-A296-1083861BF4BB}"/>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EFC7E1E9-1572-4883-A0B8-C2DFAE851A23}"/>
    <cellStyle name="Normal 3 2 3 2 3 2 3" xfId="11503" xr:uid="{9749444F-EB39-4614-AF5B-68EAC02B76B6}"/>
    <cellStyle name="Normal 3 2 3 2 3 3" xfId="5126" xr:uid="{00000000-0005-0000-0000-000097110000}"/>
    <cellStyle name="Normal 3 2 3 2 3 3 2" xfId="13576" xr:uid="{08868FF4-35A5-4E21-B85E-D6703F783C29}"/>
    <cellStyle name="Normal 3 2 3 2 3 4" xfId="9358" xr:uid="{12CB65C6-4495-4A03-BB41-18AF8393AF5A}"/>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EF022FEC-1A27-47FB-AC56-AB24CD3584FE}"/>
    <cellStyle name="Normal 3 2 3 2 4 2 3" xfId="11916" xr:uid="{001DF833-A5E0-4F09-B185-3D5C05FD4A7C}"/>
    <cellStyle name="Normal 3 2 3 2 4 3" xfId="5539" xr:uid="{00000000-0005-0000-0000-00009B110000}"/>
    <cellStyle name="Normal 3 2 3 2 4 3 2" xfId="13989" xr:uid="{30781D39-22BB-48F9-ABB9-81C54A1AA32A}"/>
    <cellStyle name="Normal 3 2 3 2 4 4" xfId="9771" xr:uid="{2AE6AC6D-60C3-4335-AE43-C0EE523BBD98}"/>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F0A97995-8CC9-4E7E-9C52-FDFB28DCD458}"/>
    <cellStyle name="Normal 3 2 3 2 5 2 3" xfId="12329" xr:uid="{BEFB0F37-189A-4853-B84D-0B6885312021}"/>
    <cellStyle name="Normal 3 2 3 2 5 3" xfId="5952" xr:uid="{00000000-0005-0000-0000-00009F110000}"/>
    <cellStyle name="Normal 3 2 3 2 5 3 2" xfId="14402" xr:uid="{4A2F4CF8-1235-45D2-A23B-4FA87FBC5577}"/>
    <cellStyle name="Normal 3 2 3 2 5 4" xfId="10184" xr:uid="{DEC2C1B8-0BEB-4DC0-BCF7-2CE7E9569FA3}"/>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DD2F08D5-DD44-4257-A625-7668961C7789}"/>
    <cellStyle name="Normal 3 2 3 2 6 2 3" xfId="12742" xr:uid="{C492157A-DE02-468E-B9ED-8E5B989433A5}"/>
    <cellStyle name="Normal 3 2 3 2 6 3" xfId="6365" xr:uid="{00000000-0005-0000-0000-0000A3110000}"/>
    <cellStyle name="Normal 3 2 3 2 6 3 2" xfId="14815" xr:uid="{662B6394-9241-41C8-9205-0AB6BE53C2A8}"/>
    <cellStyle name="Normal 3 2 3 2 6 4" xfId="10597" xr:uid="{E62A87B6-82F3-46DF-8B4B-32E8FC0ADA1C}"/>
    <cellStyle name="Normal 3 2 3 2 7" xfId="2495" xr:uid="{00000000-0005-0000-0000-0000A4110000}"/>
    <cellStyle name="Normal 3 2 3 2 7 2" xfId="6778" xr:uid="{00000000-0005-0000-0000-0000A5110000}"/>
    <cellStyle name="Normal 3 2 3 2 7 2 2" xfId="15228" xr:uid="{7A51D7CC-2A09-4D1C-9B19-07C29296BA50}"/>
    <cellStyle name="Normal 3 2 3 2 7 3" xfId="11010" xr:uid="{ECAF0DA8-0C1D-4AD6-B2A9-EFAE051FD3C2}"/>
    <cellStyle name="Normal 3 2 3 2 8" xfId="4712" xr:uid="{00000000-0005-0000-0000-0000A6110000}"/>
    <cellStyle name="Normal 3 2 3 2 8 2" xfId="13162" xr:uid="{9BA9A6F2-46A9-46DC-BEE7-B50E927033F5}"/>
    <cellStyle name="Normal 3 2 3 2 9" xfId="8944" xr:uid="{1B11F645-8B22-4474-A418-D05FF84A1DE3}"/>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C85B9980-2374-45D1-9B6B-76101E83E877}"/>
    <cellStyle name="Normal 3 2 3 3 2 2 3" xfId="11505" xr:uid="{E407AD5D-6C14-42F9-A2A9-6A0F0CF02D93}"/>
    <cellStyle name="Normal 3 2 3 3 2 3" xfId="5128" xr:uid="{00000000-0005-0000-0000-0000AB110000}"/>
    <cellStyle name="Normal 3 2 3 3 2 3 2" xfId="13578" xr:uid="{346C5489-9573-416E-82D5-259AACA964E0}"/>
    <cellStyle name="Normal 3 2 3 3 2 4" xfId="9360" xr:uid="{74CE7D8D-8269-46C8-8390-E174CD803CDE}"/>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BABD1D4D-FDF0-4B79-A8B2-F163AD238760}"/>
    <cellStyle name="Normal 3 2 3 3 3 2 3" xfId="11918" xr:uid="{AC66FAA8-2BB6-4973-B58D-9A88070442B2}"/>
    <cellStyle name="Normal 3 2 3 3 3 3" xfId="5541" xr:uid="{00000000-0005-0000-0000-0000AF110000}"/>
    <cellStyle name="Normal 3 2 3 3 3 3 2" xfId="13991" xr:uid="{306A4129-BA40-4CBD-95AD-FAB23BC8549B}"/>
    <cellStyle name="Normal 3 2 3 3 3 4" xfId="9773" xr:uid="{DA7AF512-B2CB-4A75-874C-9E4252B61C31}"/>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C328F62D-6874-4E08-BEDF-1CCEB44B6BFF}"/>
    <cellStyle name="Normal 3 2 3 3 4 2 3" xfId="12331" xr:uid="{023D9053-3F12-4375-A543-0BBFA1892039}"/>
    <cellStyle name="Normal 3 2 3 3 4 3" xfId="5954" xr:uid="{00000000-0005-0000-0000-0000B3110000}"/>
    <cellStyle name="Normal 3 2 3 3 4 3 2" xfId="14404" xr:uid="{46330996-521F-428A-AC1C-2207F0A03A54}"/>
    <cellStyle name="Normal 3 2 3 3 4 4" xfId="10186" xr:uid="{C333C66D-5DA4-45EF-AF51-DC1B11D588E5}"/>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91B3FCD7-7AE6-4A98-BB09-F07F10EE274B}"/>
    <cellStyle name="Normal 3 2 3 3 5 2 3" xfId="12744" xr:uid="{280D3ACC-515D-4E38-BB3B-39BE4E0B3F34}"/>
    <cellStyle name="Normal 3 2 3 3 5 3" xfId="6367" xr:uid="{00000000-0005-0000-0000-0000B7110000}"/>
    <cellStyle name="Normal 3 2 3 3 5 3 2" xfId="14817" xr:uid="{0FC582FB-F3F5-48DC-9BEE-4BBDA19C3DBC}"/>
    <cellStyle name="Normal 3 2 3 3 5 4" xfId="10599" xr:uid="{689E9847-F273-461D-888D-2816AAC1BF35}"/>
    <cellStyle name="Normal 3 2 3 3 6" xfId="2497" xr:uid="{00000000-0005-0000-0000-0000B8110000}"/>
    <cellStyle name="Normal 3 2 3 3 6 2" xfId="6780" xr:uid="{00000000-0005-0000-0000-0000B9110000}"/>
    <cellStyle name="Normal 3 2 3 3 6 2 2" xfId="15230" xr:uid="{2615C9DE-526C-472E-8C65-A9C92B13C48F}"/>
    <cellStyle name="Normal 3 2 3 3 6 3" xfId="11012" xr:uid="{DCF2E01D-69CF-4C00-89E8-06DE17DA6260}"/>
    <cellStyle name="Normal 3 2 3 3 7" xfId="4714" xr:uid="{00000000-0005-0000-0000-0000BA110000}"/>
    <cellStyle name="Normal 3 2 3 3 7 2" xfId="13164" xr:uid="{FB5CCC78-0AB8-4DD4-96A3-DB22E5984AE2}"/>
    <cellStyle name="Normal 3 2 3 3 8" xfId="8946" xr:uid="{BCDCA7B3-2B85-41A9-9B81-F1065CEF6D2E}"/>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54D41011-BAA0-4916-938F-90683B9CD6D0}"/>
    <cellStyle name="Normal 3 2 3 4 2 3" xfId="11502" xr:uid="{7D661B04-AA22-4FE5-AAD3-18958E036BB6}"/>
    <cellStyle name="Normal 3 2 3 4 3" xfId="5125" xr:uid="{00000000-0005-0000-0000-0000BE110000}"/>
    <cellStyle name="Normal 3 2 3 4 3 2" xfId="13575" xr:uid="{9F610E02-C80F-4A8E-B071-CADEBB9AF298}"/>
    <cellStyle name="Normal 3 2 3 4 4" xfId="9357" xr:uid="{1E212B8D-C9BA-460D-A11F-1557EB7BAB9A}"/>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34E26479-0281-45D4-B161-56BA38B6C21F}"/>
    <cellStyle name="Normal 3 2 3 5 2 3" xfId="11915" xr:uid="{07F4876D-B0CB-4005-9AEE-38654B2DE00A}"/>
    <cellStyle name="Normal 3 2 3 5 3" xfId="5538" xr:uid="{00000000-0005-0000-0000-0000C2110000}"/>
    <cellStyle name="Normal 3 2 3 5 3 2" xfId="13988" xr:uid="{1D5F4481-9FEE-4C98-A372-19C1CB166800}"/>
    <cellStyle name="Normal 3 2 3 5 4" xfId="9770" xr:uid="{015ABA65-4B01-4C87-901B-A4C76532507F}"/>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2EB31AF3-C646-453F-9585-159FA9C9DFBE}"/>
    <cellStyle name="Normal 3 2 3 6 2 3" xfId="12328" xr:uid="{698366DC-86DA-4AB8-8FE8-D77BB3E5E440}"/>
    <cellStyle name="Normal 3 2 3 6 3" xfId="5951" xr:uid="{00000000-0005-0000-0000-0000C6110000}"/>
    <cellStyle name="Normal 3 2 3 6 3 2" xfId="14401" xr:uid="{6993B58D-969F-4896-883F-98374C2F85A0}"/>
    <cellStyle name="Normal 3 2 3 6 4" xfId="10183" xr:uid="{45AC5AA3-2F98-4421-A0F9-6E4B03263C97}"/>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139E74BA-126E-4513-ADC3-F769D310AF4B}"/>
    <cellStyle name="Normal 3 2 3 7 2 3" xfId="12741" xr:uid="{09D90346-49FF-44A9-A176-0CB840ABF7FC}"/>
    <cellStyle name="Normal 3 2 3 7 3" xfId="6364" xr:uid="{00000000-0005-0000-0000-0000CA110000}"/>
    <cellStyle name="Normal 3 2 3 7 3 2" xfId="14814" xr:uid="{C345DBC1-5DA9-42BE-817F-691B2EE41D79}"/>
    <cellStyle name="Normal 3 2 3 7 4" xfId="10596" xr:uid="{35C79707-8300-4F98-98DB-D87938920F57}"/>
    <cellStyle name="Normal 3 2 3 8" xfId="2494" xr:uid="{00000000-0005-0000-0000-0000CB110000}"/>
    <cellStyle name="Normal 3 2 3 8 2" xfId="6777" xr:uid="{00000000-0005-0000-0000-0000CC110000}"/>
    <cellStyle name="Normal 3 2 3 8 2 2" xfId="15227" xr:uid="{5D7D0FFF-6A4C-4CE6-8E66-868181DFE630}"/>
    <cellStyle name="Normal 3 2 3 8 3" xfId="11009" xr:uid="{FC306FD8-668B-4791-8AD5-31DBEC0B5E10}"/>
    <cellStyle name="Normal 3 2 3 9" xfId="4711" xr:uid="{00000000-0005-0000-0000-0000CD110000}"/>
    <cellStyle name="Normal 3 2 3 9 2" xfId="13161" xr:uid="{C5F4B3CA-F342-4164-BAF6-AB399872D7FB}"/>
    <cellStyle name="Normal 3 2 4" xfId="809" xr:uid="{00000000-0005-0000-0000-0000CE110000}"/>
    <cellStyle name="Normal 3 2 4 2" xfId="3047" xr:uid="{00000000-0005-0000-0000-0000CF110000}"/>
    <cellStyle name="Normal 3 2 4 2 2" xfId="7269" xr:uid="{00000000-0005-0000-0000-0000D0110000}"/>
    <cellStyle name="Normal 3 2 4 2 2 2" xfId="15719" xr:uid="{2A31C040-461E-436A-B556-FF12FB8166ED}"/>
    <cellStyle name="Normal 3 2 4 2 3" xfId="11501" xr:uid="{B1BDD60A-7C07-48BC-B581-90CDEB4DCA5B}"/>
    <cellStyle name="Normal 3 2 4 3" xfId="5124" xr:uid="{00000000-0005-0000-0000-0000D1110000}"/>
    <cellStyle name="Normal 3 2 4 3 2" xfId="13574" xr:uid="{38A19890-A1CD-485E-866A-3740C25A6890}"/>
    <cellStyle name="Normal 3 2 4 4" xfId="9356" xr:uid="{C04E79D0-A177-4549-A60E-24EE770D0E47}"/>
    <cellStyle name="Normal 3 2 5" xfId="1230" xr:uid="{00000000-0005-0000-0000-0000D2110000}"/>
    <cellStyle name="Normal 3 2 5 2" xfId="3460" xr:uid="{00000000-0005-0000-0000-0000D3110000}"/>
    <cellStyle name="Normal 3 2 5 2 2" xfId="7682" xr:uid="{00000000-0005-0000-0000-0000D4110000}"/>
    <cellStyle name="Normal 3 2 5 2 2 2" xfId="16132" xr:uid="{9871146B-CF6B-4032-82D5-FABC9B1D5F9E}"/>
    <cellStyle name="Normal 3 2 5 2 3" xfId="11914" xr:uid="{6F00C377-10C1-4B86-A5E5-A12B60FBC20B}"/>
    <cellStyle name="Normal 3 2 5 3" xfId="5537" xr:uid="{00000000-0005-0000-0000-0000D5110000}"/>
    <cellStyle name="Normal 3 2 5 3 2" xfId="13987" xr:uid="{CB54F644-89D7-4B54-B5C3-20AC603BD618}"/>
    <cellStyle name="Normal 3 2 5 4" xfId="9769" xr:uid="{17E23E6F-8188-4C27-927E-80D3A82595EE}"/>
    <cellStyle name="Normal 3 2 6" xfId="1643" xr:uid="{00000000-0005-0000-0000-0000D6110000}"/>
    <cellStyle name="Normal 3 2 6 2" xfId="3873" xr:uid="{00000000-0005-0000-0000-0000D7110000}"/>
    <cellStyle name="Normal 3 2 6 2 2" xfId="8095" xr:uid="{00000000-0005-0000-0000-0000D8110000}"/>
    <cellStyle name="Normal 3 2 6 2 2 2" xfId="16545" xr:uid="{E1D25ACF-06F9-4E7C-97EB-9C918FEC1B9E}"/>
    <cellStyle name="Normal 3 2 6 2 3" xfId="12327" xr:uid="{7F07C3F6-D00F-470A-99BE-E6E9C1FE5458}"/>
    <cellStyle name="Normal 3 2 6 3" xfId="5950" xr:uid="{00000000-0005-0000-0000-0000D9110000}"/>
    <cellStyle name="Normal 3 2 6 3 2" xfId="14400" xr:uid="{68034E3D-E996-48F3-9314-09E6AAB5F14D}"/>
    <cellStyle name="Normal 3 2 6 4" xfId="10182" xr:uid="{FE8D6028-9626-4A6F-BCE3-EC40AB04D9F1}"/>
    <cellStyle name="Normal 3 2 7" xfId="2057" xr:uid="{00000000-0005-0000-0000-0000DA110000}"/>
    <cellStyle name="Normal 3 2 7 2" xfId="4286" xr:uid="{00000000-0005-0000-0000-0000DB110000}"/>
    <cellStyle name="Normal 3 2 7 2 2" xfId="8508" xr:uid="{00000000-0005-0000-0000-0000DC110000}"/>
    <cellStyle name="Normal 3 2 7 2 2 2" xfId="16958" xr:uid="{9F9BD490-2D52-4209-89A6-1C0240727CC7}"/>
    <cellStyle name="Normal 3 2 7 2 3" xfId="12740" xr:uid="{A8DA17A4-1445-47FE-9AAF-17CFD643FA2E}"/>
    <cellStyle name="Normal 3 2 7 3" xfId="6363" xr:uid="{00000000-0005-0000-0000-0000DD110000}"/>
    <cellStyle name="Normal 3 2 7 3 2" xfId="14813" xr:uid="{D1D9094B-AD93-4A3B-B0D2-F0E36D109EE4}"/>
    <cellStyle name="Normal 3 2 7 4" xfId="10595" xr:uid="{831EE6D1-F410-4DC3-B309-B5D3DA086714}"/>
    <cellStyle name="Normal 3 2 8" xfId="2493" xr:uid="{00000000-0005-0000-0000-0000DE110000}"/>
    <cellStyle name="Normal 3 2 8 2" xfId="6776" xr:uid="{00000000-0005-0000-0000-0000DF110000}"/>
    <cellStyle name="Normal 3 2 8 2 2" xfId="15226" xr:uid="{77E9136C-5672-4379-B312-D23AF5A91BD9}"/>
    <cellStyle name="Normal 3 2 8 3" xfId="11008" xr:uid="{27C462C7-2FB5-40D6-BAC5-3D17D3CD4CD0}"/>
    <cellStyle name="Normal 3 2 9" xfId="4710" xr:uid="{00000000-0005-0000-0000-0000E0110000}"/>
    <cellStyle name="Normal 3 2 9 2" xfId="13160" xr:uid="{F043B5E7-3595-4ED9-8CA9-81A40B27595E}"/>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B50276C7-0A04-4CD4-8A7A-6EB937B41134}"/>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A74B731B-8FB7-49B4-AC6C-0211513A435F}"/>
    <cellStyle name="Normal 4 2 2 10 2 3" xfId="12745" xr:uid="{EBD2DF1F-E5AF-4599-879D-7F51B5940F4D}"/>
    <cellStyle name="Normal 4 2 2 10 3" xfId="6368" xr:uid="{00000000-0005-0000-0000-0000ED110000}"/>
    <cellStyle name="Normal 4 2 2 10 3 2" xfId="14818" xr:uid="{DBE2FC2B-71B5-4A9E-87B0-A060584C334D}"/>
    <cellStyle name="Normal 4 2 2 10 4" xfId="10600" xr:uid="{C0E8872A-FC18-4361-A090-BF3488C2729F}"/>
    <cellStyle name="Normal 4 2 2 11" xfId="2498" xr:uid="{00000000-0005-0000-0000-0000EE110000}"/>
    <cellStyle name="Normal 4 2 2 11 2" xfId="6781" xr:uid="{00000000-0005-0000-0000-0000EF110000}"/>
    <cellStyle name="Normal 4 2 2 11 2 2" xfId="15231" xr:uid="{7DBF71E1-4BA4-48B6-8C89-175C82A3DD33}"/>
    <cellStyle name="Normal 4 2 2 11 3" xfId="11013" xr:uid="{2565605A-FD27-479A-B33A-967A602910BA}"/>
    <cellStyle name="Normal 4 2 2 12" xfId="4716" xr:uid="{00000000-0005-0000-0000-0000F0110000}"/>
    <cellStyle name="Normal 4 2 2 12 2" xfId="13166" xr:uid="{0E0BE32F-800D-4F49-9972-3147ED5A7F85}"/>
    <cellStyle name="Normal 4 2 2 13" xfId="8948" xr:uid="{3068B485-DE4E-495F-B003-D03A7E6C5884}"/>
    <cellStyle name="Normal 4 2 2 2" xfId="338" xr:uid="{00000000-0005-0000-0000-0000F1110000}"/>
    <cellStyle name="Normal 4 2 2 3" xfId="339" xr:uid="{00000000-0005-0000-0000-0000F2110000}"/>
    <cellStyle name="Normal 4 2 2 3 10" xfId="4717" xr:uid="{00000000-0005-0000-0000-0000F3110000}"/>
    <cellStyle name="Normal 4 2 2 3 10 2" xfId="13167" xr:uid="{566A170F-2C26-4B5C-AADF-C55492531DFF}"/>
    <cellStyle name="Normal 4 2 2 3 11" xfId="8949" xr:uid="{144742BB-8179-4064-823C-CDDF5D9B0507}"/>
    <cellStyle name="Normal 4 2 2 3 2" xfId="340" xr:uid="{00000000-0005-0000-0000-0000F4110000}"/>
    <cellStyle name="Normal 4 2 2 3 2 10" xfId="8950" xr:uid="{2F187919-5752-4B9C-8729-C98F3798618A}"/>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58C99FD5-3985-4266-9E0F-0D9F839BA4AC}"/>
    <cellStyle name="Normal 4 2 2 3 2 2 2 2 2 3" xfId="11510" xr:uid="{927C18A7-9181-458B-89EB-BA003B87E729}"/>
    <cellStyle name="Normal 4 2 2 3 2 2 2 2 3" xfId="5133" xr:uid="{00000000-0005-0000-0000-0000FA110000}"/>
    <cellStyle name="Normal 4 2 2 3 2 2 2 2 3 2" xfId="13583" xr:uid="{B645765F-7C90-49AE-A9A8-34D6AC9C2AEA}"/>
    <cellStyle name="Normal 4 2 2 3 2 2 2 2 4" xfId="9365" xr:uid="{FDC4F241-79EA-4DD9-83CE-ED7161311B68}"/>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B853F16E-F55B-48F1-87ED-B6F556F39775}"/>
    <cellStyle name="Normal 4 2 2 3 2 2 2 3 2 3" xfId="11923" xr:uid="{123FFC10-D35B-4594-AE8F-B0A7C053A450}"/>
    <cellStyle name="Normal 4 2 2 3 2 2 2 3 3" xfId="5546" xr:uid="{00000000-0005-0000-0000-0000FE110000}"/>
    <cellStyle name="Normal 4 2 2 3 2 2 2 3 3 2" xfId="13996" xr:uid="{31E474F3-9CEA-4134-977F-160D7351C25A}"/>
    <cellStyle name="Normal 4 2 2 3 2 2 2 3 4" xfId="9778" xr:uid="{F248DE2A-2A70-4DBA-BBF9-E73D114F7F81}"/>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27372121-A954-406F-AE9E-703C7B56E576}"/>
    <cellStyle name="Normal 4 2 2 3 2 2 2 4 2 3" xfId="12336" xr:uid="{560A61B8-737A-47E3-88C0-1AA05ACB1BFC}"/>
    <cellStyle name="Normal 4 2 2 3 2 2 2 4 3" xfId="5959" xr:uid="{00000000-0005-0000-0000-000002120000}"/>
    <cellStyle name="Normal 4 2 2 3 2 2 2 4 3 2" xfId="14409" xr:uid="{6A8801D1-4433-47F7-ACB8-DFE012F8F638}"/>
    <cellStyle name="Normal 4 2 2 3 2 2 2 4 4" xfId="10191" xr:uid="{2D666EAE-D797-40E4-BC55-B3574D26A041}"/>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84087583-AFD8-4B0D-800D-059BEB23DFA5}"/>
    <cellStyle name="Normal 4 2 2 3 2 2 2 5 2 3" xfId="12749" xr:uid="{594A0DE7-F7A4-4780-81AF-ADDC45D1D689}"/>
    <cellStyle name="Normal 4 2 2 3 2 2 2 5 3" xfId="6372" xr:uid="{00000000-0005-0000-0000-000006120000}"/>
    <cellStyle name="Normal 4 2 2 3 2 2 2 5 3 2" xfId="14822" xr:uid="{45262626-318D-4419-B731-F9AD8A674929}"/>
    <cellStyle name="Normal 4 2 2 3 2 2 2 5 4" xfId="10604" xr:uid="{C20FBBC9-6E35-442D-8B68-7154D9E784E8}"/>
    <cellStyle name="Normal 4 2 2 3 2 2 2 6" xfId="2502" xr:uid="{00000000-0005-0000-0000-000007120000}"/>
    <cellStyle name="Normal 4 2 2 3 2 2 2 6 2" xfId="6785" xr:uid="{00000000-0005-0000-0000-000008120000}"/>
    <cellStyle name="Normal 4 2 2 3 2 2 2 6 2 2" xfId="15235" xr:uid="{7C412C74-42EF-412C-A3A1-608426B7B5B7}"/>
    <cellStyle name="Normal 4 2 2 3 2 2 2 6 3" xfId="11017" xr:uid="{5D90280F-74D4-4E76-B1A3-7831A0A3623E}"/>
    <cellStyle name="Normal 4 2 2 3 2 2 2 7" xfId="4720" xr:uid="{00000000-0005-0000-0000-000009120000}"/>
    <cellStyle name="Normal 4 2 2 3 2 2 2 7 2" xfId="13170" xr:uid="{86368934-CBB2-4D05-A743-8EDAA149FD8B}"/>
    <cellStyle name="Normal 4 2 2 3 2 2 2 8" xfId="8952" xr:uid="{C2FF4DCB-3D33-469A-A7F7-971A29051863}"/>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43C81AA5-D314-4E45-9E7A-BC2F19574913}"/>
    <cellStyle name="Normal 4 2 2 3 2 2 3 2 3" xfId="11509" xr:uid="{C67594F7-AF68-4D2A-8B54-DDC1DCF09FEF}"/>
    <cellStyle name="Normal 4 2 2 3 2 2 3 3" xfId="5132" xr:uid="{00000000-0005-0000-0000-00000D120000}"/>
    <cellStyle name="Normal 4 2 2 3 2 2 3 3 2" xfId="13582" xr:uid="{DEF9ED0A-48A3-4C94-A9E6-D8B343991E31}"/>
    <cellStyle name="Normal 4 2 2 3 2 2 3 4" xfId="9364" xr:uid="{B7D9259E-8C32-4692-B5E0-B63920FBBAA8}"/>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1AA5DBB1-AC76-4542-8624-43E748EC948C}"/>
    <cellStyle name="Normal 4 2 2 3 2 2 4 2 3" xfId="11922" xr:uid="{1BDE3C67-9301-4F16-8990-29A48247C5B8}"/>
    <cellStyle name="Normal 4 2 2 3 2 2 4 3" xfId="5545" xr:uid="{00000000-0005-0000-0000-000011120000}"/>
    <cellStyle name="Normal 4 2 2 3 2 2 4 3 2" xfId="13995" xr:uid="{8EC339B5-FAEF-4B0B-A438-2FB214251999}"/>
    <cellStyle name="Normal 4 2 2 3 2 2 4 4" xfId="9777" xr:uid="{13A39D6F-E6BD-4BBC-A7D2-C88B2BCD0441}"/>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E8B2D8D1-2A43-4EF3-A99C-A9597DB26AAD}"/>
    <cellStyle name="Normal 4 2 2 3 2 2 5 2 3" xfId="12335" xr:uid="{D4050F29-40B7-446D-9CA4-78CCD894796C}"/>
    <cellStyle name="Normal 4 2 2 3 2 2 5 3" xfId="5958" xr:uid="{00000000-0005-0000-0000-000015120000}"/>
    <cellStyle name="Normal 4 2 2 3 2 2 5 3 2" xfId="14408" xr:uid="{2DAC3D8E-F1B8-4135-8557-ACE73B1AAEF8}"/>
    <cellStyle name="Normal 4 2 2 3 2 2 5 4" xfId="10190" xr:uid="{3E258273-3715-4160-BB60-1E7C8B83186A}"/>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B214B89D-47B1-4E6B-A717-522040C2287B}"/>
    <cellStyle name="Normal 4 2 2 3 2 2 6 2 3" xfId="12748" xr:uid="{F657308F-5ACA-41E5-9D28-506AF69FDDD2}"/>
    <cellStyle name="Normal 4 2 2 3 2 2 6 3" xfId="6371" xr:uid="{00000000-0005-0000-0000-000019120000}"/>
    <cellStyle name="Normal 4 2 2 3 2 2 6 3 2" xfId="14821" xr:uid="{B6F4B21B-E8A9-4E09-A230-06D47806B837}"/>
    <cellStyle name="Normal 4 2 2 3 2 2 6 4" xfId="10603" xr:uid="{8984FA53-65B6-4ECD-A6B2-C78A65DCA083}"/>
    <cellStyle name="Normal 4 2 2 3 2 2 7" xfId="2501" xr:uid="{00000000-0005-0000-0000-00001A120000}"/>
    <cellStyle name="Normal 4 2 2 3 2 2 7 2" xfId="6784" xr:uid="{00000000-0005-0000-0000-00001B120000}"/>
    <cellStyle name="Normal 4 2 2 3 2 2 7 2 2" xfId="15234" xr:uid="{0C920B03-96E3-45B8-9E93-646D02813015}"/>
    <cellStyle name="Normal 4 2 2 3 2 2 7 3" xfId="11016" xr:uid="{CB0992E8-76C0-44BF-B297-24B42FB35ED1}"/>
    <cellStyle name="Normal 4 2 2 3 2 2 8" xfId="4719" xr:uid="{00000000-0005-0000-0000-00001C120000}"/>
    <cellStyle name="Normal 4 2 2 3 2 2 8 2" xfId="13169" xr:uid="{F8A4DFC6-ACF3-4369-BA5E-9AE8660EF048}"/>
    <cellStyle name="Normal 4 2 2 3 2 2 9" xfId="8951" xr:uid="{1FB324B6-DA31-48FA-B01D-911FF3B49C43}"/>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3CF260FF-F0F1-4D20-86A2-714153A6A4E3}"/>
    <cellStyle name="Normal 4 2 2 3 2 3 2 2 3" xfId="11511" xr:uid="{FE7676D5-40B2-4E23-BAC4-EA0EBF18646F}"/>
    <cellStyle name="Normal 4 2 2 3 2 3 2 3" xfId="5134" xr:uid="{00000000-0005-0000-0000-000021120000}"/>
    <cellStyle name="Normal 4 2 2 3 2 3 2 3 2" xfId="13584" xr:uid="{804CD1FC-D800-4C08-8CA5-4DD7AFF1F4F5}"/>
    <cellStyle name="Normal 4 2 2 3 2 3 2 4" xfId="9366" xr:uid="{57614710-F0C1-4AF2-A18E-E223D2AD7254}"/>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3B03B54B-7388-4664-8DAB-B081D8EB4598}"/>
    <cellStyle name="Normal 4 2 2 3 2 3 3 2 3" xfId="11924" xr:uid="{DD552C09-0232-4C34-84D2-197D3B7BD948}"/>
    <cellStyle name="Normal 4 2 2 3 2 3 3 3" xfId="5547" xr:uid="{00000000-0005-0000-0000-000025120000}"/>
    <cellStyle name="Normal 4 2 2 3 2 3 3 3 2" xfId="13997" xr:uid="{F3AF7C66-F2CD-4825-A77F-738843A35072}"/>
    <cellStyle name="Normal 4 2 2 3 2 3 3 4" xfId="9779" xr:uid="{C408919B-3C31-40C0-B949-FCCBBC66CC36}"/>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388F5C09-48F4-49B0-86BE-F9EC69CD5A47}"/>
    <cellStyle name="Normal 4 2 2 3 2 3 4 2 3" xfId="12337" xr:uid="{DC863998-E43F-444F-B649-513DE624D2AC}"/>
    <cellStyle name="Normal 4 2 2 3 2 3 4 3" xfId="5960" xr:uid="{00000000-0005-0000-0000-000029120000}"/>
    <cellStyle name="Normal 4 2 2 3 2 3 4 3 2" xfId="14410" xr:uid="{26D9E93C-A432-479F-A17A-40CD95826793}"/>
    <cellStyle name="Normal 4 2 2 3 2 3 4 4" xfId="10192" xr:uid="{A1DCC91A-B10E-44C1-BE86-E5C9EE33A585}"/>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3BF16042-DD58-44E0-87B1-9BBE79A79F29}"/>
    <cellStyle name="Normal 4 2 2 3 2 3 5 2 3" xfId="12750" xr:uid="{D44E0C6A-1069-47BA-BA24-B8B5AAF2019A}"/>
    <cellStyle name="Normal 4 2 2 3 2 3 5 3" xfId="6373" xr:uid="{00000000-0005-0000-0000-00002D120000}"/>
    <cellStyle name="Normal 4 2 2 3 2 3 5 3 2" xfId="14823" xr:uid="{6936AD1A-C6A4-4FFF-8B3E-1143C66E9CD7}"/>
    <cellStyle name="Normal 4 2 2 3 2 3 5 4" xfId="10605" xr:uid="{0E6C008C-F9A4-4CC9-BDFA-E7BEAA7AEE5A}"/>
    <cellStyle name="Normal 4 2 2 3 2 3 6" xfId="2503" xr:uid="{00000000-0005-0000-0000-00002E120000}"/>
    <cellStyle name="Normal 4 2 2 3 2 3 6 2" xfId="6786" xr:uid="{00000000-0005-0000-0000-00002F120000}"/>
    <cellStyle name="Normal 4 2 2 3 2 3 6 2 2" xfId="15236" xr:uid="{0929C0B6-C10B-44F3-9C2A-10721C6A8AB6}"/>
    <cellStyle name="Normal 4 2 2 3 2 3 6 3" xfId="11018" xr:uid="{35794765-5147-4BD3-A95B-E33B4AE10B30}"/>
    <cellStyle name="Normal 4 2 2 3 2 3 7" xfId="4721" xr:uid="{00000000-0005-0000-0000-000030120000}"/>
    <cellStyle name="Normal 4 2 2 3 2 3 7 2" xfId="13171" xr:uid="{B47FFFA5-253B-4099-B8A2-24A5026469FA}"/>
    <cellStyle name="Normal 4 2 2 3 2 3 8" xfId="8953" xr:uid="{D5C2A199-7E60-4F5B-B533-C57A68CF039C}"/>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F8B84607-7B28-4E45-98A7-0C22FD97E698}"/>
    <cellStyle name="Normal 4 2 2 3 2 4 2 3" xfId="11508" xr:uid="{FC78BAAB-7662-4EAD-8178-36E5FFC6B6D2}"/>
    <cellStyle name="Normal 4 2 2 3 2 4 3" xfId="5131" xr:uid="{00000000-0005-0000-0000-000034120000}"/>
    <cellStyle name="Normal 4 2 2 3 2 4 3 2" xfId="13581" xr:uid="{C7094BA2-822D-4D77-AC92-AA13181398F0}"/>
    <cellStyle name="Normal 4 2 2 3 2 4 4" xfId="9363" xr:uid="{496B0B2E-25FB-4319-9EFE-D5DFD7508E72}"/>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11546B3F-DFFA-4A2B-A674-08CB46FFD93C}"/>
    <cellStyle name="Normal 4 2 2 3 2 5 2 3" xfId="11921" xr:uid="{C7560A97-511A-424F-BDAF-1D7E2FCD3B14}"/>
    <cellStyle name="Normal 4 2 2 3 2 5 3" xfId="5544" xr:uid="{00000000-0005-0000-0000-000038120000}"/>
    <cellStyle name="Normal 4 2 2 3 2 5 3 2" xfId="13994" xr:uid="{EA9D20F6-82ED-4599-AD52-15C8BEA85BD2}"/>
    <cellStyle name="Normal 4 2 2 3 2 5 4" xfId="9776" xr:uid="{26162B6A-52C9-4F45-8C73-B5AAFF2DC38C}"/>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D00B01AF-2A74-46E4-8E94-B34E05716EB8}"/>
    <cellStyle name="Normal 4 2 2 3 2 6 2 3" xfId="12334" xr:uid="{4DCF02D8-663C-4796-B188-441B4818B828}"/>
    <cellStyle name="Normal 4 2 2 3 2 6 3" xfId="5957" xr:uid="{00000000-0005-0000-0000-00003C120000}"/>
    <cellStyle name="Normal 4 2 2 3 2 6 3 2" xfId="14407" xr:uid="{BD3CAFFC-42D5-4D2B-BF36-A0BC4912EC95}"/>
    <cellStyle name="Normal 4 2 2 3 2 6 4" xfId="10189" xr:uid="{7090B73F-B040-4902-886A-53064A8BA0F1}"/>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04D60D4B-2DF5-458B-8945-165B2C27B41D}"/>
    <cellStyle name="Normal 4 2 2 3 2 7 2 3" xfId="12747" xr:uid="{DB6C4272-AC78-4C39-AFB4-964BDE692C1A}"/>
    <cellStyle name="Normal 4 2 2 3 2 7 3" xfId="6370" xr:uid="{00000000-0005-0000-0000-000040120000}"/>
    <cellStyle name="Normal 4 2 2 3 2 7 3 2" xfId="14820" xr:uid="{F55E6307-E42B-4CFA-893C-795E434AC143}"/>
    <cellStyle name="Normal 4 2 2 3 2 7 4" xfId="10602" xr:uid="{B0D35165-A97C-4196-8190-FFB8E30B113E}"/>
    <cellStyle name="Normal 4 2 2 3 2 8" xfId="2500" xr:uid="{00000000-0005-0000-0000-000041120000}"/>
    <cellStyle name="Normal 4 2 2 3 2 8 2" xfId="6783" xr:uid="{00000000-0005-0000-0000-000042120000}"/>
    <cellStyle name="Normal 4 2 2 3 2 8 2 2" xfId="15233" xr:uid="{320CE5F3-0390-402A-A7D0-0DDAB73FFE21}"/>
    <cellStyle name="Normal 4 2 2 3 2 8 3" xfId="11015" xr:uid="{70A6936E-B901-42C1-8110-9C01D885BF4F}"/>
    <cellStyle name="Normal 4 2 2 3 2 9" xfId="4718" xr:uid="{00000000-0005-0000-0000-000043120000}"/>
    <cellStyle name="Normal 4 2 2 3 2 9 2" xfId="13168" xr:uid="{F5852746-4567-4916-BBE8-7BD931A9D879}"/>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2576C7F5-B8F8-47A8-A263-4DFBFAC72699}"/>
    <cellStyle name="Normal 4 2 2 3 3 2 2 2 3" xfId="11513" xr:uid="{AA00EC11-0B0A-4571-A94F-5C972F8D4B3E}"/>
    <cellStyle name="Normal 4 2 2 3 3 2 2 3" xfId="5136" xr:uid="{00000000-0005-0000-0000-000049120000}"/>
    <cellStyle name="Normal 4 2 2 3 3 2 2 3 2" xfId="13586" xr:uid="{0AA4B4AA-782F-4B2D-B834-9151363662AC}"/>
    <cellStyle name="Normal 4 2 2 3 3 2 2 4" xfId="9368" xr:uid="{948F6CC0-F89B-4AF1-ADC3-B3F3388BBA55}"/>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2973A09D-0D0F-4F3D-8BBD-9BE243E0283F}"/>
    <cellStyle name="Normal 4 2 2 3 3 2 3 2 3" xfId="11926" xr:uid="{6787970B-2A84-45EA-864D-AF80B7B377F2}"/>
    <cellStyle name="Normal 4 2 2 3 3 2 3 3" xfId="5549" xr:uid="{00000000-0005-0000-0000-00004D120000}"/>
    <cellStyle name="Normal 4 2 2 3 3 2 3 3 2" xfId="13999" xr:uid="{BF26714C-114C-45A4-8BE6-18F1D98BAB14}"/>
    <cellStyle name="Normal 4 2 2 3 3 2 3 4" xfId="9781" xr:uid="{5657DA1A-D35C-4B94-BB5B-8D91D7A7264F}"/>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B3CAFE94-8AF4-4374-B07D-7A2A283D8C75}"/>
    <cellStyle name="Normal 4 2 2 3 3 2 4 2 3" xfId="12339" xr:uid="{B7358475-C6FF-4FE6-ADCB-A80FB7E54712}"/>
    <cellStyle name="Normal 4 2 2 3 3 2 4 3" xfId="5962" xr:uid="{00000000-0005-0000-0000-000051120000}"/>
    <cellStyle name="Normal 4 2 2 3 3 2 4 3 2" xfId="14412" xr:uid="{51ADF5F8-FE08-439B-A966-5312CD2BE263}"/>
    <cellStyle name="Normal 4 2 2 3 3 2 4 4" xfId="10194" xr:uid="{E2A38CC4-3027-4EB5-9F1A-B26EF71870EB}"/>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7E2E50A2-A590-4B21-AE32-5C3E3081F8AA}"/>
    <cellStyle name="Normal 4 2 2 3 3 2 5 2 3" xfId="12752" xr:uid="{8D7CE14B-B8FC-4E26-B663-AB177131E430}"/>
    <cellStyle name="Normal 4 2 2 3 3 2 5 3" xfId="6375" xr:uid="{00000000-0005-0000-0000-000055120000}"/>
    <cellStyle name="Normal 4 2 2 3 3 2 5 3 2" xfId="14825" xr:uid="{276E9503-C773-41C7-A9BC-FB2E1E721AC0}"/>
    <cellStyle name="Normal 4 2 2 3 3 2 5 4" xfId="10607" xr:uid="{24715658-81BA-479E-998E-43EB3A2CDFFB}"/>
    <cellStyle name="Normal 4 2 2 3 3 2 6" xfId="2505" xr:uid="{00000000-0005-0000-0000-000056120000}"/>
    <cellStyle name="Normal 4 2 2 3 3 2 6 2" xfId="6788" xr:uid="{00000000-0005-0000-0000-000057120000}"/>
    <cellStyle name="Normal 4 2 2 3 3 2 6 2 2" xfId="15238" xr:uid="{D2198B83-765B-4E00-9D15-4E799C9E420F}"/>
    <cellStyle name="Normal 4 2 2 3 3 2 6 3" xfId="11020" xr:uid="{4E0F7A00-5DD6-4B9A-B12E-2A348DDB3F58}"/>
    <cellStyle name="Normal 4 2 2 3 3 2 7" xfId="4723" xr:uid="{00000000-0005-0000-0000-000058120000}"/>
    <cellStyle name="Normal 4 2 2 3 3 2 7 2" xfId="13173" xr:uid="{A8EFCB12-67EE-48A4-9075-B5771F092776}"/>
    <cellStyle name="Normal 4 2 2 3 3 2 8" xfId="8955" xr:uid="{471EF256-5147-47D7-9BEC-BC16114A8F03}"/>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80F21830-B0B9-4427-B588-A143F4302355}"/>
    <cellStyle name="Normal 4 2 2 3 3 3 2 3" xfId="11512" xr:uid="{6716EB43-3CE0-4531-9F4A-27A568FD843C}"/>
    <cellStyle name="Normal 4 2 2 3 3 3 3" xfId="5135" xr:uid="{00000000-0005-0000-0000-00005C120000}"/>
    <cellStyle name="Normal 4 2 2 3 3 3 3 2" xfId="13585" xr:uid="{6F409C42-4A32-418D-BEC0-04EE3419A9AE}"/>
    <cellStyle name="Normal 4 2 2 3 3 3 4" xfId="9367" xr:uid="{3122CE16-AAB9-498A-9ECB-7363781456C3}"/>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8C2EC45C-9B86-4DF8-8E79-79A7C651A2A2}"/>
    <cellStyle name="Normal 4 2 2 3 3 4 2 3" xfId="11925" xr:uid="{3AB1C7B4-0637-4B8C-B0F0-3423EF63EE31}"/>
    <cellStyle name="Normal 4 2 2 3 3 4 3" xfId="5548" xr:uid="{00000000-0005-0000-0000-000060120000}"/>
    <cellStyle name="Normal 4 2 2 3 3 4 3 2" xfId="13998" xr:uid="{5ED42F9B-3984-4004-AB9C-145B04377FFA}"/>
    <cellStyle name="Normal 4 2 2 3 3 4 4" xfId="9780" xr:uid="{59235D94-4659-4290-912E-A2C029149D1B}"/>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E13089C1-3B7B-4B07-A70F-EF3156A102DC}"/>
    <cellStyle name="Normal 4 2 2 3 3 5 2 3" xfId="12338" xr:uid="{15AB3C98-1078-47EB-A7D4-1862C86F930A}"/>
    <cellStyle name="Normal 4 2 2 3 3 5 3" xfId="5961" xr:uid="{00000000-0005-0000-0000-000064120000}"/>
    <cellStyle name="Normal 4 2 2 3 3 5 3 2" xfId="14411" xr:uid="{38BD314C-8DBC-4A30-A090-5B472182D6FF}"/>
    <cellStyle name="Normal 4 2 2 3 3 5 4" xfId="10193" xr:uid="{59D289BA-7AA4-4942-9C67-22123B1C1D4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6C550347-2614-4430-B0E5-8304F07E65D7}"/>
    <cellStyle name="Normal 4 2 2 3 3 6 2 3" xfId="12751" xr:uid="{A6EF0966-B0E5-4C24-ADD0-4C7D4DC4DEC3}"/>
    <cellStyle name="Normal 4 2 2 3 3 6 3" xfId="6374" xr:uid="{00000000-0005-0000-0000-000068120000}"/>
    <cellStyle name="Normal 4 2 2 3 3 6 3 2" xfId="14824" xr:uid="{EB084F39-8DA0-47F5-A35A-489A3FA46056}"/>
    <cellStyle name="Normal 4 2 2 3 3 6 4" xfId="10606" xr:uid="{DD6EB9F5-7F6B-4871-87DB-C8051AA13915}"/>
    <cellStyle name="Normal 4 2 2 3 3 7" xfId="2504" xr:uid="{00000000-0005-0000-0000-000069120000}"/>
    <cellStyle name="Normal 4 2 2 3 3 7 2" xfId="6787" xr:uid="{00000000-0005-0000-0000-00006A120000}"/>
    <cellStyle name="Normal 4 2 2 3 3 7 2 2" xfId="15237" xr:uid="{59EE824F-0201-4366-854A-F1BD09578332}"/>
    <cellStyle name="Normal 4 2 2 3 3 7 3" xfId="11019" xr:uid="{C3F6F574-5CCF-4F48-A8D7-CDC4C6B292EA}"/>
    <cellStyle name="Normal 4 2 2 3 3 8" xfId="4722" xr:uid="{00000000-0005-0000-0000-00006B120000}"/>
    <cellStyle name="Normal 4 2 2 3 3 8 2" xfId="13172" xr:uid="{44719ABA-920F-4A8D-9EDD-B01A2E33DFDF}"/>
    <cellStyle name="Normal 4 2 2 3 3 9" xfId="8954" xr:uid="{46107C36-9B2A-4631-8746-3E776249032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FBA5BD27-03C6-4A2E-9EB2-40812AF9B786}"/>
    <cellStyle name="Normal 4 2 2 3 4 2 2 3" xfId="11514" xr:uid="{68150BDE-FA7B-4ACD-A62C-67A6CBDA868C}"/>
    <cellStyle name="Normal 4 2 2 3 4 2 3" xfId="5137" xr:uid="{00000000-0005-0000-0000-000070120000}"/>
    <cellStyle name="Normal 4 2 2 3 4 2 3 2" xfId="13587" xr:uid="{3B5D92B5-EF7C-4A48-B696-9855950B3562}"/>
    <cellStyle name="Normal 4 2 2 3 4 2 4" xfId="9369" xr:uid="{404244A1-EE3F-4A81-AFF9-36F1F102FCCD}"/>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0F82D832-0104-499F-96BD-62591D9274CF}"/>
    <cellStyle name="Normal 4 2 2 3 4 3 2 3" xfId="11927" xr:uid="{31F53948-B988-4CDB-BEBB-4AE7F6C8C7FA}"/>
    <cellStyle name="Normal 4 2 2 3 4 3 3" xfId="5550" xr:uid="{00000000-0005-0000-0000-000074120000}"/>
    <cellStyle name="Normal 4 2 2 3 4 3 3 2" xfId="14000" xr:uid="{B0869443-0966-41B1-84FE-BCEE7CD2EBE2}"/>
    <cellStyle name="Normal 4 2 2 3 4 3 4" xfId="9782" xr:uid="{40467F6B-3016-46AF-85D2-0394F67BED5E}"/>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CF3B2F7F-7FEF-4A45-BB46-38B1208783DA}"/>
    <cellStyle name="Normal 4 2 2 3 4 4 2 3" xfId="12340" xr:uid="{47EDCFB8-6AD7-45AB-81BF-6537EAF14BB0}"/>
    <cellStyle name="Normal 4 2 2 3 4 4 3" xfId="5963" xr:uid="{00000000-0005-0000-0000-000078120000}"/>
    <cellStyle name="Normal 4 2 2 3 4 4 3 2" xfId="14413" xr:uid="{9B152828-F162-4C19-B6F3-362134400F47}"/>
    <cellStyle name="Normal 4 2 2 3 4 4 4" xfId="10195" xr:uid="{103EE181-631B-4B1C-BC29-5F73AB368278}"/>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BC339F2C-59FD-4D31-A972-ABE4FABEEA42}"/>
    <cellStyle name="Normal 4 2 2 3 4 5 2 3" xfId="12753" xr:uid="{AAE051BB-4808-457F-B0E1-427962C7E34B}"/>
    <cellStyle name="Normal 4 2 2 3 4 5 3" xfId="6376" xr:uid="{00000000-0005-0000-0000-00007C120000}"/>
    <cellStyle name="Normal 4 2 2 3 4 5 3 2" xfId="14826" xr:uid="{93F23B39-3E30-4097-9285-5717A883D7DA}"/>
    <cellStyle name="Normal 4 2 2 3 4 5 4" xfId="10608" xr:uid="{B6673BCD-0A06-4F60-BF3E-24FA5C96C2D2}"/>
    <cellStyle name="Normal 4 2 2 3 4 6" xfId="2506" xr:uid="{00000000-0005-0000-0000-00007D120000}"/>
    <cellStyle name="Normal 4 2 2 3 4 6 2" xfId="6789" xr:uid="{00000000-0005-0000-0000-00007E120000}"/>
    <cellStyle name="Normal 4 2 2 3 4 6 2 2" xfId="15239" xr:uid="{DAB44852-0660-4D80-8C30-CB00F010210C}"/>
    <cellStyle name="Normal 4 2 2 3 4 6 3" xfId="11021" xr:uid="{B55A5C1D-B4B1-4C8B-A98F-CC6BA1088B1E}"/>
    <cellStyle name="Normal 4 2 2 3 4 7" xfId="4724" xr:uid="{00000000-0005-0000-0000-00007F120000}"/>
    <cellStyle name="Normal 4 2 2 3 4 7 2" xfId="13174" xr:uid="{AB1E5A9D-F95A-4435-98A5-DDBC59569AD0}"/>
    <cellStyle name="Normal 4 2 2 3 4 8" xfId="8956" xr:uid="{481B4DFC-BCF5-4EFE-8559-2C9754848A77}"/>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9A361B62-672C-4E12-AC44-E5C69C7B6E7D}"/>
    <cellStyle name="Normal 4 2 2 3 5 2 3" xfId="11507" xr:uid="{638241D3-5A3A-4D87-A49E-45CDE9175F11}"/>
    <cellStyle name="Normal 4 2 2 3 5 3" xfId="5130" xr:uid="{00000000-0005-0000-0000-000083120000}"/>
    <cellStyle name="Normal 4 2 2 3 5 3 2" xfId="13580" xr:uid="{C27A485E-229E-48DB-B657-6572FBE5C232}"/>
    <cellStyle name="Normal 4 2 2 3 5 4" xfId="9362" xr:uid="{17A9292F-8205-4C88-96B9-7490FC94558A}"/>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DB66BA1E-DFCF-4FFD-978A-7E126BBFD63F}"/>
    <cellStyle name="Normal 4 2 2 3 6 2 3" xfId="11920" xr:uid="{A2AE7F99-223B-44EF-AB1D-AAF2505A7DE6}"/>
    <cellStyle name="Normal 4 2 2 3 6 3" xfId="5543" xr:uid="{00000000-0005-0000-0000-000087120000}"/>
    <cellStyle name="Normal 4 2 2 3 6 3 2" xfId="13993" xr:uid="{4C2BC3EF-705A-4033-BC70-74AEA94B51F2}"/>
    <cellStyle name="Normal 4 2 2 3 6 4" xfId="9775" xr:uid="{DB376260-FC69-489D-839E-F321ED72272B}"/>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8E9AD0F5-EFF2-451D-B3FA-EDA8E8E989A0}"/>
    <cellStyle name="Normal 4 2 2 3 7 2 3" xfId="12333" xr:uid="{E05AB53C-B4F6-4445-B806-1B7F7DD9F7CB}"/>
    <cellStyle name="Normal 4 2 2 3 7 3" xfId="5956" xr:uid="{00000000-0005-0000-0000-00008B120000}"/>
    <cellStyle name="Normal 4 2 2 3 7 3 2" xfId="14406" xr:uid="{EE4F8A7E-0AFB-43DB-9BDF-96B2F04D7E44}"/>
    <cellStyle name="Normal 4 2 2 3 7 4" xfId="10188" xr:uid="{A3D130D0-7DF1-4E8F-9DF5-711DA09E0143}"/>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E5B51E7C-344E-46D3-8044-13F6BAB09F65}"/>
    <cellStyle name="Normal 4 2 2 3 8 2 3" xfId="12746" xr:uid="{268595CD-6640-41AA-95BF-FDCC68E4BB1F}"/>
    <cellStyle name="Normal 4 2 2 3 8 3" xfId="6369" xr:uid="{00000000-0005-0000-0000-00008F120000}"/>
    <cellStyle name="Normal 4 2 2 3 8 3 2" xfId="14819" xr:uid="{240CCD4B-5AEB-4E0A-921E-B4FD17048637}"/>
    <cellStyle name="Normal 4 2 2 3 8 4" xfId="10601" xr:uid="{85611E6E-2E24-4430-9578-234300491179}"/>
    <cellStyle name="Normal 4 2 2 3 9" xfId="2499" xr:uid="{00000000-0005-0000-0000-000090120000}"/>
    <cellStyle name="Normal 4 2 2 3 9 2" xfId="6782" xr:uid="{00000000-0005-0000-0000-000091120000}"/>
    <cellStyle name="Normal 4 2 2 3 9 2 2" xfId="15232" xr:uid="{B0968089-7504-437F-ADC0-FF8716B6BF30}"/>
    <cellStyle name="Normal 4 2 2 3 9 3" xfId="11014" xr:uid="{9CA80CA9-761D-4EF6-AC97-805B4CCE96E2}"/>
    <cellStyle name="Normal 4 2 2 4" xfId="347" xr:uid="{00000000-0005-0000-0000-000092120000}"/>
    <cellStyle name="Normal 4 2 2 4 10" xfId="8957" xr:uid="{52C0930A-D8B6-4B8F-9226-AF2C1DE2862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042A2159-E700-4A77-8BC1-2EC6461ED028}"/>
    <cellStyle name="Normal 4 2 2 4 2 2 2 2 3" xfId="11517" xr:uid="{F68F8025-500E-4EBC-8F43-F9B10B72BE83}"/>
    <cellStyle name="Normal 4 2 2 4 2 2 2 3" xfId="5140" xr:uid="{00000000-0005-0000-0000-000098120000}"/>
    <cellStyle name="Normal 4 2 2 4 2 2 2 3 2" xfId="13590" xr:uid="{57DD4C6B-DA99-4FEF-A703-D8B3AFA0224A}"/>
    <cellStyle name="Normal 4 2 2 4 2 2 2 4" xfId="9372" xr:uid="{CE5CA6F7-BDF8-4DF5-B5AF-CAEBFC80AA6D}"/>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89BE028C-9159-4889-B936-9CD40F6EB1CD}"/>
    <cellStyle name="Normal 4 2 2 4 2 2 3 2 3" xfId="11930" xr:uid="{48DDD022-54B6-49E4-BC2C-434B93DDADFF}"/>
    <cellStyle name="Normal 4 2 2 4 2 2 3 3" xfId="5553" xr:uid="{00000000-0005-0000-0000-00009C120000}"/>
    <cellStyle name="Normal 4 2 2 4 2 2 3 3 2" xfId="14003" xr:uid="{59AEA705-9566-487C-9C27-8D9FF586102E}"/>
    <cellStyle name="Normal 4 2 2 4 2 2 3 4" xfId="9785" xr:uid="{2F59E7FB-AB6F-427A-8007-89EC32424499}"/>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BE793260-2A12-4CE5-896F-E5317547A523}"/>
    <cellStyle name="Normal 4 2 2 4 2 2 4 2 3" xfId="12343" xr:uid="{58F72FF1-2753-40A3-823B-334BD66B7E69}"/>
    <cellStyle name="Normal 4 2 2 4 2 2 4 3" xfId="5966" xr:uid="{00000000-0005-0000-0000-0000A0120000}"/>
    <cellStyle name="Normal 4 2 2 4 2 2 4 3 2" xfId="14416" xr:uid="{3D7DF9B6-53ED-4EFF-868D-383A0814FB74}"/>
    <cellStyle name="Normal 4 2 2 4 2 2 4 4" xfId="10198" xr:uid="{D99DA4D6-19D6-4312-96A9-3A4BEE51E834}"/>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511088A2-4E52-4FF5-BD31-C3A59015A387}"/>
    <cellStyle name="Normal 4 2 2 4 2 2 5 2 3" xfId="12756" xr:uid="{CD315157-E1AB-4125-AA8A-5ACE683268AD}"/>
    <cellStyle name="Normal 4 2 2 4 2 2 5 3" xfId="6379" xr:uid="{00000000-0005-0000-0000-0000A4120000}"/>
    <cellStyle name="Normal 4 2 2 4 2 2 5 3 2" xfId="14829" xr:uid="{2F4D15CE-5531-4751-A5D4-933B509D5A54}"/>
    <cellStyle name="Normal 4 2 2 4 2 2 5 4" xfId="10611" xr:uid="{0A21DE01-7BC1-4C24-88AE-49BE5DB9FC37}"/>
    <cellStyle name="Normal 4 2 2 4 2 2 6" xfId="2509" xr:uid="{00000000-0005-0000-0000-0000A5120000}"/>
    <cellStyle name="Normal 4 2 2 4 2 2 6 2" xfId="6792" xr:uid="{00000000-0005-0000-0000-0000A6120000}"/>
    <cellStyle name="Normal 4 2 2 4 2 2 6 2 2" xfId="15242" xr:uid="{0A91D675-BEC0-4899-B209-A5F5BF337743}"/>
    <cellStyle name="Normal 4 2 2 4 2 2 6 3" xfId="11024" xr:uid="{24AEC88B-470E-406E-808D-B0765EBED054}"/>
    <cellStyle name="Normal 4 2 2 4 2 2 7" xfId="4727" xr:uid="{00000000-0005-0000-0000-0000A7120000}"/>
    <cellStyle name="Normal 4 2 2 4 2 2 7 2" xfId="13177" xr:uid="{B6E27578-665D-4275-B980-FB54CAF24D2A}"/>
    <cellStyle name="Normal 4 2 2 4 2 2 8" xfId="8959" xr:uid="{8AF75327-B971-430A-A3F0-6C8E02930A8E}"/>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92E323F3-DE14-4CA8-AD79-43253045299F}"/>
    <cellStyle name="Normal 4 2 2 4 2 3 2 3" xfId="11516" xr:uid="{6CFF6EB5-A821-46C5-883B-AC58E3D4306B}"/>
    <cellStyle name="Normal 4 2 2 4 2 3 3" xfId="5139" xr:uid="{00000000-0005-0000-0000-0000AB120000}"/>
    <cellStyle name="Normal 4 2 2 4 2 3 3 2" xfId="13589" xr:uid="{FC31D762-51B6-493B-A608-EBEC14E3AA09}"/>
    <cellStyle name="Normal 4 2 2 4 2 3 4" xfId="9371" xr:uid="{845EEB9F-F383-4F24-B178-D93A59D174E7}"/>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9EBC4AC4-68FC-4B13-A327-6F176DFC3F2A}"/>
    <cellStyle name="Normal 4 2 2 4 2 4 2 3" xfId="11929" xr:uid="{5B6B6078-9571-4D6A-8698-24BC4FAD9AA3}"/>
    <cellStyle name="Normal 4 2 2 4 2 4 3" xfId="5552" xr:uid="{00000000-0005-0000-0000-0000AF120000}"/>
    <cellStyle name="Normal 4 2 2 4 2 4 3 2" xfId="14002" xr:uid="{06E717F6-0AD7-49FD-9F78-38FFE090A367}"/>
    <cellStyle name="Normal 4 2 2 4 2 4 4" xfId="9784" xr:uid="{32598AE7-66AA-4A58-8B2A-B06FB368ADFB}"/>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518E6CCA-1E45-402F-A248-A89518AB9F99}"/>
    <cellStyle name="Normal 4 2 2 4 2 5 2 3" xfId="12342" xr:uid="{13B4796F-D392-45FE-AE6D-CA701B4D7895}"/>
    <cellStyle name="Normal 4 2 2 4 2 5 3" xfId="5965" xr:uid="{00000000-0005-0000-0000-0000B3120000}"/>
    <cellStyle name="Normal 4 2 2 4 2 5 3 2" xfId="14415" xr:uid="{ABAACA7B-0D7D-404B-A662-17567873D3C2}"/>
    <cellStyle name="Normal 4 2 2 4 2 5 4" xfId="10197" xr:uid="{21E11FC6-D502-4839-8368-15BA23EAB1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87BC490F-D61B-452C-A9F2-13B2A98554FC}"/>
    <cellStyle name="Normal 4 2 2 4 2 6 2 3" xfId="12755" xr:uid="{27FF011E-D430-4FF2-B9A9-41B49E97BEAB}"/>
    <cellStyle name="Normal 4 2 2 4 2 6 3" xfId="6378" xr:uid="{00000000-0005-0000-0000-0000B7120000}"/>
    <cellStyle name="Normal 4 2 2 4 2 6 3 2" xfId="14828" xr:uid="{25D73219-0FE2-4FB3-A5FB-5ACFFA13E51E}"/>
    <cellStyle name="Normal 4 2 2 4 2 6 4" xfId="10610" xr:uid="{F3C0B9FC-0362-405D-AECB-8AE8F21BA93C}"/>
    <cellStyle name="Normal 4 2 2 4 2 7" xfId="2508" xr:uid="{00000000-0005-0000-0000-0000B8120000}"/>
    <cellStyle name="Normal 4 2 2 4 2 7 2" xfId="6791" xr:uid="{00000000-0005-0000-0000-0000B9120000}"/>
    <cellStyle name="Normal 4 2 2 4 2 7 2 2" xfId="15241" xr:uid="{16189DA6-031C-45C3-9973-CD097E3A82D9}"/>
    <cellStyle name="Normal 4 2 2 4 2 7 3" xfId="11023" xr:uid="{9F790141-B9D2-423C-86CD-F94E004062FC}"/>
    <cellStyle name="Normal 4 2 2 4 2 8" xfId="4726" xr:uid="{00000000-0005-0000-0000-0000BA120000}"/>
    <cellStyle name="Normal 4 2 2 4 2 8 2" xfId="13176" xr:uid="{366C8F40-E5D2-4175-95CA-614E18883CA3}"/>
    <cellStyle name="Normal 4 2 2 4 2 9" xfId="8958" xr:uid="{A03F76AE-FA3C-40CD-9BCE-AA863C6D099A}"/>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7BB75A88-31E1-4621-808E-3F5F080A3A03}"/>
    <cellStyle name="Normal 4 2 2 4 3 2 2 3" xfId="11518" xr:uid="{6B20E411-24B0-4420-A9D8-FA4B1C3B758F}"/>
    <cellStyle name="Normal 4 2 2 4 3 2 3" xfId="5141" xr:uid="{00000000-0005-0000-0000-0000BF120000}"/>
    <cellStyle name="Normal 4 2 2 4 3 2 3 2" xfId="13591" xr:uid="{B4D78629-4B8C-44A8-A1ED-645BBF0E8917}"/>
    <cellStyle name="Normal 4 2 2 4 3 2 4" xfId="9373" xr:uid="{F20EE5CE-4F6C-4B57-921D-CCF635631F5D}"/>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361D0B1B-1528-43DD-8A76-CD8254475F6A}"/>
    <cellStyle name="Normal 4 2 2 4 3 3 2 3" xfId="11931" xr:uid="{8C31E76B-05A2-49A6-BFED-A7648835E0D0}"/>
    <cellStyle name="Normal 4 2 2 4 3 3 3" xfId="5554" xr:uid="{00000000-0005-0000-0000-0000C3120000}"/>
    <cellStyle name="Normal 4 2 2 4 3 3 3 2" xfId="14004" xr:uid="{254AFF93-CD3E-48D1-946D-189DF25965FC}"/>
    <cellStyle name="Normal 4 2 2 4 3 3 4" xfId="9786" xr:uid="{BED57FC1-9A45-4636-9FA1-C2E119FD869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D97A7FB3-FFD9-4935-A8C5-0C1E3CFDF444}"/>
    <cellStyle name="Normal 4 2 2 4 3 4 2 3" xfId="12344" xr:uid="{15BAE1FB-87BB-4CBE-897D-11EBB4830952}"/>
    <cellStyle name="Normal 4 2 2 4 3 4 3" xfId="5967" xr:uid="{00000000-0005-0000-0000-0000C7120000}"/>
    <cellStyle name="Normal 4 2 2 4 3 4 3 2" xfId="14417" xr:uid="{8799495D-3B98-4F0B-9184-B304D8A7DC86}"/>
    <cellStyle name="Normal 4 2 2 4 3 4 4" xfId="10199" xr:uid="{40000F49-B71A-4350-BBC8-BD6E2E3646C2}"/>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4032FEB3-30FB-412E-ABDC-0E0DCDDD5407}"/>
    <cellStyle name="Normal 4 2 2 4 3 5 2 3" xfId="12757" xr:uid="{BB95B3E9-995F-4347-9B5E-0757AA39723A}"/>
    <cellStyle name="Normal 4 2 2 4 3 5 3" xfId="6380" xr:uid="{00000000-0005-0000-0000-0000CB120000}"/>
    <cellStyle name="Normal 4 2 2 4 3 5 3 2" xfId="14830" xr:uid="{45B90F03-B5BB-4F05-863D-B429999CFD30}"/>
    <cellStyle name="Normal 4 2 2 4 3 5 4" xfId="10612" xr:uid="{6B452805-46F0-41B4-8712-F19EBBCFD524}"/>
    <cellStyle name="Normal 4 2 2 4 3 6" xfId="2510" xr:uid="{00000000-0005-0000-0000-0000CC120000}"/>
    <cellStyle name="Normal 4 2 2 4 3 6 2" xfId="6793" xr:uid="{00000000-0005-0000-0000-0000CD120000}"/>
    <cellStyle name="Normal 4 2 2 4 3 6 2 2" xfId="15243" xr:uid="{9FA64DE6-2695-4014-9C30-C361120E31BD}"/>
    <cellStyle name="Normal 4 2 2 4 3 6 3" xfId="11025" xr:uid="{67C258AC-CA2F-40DE-B086-1131544FC21E}"/>
    <cellStyle name="Normal 4 2 2 4 3 7" xfId="4728" xr:uid="{00000000-0005-0000-0000-0000CE120000}"/>
    <cellStyle name="Normal 4 2 2 4 3 7 2" xfId="13178" xr:uid="{C1218CC3-88B1-469B-9FF8-B576DF494BA8}"/>
    <cellStyle name="Normal 4 2 2 4 3 8" xfId="8960" xr:uid="{CB635C59-4C80-45E0-99C0-6E658185DF6F}"/>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48B1D8CD-2846-479B-8D8D-090FEE1F9C5E}"/>
    <cellStyle name="Normal 4 2 2 4 4 2 3" xfId="11515" xr:uid="{4D4719CF-F928-4AC6-ADBD-EB08CED0774B}"/>
    <cellStyle name="Normal 4 2 2 4 4 3" xfId="5138" xr:uid="{00000000-0005-0000-0000-0000D2120000}"/>
    <cellStyle name="Normal 4 2 2 4 4 3 2" xfId="13588" xr:uid="{ED9E9F6C-9AA7-45C3-972B-5C6DFC51A6B2}"/>
    <cellStyle name="Normal 4 2 2 4 4 4" xfId="9370" xr:uid="{FBFE9653-BED8-4374-8B88-AA74B6ABCEFA}"/>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B1B3CBB4-4F6A-4963-B1F7-A083A11EF71E}"/>
    <cellStyle name="Normal 4 2 2 4 5 2 3" xfId="11928" xr:uid="{3335B73E-A831-474F-8662-8057EA563CFE}"/>
    <cellStyle name="Normal 4 2 2 4 5 3" xfId="5551" xr:uid="{00000000-0005-0000-0000-0000D6120000}"/>
    <cellStyle name="Normal 4 2 2 4 5 3 2" xfId="14001" xr:uid="{019650B7-390E-4BEA-8A3A-32E326013EB0}"/>
    <cellStyle name="Normal 4 2 2 4 5 4" xfId="9783" xr:uid="{3F953E45-0B2B-421B-BD12-B21754C67BDE}"/>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055E955E-4F3C-4FA7-A3C2-7CE8612A680E}"/>
    <cellStyle name="Normal 4 2 2 4 6 2 3" xfId="12341" xr:uid="{AA27E3D6-719E-4C91-8245-5CA0C715BECE}"/>
    <cellStyle name="Normal 4 2 2 4 6 3" xfId="5964" xr:uid="{00000000-0005-0000-0000-0000DA120000}"/>
    <cellStyle name="Normal 4 2 2 4 6 3 2" xfId="14414" xr:uid="{AD66D136-37D7-4C64-967A-1B8B69863CD9}"/>
    <cellStyle name="Normal 4 2 2 4 6 4" xfId="10196" xr:uid="{7DC80751-D916-40B4-BB03-50619322C1B1}"/>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200889AD-2A05-42DC-847C-DC7828B5077D}"/>
    <cellStyle name="Normal 4 2 2 4 7 2 3" xfId="12754" xr:uid="{3E627E47-CECB-4B3E-9660-637296A70F57}"/>
    <cellStyle name="Normal 4 2 2 4 7 3" xfId="6377" xr:uid="{00000000-0005-0000-0000-0000DE120000}"/>
    <cellStyle name="Normal 4 2 2 4 7 3 2" xfId="14827" xr:uid="{D75563EE-0788-4962-A23D-953DCB982AF3}"/>
    <cellStyle name="Normal 4 2 2 4 7 4" xfId="10609" xr:uid="{8D5DD736-705C-4B08-88A2-F1158F8DB489}"/>
    <cellStyle name="Normal 4 2 2 4 8" xfId="2507" xr:uid="{00000000-0005-0000-0000-0000DF120000}"/>
    <cellStyle name="Normal 4 2 2 4 8 2" xfId="6790" xr:uid="{00000000-0005-0000-0000-0000E0120000}"/>
    <cellStyle name="Normal 4 2 2 4 8 2 2" xfId="15240" xr:uid="{DA6C7184-425D-479C-9B27-F2255029761F}"/>
    <cellStyle name="Normal 4 2 2 4 8 3" xfId="11022" xr:uid="{627C19DD-81E8-4832-9C70-CC4E2E148050}"/>
    <cellStyle name="Normal 4 2 2 4 9" xfId="4725" xr:uid="{00000000-0005-0000-0000-0000E1120000}"/>
    <cellStyle name="Normal 4 2 2 4 9 2" xfId="13175" xr:uid="{C054F773-8148-49CA-9465-EE886E209D03}"/>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A7216A05-7A06-4F30-AA9A-F22EF72069B6}"/>
    <cellStyle name="Normal 4 2 2 5 2 2 2 3" xfId="11520" xr:uid="{BC1C54BF-D64B-4C72-8CBE-85BB6A5A210F}"/>
    <cellStyle name="Normal 4 2 2 5 2 2 3" xfId="5143" xr:uid="{00000000-0005-0000-0000-0000E7120000}"/>
    <cellStyle name="Normal 4 2 2 5 2 2 3 2" xfId="13593" xr:uid="{70C7EE4E-ADEC-49C1-BAD8-0C71061EA2CF}"/>
    <cellStyle name="Normal 4 2 2 5 2 2 4" xfId="9375" xr:uid="{021745D9-634A-4133-AC29-30EA7618B60B}"/>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B7837BEA-8A84-45F9-83CF-06D6566F96C4}"/>
    <cellStyle name="Normal 4 2 2 5 2 3 2 3" xfId="11933" xr:uid="{2407CB47-F2D6-48A2-B0D4-C08B9E5C46A0}"/>
    <cellStyle name="Normal 4 2 2 5 2 3 3" xfId="5556" xr:uid="{00000000-0005-0000-0000-0000EB120000}"/>
    <cellStyle name="Normal 4 2 2 5 2 3 3 2" xfId="14006" xr:uid="{85276AC0-6A56-478C-9A2C-70223EB7676C}"/>
    <cellStyle name="Normal 4 2 2 5 2 3 4" xfId="9788" xr:uid="{880D4EF5-23FC-4A73-B502-D840EB364D0C}"/>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A80EE637-668A-43C7-96ED-E57F5F07CA99}"/>
    <cellStyle name="Normal 4 2 2 5 2 4 2 3" xfId="12346" xr:uid="{7BB9ECCD-457E-44A2-9783-B649D164A4F8}"/>
    <cellStyle name="Normal 4 2 2 5 2 4 3" xfId="5969" xr:uid="{00000000-0005-0000-0000-0000EF120000}"/>
    <cellStyle name="Normal 4 2 2 5 2 4 3 2" xfId="14419" xr:uid="{07E59484-74FA-4C66-B756-11B574DB928D}"/>
    <cellStyle name="Normal 4 2 2 5 2 4 4" xfId="10201" xr:uid="{7242C756-6240-4659-8C42-5AB1EF7706FD}"/>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DD2CA15A-F879-4A6D-9A07-E5C3A7E5C2E3}"/>
    <cellStyle name="Normal 4 2 2 5 2 5 2 3" xfId="12759" xr:uid="{DB249F9A-C0DA-40DB-B6B9-25D536BB77E7}"/>
    <cellStyle name="Normal 4 2 2 5 2 5 3" xfId="6382" xr:uid="{00000000-0005-0000-0000-0000F3120000}"/>
    <cellStyle name="Normal 4 2 2 5 2 5 3 2" xfId="14832" xr:uid="{2C39553A-BC1D-4A26-8A0B-286E68F046A9}"/>
    <cellStyle name="Normal 4 2 2 5 2 5 4" xfId="10614" xr:uid="{ACA82ABB-C0F2-46EB-AA16-4E8937171ED0}"/>
    <cellStyle name="Normal 4 2 2 5 2 6" xfId="2512" xr:uid="{00000000-0005-0000-0000-0000F4120000}"/>
    <cellStyle name="Normal 4 2 2 5 2 6 2" xfId="6795" xr:uid="{00000000-0005-0000-0000-0000F5120000}"/>
    <cellStyle name="Normal 4 2 2 5 2 6 2 2" xfId="15245" xr:uid="{5F3DAA7E-7470-4331-975F-B5F1391EB725}"/>
    <cellStyle name="Normal 4 2 2 5 2 6 3" xfId="11027" xr:uid="{9913C4A5-7AB2-4A4C-BE32-F2D2FF1831B7}"/>
    <cellStyle name="Normal 4 2 2 5 2 7" xfId="4730" xr:uid="{00000000-0005-0000-0000-0000F6120000}"/>
    <cellStyle name="Normal 4 2 2 5 2 7 2" xfId="13180" xr:uid="{BB14358B-BC32-47CA-B9CE-BEE7D9F76346}"/>
    <cellStyle name="Normal 4 2 2 5 2 8" xfId="8962" xr:uid="{EF9E5D39-5CC8-4704-808A-FB1EE4F43564}"/>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E25AB1FB-EEC3-4F0C-91DE-937ABAE751FC}"/>
    <cellStyle name="Normal 4 2 2 5 3 2 3" xfId="11519" xr:uid="{7F43A45B-959E-4139-B279-5871C6B82346}"/>
    <cellStyle name="Normal 4 2 2 5 3 3" xfId="5142" xr:uid="{00000000-0005-0000-0000-0000FA120000}"/>
    <cellStyle name="Normal 4 2 2 5 3 3 2" xfId="13592" xr:uid="{0DAE671B-F649-4892-A827-DF615967AE4E}"/>
    <cellStyle name="Normal 4 2 2 5 3 4" xfId="9374" xr:uid="{89F7DB5A-EC30-4608-B710-3D7E68E72016}"/>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00F2BA82-154D-4027-ADFF-4061C1306C8C}"/>
    <cellStyle name="Normal 4 2 2 5 4 2 3" xfId="11932" xr:uid="{B30CB190-62E2-4025-BBA3-E1DC9B79D04D}"/>
    <cellStyle name="Normal 4 2 2 5 4 3" xfId="5555" xr:uid="{00000000-0005-0000-0000-0000FE120000}"/>
    <cellStyle name="Normal 4 2 2 5 4 3 2" xfId="14005" xr:uid="{840ED89B-B45B-4C7F-B142-4F513C63396A}"/>
    <cellStyle name="Normal 4 2 2 5 4 4" xfId="9787" xr:uid="{6616A2C0-AAC8-4F80-B44B-E2E388023297}"/>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81E83030-DF59-4698-BA97-6F4CC279ED59}"/>
    <cellStyle name="Normal 4 2 2 5 5 2 3" xfId="12345" xr:uid="{640F7F91-D583-4AE8-9AE9-B85BE7958650}"/>
    <cellStyle name="Normal 4 2 2 5 5 3" xfId="5968" xr:uid="{00000000-0005-0000-0000-000002130000}"/>
    <cellStyle name="Normal 4 2 2 5 5 3 2" xfId="14418" xr:uid="{2F392E62-2CFC-4950-83BF-2A612B2230E5}"/>
    <cellStyle name="Normal 4 2 2 5 5 4" xfId="10200" xr:uid="{469B9FE2-0F72-411F-978A-56390BE7EFC0}"/>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4E337851-F70A-459C-902F-95B8050506D5}"/>
    <cellStyle name="Normal 4 2 2 5 6 2 3" xfId="12758" xr:uid="{07E46331-1F58-4195-8061-45BD01155E5A}"/>
    <cellStyle name="Normal 4 2 2 5 6 3" xfId="6381" xr:uid="{00000000-0005-0000-0000-000006130000}"/>
    <cellStyle name="Normal 4 2 2 5 6 3 2" xfId="14831" xr:uid="{9E436893-2AAA-44C1-97C0-E6289AD15D33}"/>
    <cellStyle name="Normal 4 2 2 5 6 4" xfId="10613" xr:uid="{6625442F-B066-4E15-AE77-AB1FA20C5AF1}"/>
    <cellStyle name="Normal 4 2 2 5 7" xfId="2511" xr:uid="{00000000-0005-0000-0000-000007130000}"/>
    <cellStyle name="Normal 4 2 2 5 7 2" xfId="6794" xr:uid="{00000000-0005-0000-0000-000008130000}"/>
    <cellStyle name="Normal 4 2 2 5 7 2 2" xfId="15244" xr:uid="{D92C8A9C-4F36-4568-9C6A-468A6BAA7AA6}"/>
    <cellStyle name="Normal 4 2 2 5 7 3" xfId="11026" xr:uid="{DA08E142-5ED8-4D3C-977F-35FCDDE6F858}"/>
    <cellStyle name="Normal 4 2 2 5 8" xfId="4729" xr:uid="{00000000-0005-0000-0000-000009130000}"/>
    <cellStyle name="Normal 4 2 2 5 8 2" xfId="13179" xr:uid="{2E1A1FC8-5DBC-4A2C-8A3B-2C9DE04A02E6}"/>
    <cellStyle name="Normal 4 2 2 5 9" xfId="8961" xr:uid="{0D8BFB39-8004-4F82-9605-CEEB51531552}"/>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6B10CF8F-9012-44E4-981D-FB2F791643D1}"/>
    <cellStyle name="Normal 4 2 2 6 2 2 3" xfId="11521" xr:uid="{85E02D9F-7697-45D6-8724-042319F6C4A6}"/>
    <cellStyle name="Normal 4 2 2 6 2 3" xfId="5144" xr:uid="{00000000-0005-0000-0000-00000E130000}"/>
    <cellStyle name="Normal 4 2 2 6 2 3 2" xfId="13594" xr:uid="{EE086EE9-E590-42DF-B7D6-609C40418FFB}"/>
    <cellStyle name="Normal 4 2 2 6 2 4" xfId="9376" xr:uid="{9A7A556C-8D64-44D5-8B82-9A05FA68F7B8}"/>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5511B2CC-6974-47C3-92EE-0F8EDBC68A83}"/>
    <cellStyle name="Normal 4 2 2 6 3 2 3" xfId="11934" xr:uid="{9A7F3B4F-8B2E-4E1E-884A-BECED3E04B2C}"/>
    <cellStyle name="Normal 4 2 2 6 3 3" xfId="5557" xr:uid="{00000000-0005-0000-0000-000012130000}"/>
    <cellStyle name="Normal 4 2 2 6 3 3 2" xfId="14007" xr:uid="{CF49C489-005E-41A1-AB2B-5EC1A34F38F5}"/>
    <cellStyle name="Normal 4 2 2 6 3 4" xfId="9789" xr:uid="{A10B0939-BB56-45D9-83CA-1231E3390E48}"/>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CF517D9D-A728-41C5-BFEA-D02B507E23F8}"/>
    <cellStyle name="Normal 4 2 2 6 4 2 3" xfId="12347" xr:uid="{B3A00418-E553-4FAB-B344-E58B9744B913}"/>
    <cellStyle name="Normal 4 2 2 6 4 3" xfId="5970" xr:uid="{00000000-0005-0000-0000-000016130000}"/>
    <cellStyle name="Normal 4 2 2 6 4 3 2" xfId="14420" xr:uid="{7234FBEC-A5A3-49A9-BFDB-2582FB337BCF}"/>
    <cellStyle name="Normal 4 2 2 6 4 4" xfId="10202" xr:uid="{0CCBD7C7-C18F-4BA9-94E0-DE58235C5D75}"/>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229DF3DF-F581-491F-8FD3-50DF2952D039}"/>
    <cellStyle name="Normal 4 2 2 6 5 2 3" xfId="12760" xr:uid="{A3C67E39-1DDD-4292-8272-0ACD4CB90742}"/>
    <cellStyle name="Normal 4 2 2 6 5 3" xfId="6383" xr:uid="{00000000-0005-0000-0000-00001A130000}"/>
    <cellStyle name="Normal 4 2 2 6 5 3 2" xfId="14833" xr:uid="{E990EF5F-37B9-40F0-BD45-882600BF62E0}"/>
    <cellStyle name="Normal 4 2 2 6 5 4" xfId="10615" xr:uid="{F78DE775-483D-4CA4-A06C-91B1761FB892}"/>
    <cellStyle name="Normal 4 2 2 6 6" xfId="2513" xr:uid="{00000000-0005-0000-0000-00001B130000}"/>
    <cellStyle name="Normal 4 2 2 6 6 2" xfId="6796" xr:uid="{00000000-0005-0000-0000-00001C130000}"/>
    <cellStyle name="Normal 4 2 2 6 6 2 2" xfId="15246" xr:uid="{CC0D030B-2891-4D17-977F-8759E8590BDD}"/>
    <cellStyle name="Normal 4 2 2 6 6 3" xfId="11028" xr:uid="{816DFE2D-FFF8-4035-893A-150E8894DFCE}"/>
    <cellStyle name="Normal 4 2 2 6 7" xfId="4731" xr:uid="{00000000-0005-0000-0000-00001D130000}"/>
    <cellStyle name="Normal 4 2 2 6 7 2" xfId="13181" xr:uid="{D9FE634C-6728-477E-9AC4-623EE434A80B}"/>
    <cellStyle name="Normal 4 2 2 6 8" xfId="8963" xr:uid="{F523C648-4A4C-4390-839C-97B0C47351BA}"/>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CACE8166-4B8D-4B1E-8530-72E05784B132}"/>
    <cellStyle name="Normal 4 2 2 7 2 3" xfId="11506" xr:uid="{6ED45194-FD34-4DB5-9FEE-5313FAB5F030}"/>
    <cellStyle name="Normal 4 2 2 7 3" xfId="5129" xr:uid="{00000000-0005-0000-0000-000021130000}"/>
    <cellStyle name="Normal 4 2 2 7 3 2" xfId="13579" xr:uid="{9DDD1931-7E34-434F-9AD6-F53C90108150}"/>
    <cellStyle name="Normal 4 2 2 7 4" xfId="9361" xr:uid="{A9D9378E-9E50-4D0F-BF03-20C10010670A}"/>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6410C5F1-DF24-4F7C-91BB-14FB15602DB9}"/>
    <cellStyle name="Normal 4 2 2 8 2 3" xfId="11919" xr:uid="{5C9A5EA4-A859-4E5E-9D7F-C015BA9FC57B}"/>
    <cellStyle name="Normal 4 2 2 8 3" xfId="5542" xr:uid="{00000000-0005-0000-0000-000025130000}"/>
    <cellStyle name="Normal 4 2 2 8 3 2" xfId="13992" xr:uid="{CBD24A86-5926-48C1-8758-1355603EE321}"/>
    <cellStyle name="Normal 4 2 2 8 4" xfId="9774" xr:uid="{9E07515B-690F-4949-90DD-F1769DA15CEE}"/>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133F034E-8FCD-45FE-A446-67AC54AB7F15}"/>
    <cellStyle name="Normal 4 2 2 9 2 3" xfId="12332" xr:uid="{52136BFD-D2C0-4910-B7D6-4EE6C7CBD854}"/>
    <cellStyle name="Normal 4 2 2 9 3" xfId="5955" xr:uid="{00000000-0005-0000-0000-000029130000}"/>
    <cellStyle name="Normal 4 2 2 9 3 2" xfId="14405" xr:uid="{40682912-B149-4919-B27B-918BF32D7BB9}"/>
    <cellStyle name="Normal 4 2 2 9 4" xfId="10187" xr:uid="{B72C26AA-F468-42F3-B2CA-6E8144BFC105}"/>
    <cellStyle name="Normal 4 2 3" xfId="354" xr:uid="{00000000-0005-0000-0000-00002A130000}"/>
    <cellStyle name="Normal 4 2 4" xfId="355" xr:uid="{00000000-0005-0000-0000-00002B130000}"/>
    <cellStyle name="Normal 4 2 4 10" xfId="4732" xr:uid="{00000000-0005-0000-0000-00002C130000}"/>
    <cellStyle name="Normal 4 2 4 10 2" xfId="13182" xr:uid="{D5471421-3386-41A9-B8ED-B5C0C7FEE598}"/>
    <cellStyle name="Normal 4 2 4 11" xfId="8964" xr:uid="{15AF7383-A266-4E6B-A6B8-8C129B5A79B1}"/>
    <cellStyle name="Normal 4 2 4 2" xfId="356" xr:uid="{00000000-0005-0000-0000-00002D130000}"/>
    <cellStyle name="Normal 4 2 4 2 10" xfId="8965" xr:uid="{E52FAF98-3415-433E-B2DA-EA430E53B937}"/>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5EEEF08B-43F4-4DC9-A4F8-FAB6666BB523}"/>
    <cellStyle name="Normal 4 2 4 2 2 2 2 2 3" xfId="11525" xr:uid="{1046A1CB-E898-4FB4-84C8-C83CA9DC0C9F}"/>
    <cellStyle name="Normal 4 2 4 2 2 2 2 3" xfId="5148" xr:uid="{00000000-0005-0000-0000-000033130000}"/>
    <cellStyle name="Normal 4 2 4 2 2 2 2 3 2" xfId="13598" xr:uid="{BBD4CAB1-92C1-44FA-B6EC-0F305DE4E376}"/>
    <cellStyle name="Normal 4 2 4 2 2 2 2 4" xfId="9380" xr:uid="{E08240AE-8FE3-4788-A876-9821692353E7}"/>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1F00A951-80AC-4611-8604-8E17573791A5}"/>
    <cellStyle name="Normal 4 2 4 2 2 2 3 2 3" xfId="11938" xr:uid="{913B78A0-D922-457A-AD8A-E46D5C6D452B}"/>
    <cellStyle name="Normal 4 2 4 2 2 2 3 3" xfId="5561" xr:uid="{00000000-0005-0000-0000-000037130000}"/>
    <cellStyle name="Normal 4 2 4 2 2 2 3 3 2" xfId="14011" xr:uid="{0BD339D4-DD22-43B8-B3A7-D493FC571412}"/>
    <cellStyle name="Normal 4 2 4 2 2 2 3 4" xfId="9793" xr:uid="{626B84F2-D03D-4526-970E-95FC05B8009F}"/>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DF0C2C23-4F16-41C5-BC7A-4A5A7CFD0859}"/>
    <cellStyle name="Normal 4 2 4 2 2 2 4 2 3" xfId="12351" xr:uid="{25876670-3F61-4ED8-AAF6-3BEB65B782A6}"/>
    <cellStyle name="Normal 4 2 4 2 2 2 4 3" xfId="5974" xr:uid="{00000000-0005-0000-0000-00003B130000}"/>
    <cellStyle name="Normal 4 2 4 2 2 2 4 3 2" xfId="14424" xr:uid="{7099D55A-9900-45BB-B587-26091976CEB4}"/>
    <cellStyle name="Normal 4 2 4 2 2 2 4 4" xfId="10206" xr:uid="{726E40F3-3A98-460F-872D-5DA3F3E77907}"/>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108A7BDC-D07C-4BFD-A49E-91BAA071699C}"/>
    <cellStyle name="Normal 4 2 4 2 2 2 5 2 3" xfId="12764" xr:uid="{4EA0CABA-E410-468A-A201-0709484BB2D8}"/>
    <cellStyle name="Normal 4 2 4 2 2 2 5 3" xfId="6387" xr:uid="{00000000-0005-0000-0000-00003F130000}"/>
    <cellStyle name="Normal 4 2 4 2 2 2 5 3 2" xfId="14837" xr:uid="{3C8E742C-D0BF-496D-9860-BA03E7E028FF}"/>
    <cellStyle name="Normal 4 2 4 2 2 2 5 4" xfId="10619" xr:uid="{BDDD3F5F-D6C3-4F3B-9BF4-013D87E510FC}"/>
    <cellStyle name="Normal 4 2 4 2 2 2 6" xfId="2517" xr:uid="{00000000-0005-0000-0000-000040130000}"/>
    <cellStyle name="Normal 4 2 4 2 2 2 6 2" xfId="6800" xr:uid="{00000000-0005-0000-0000-000041130000}"/>
    <cellStyle name="Normal 4 2 4 2 2 2 6 2 2" xfId="15250" xr:uid="{F536FF71-454F-435F-AFE6-F9DCCF0CB187}"/>
    <cellStyle name="Normal 4 2 4 2 2 2 6 3" xfId="11032" xr:uid="{FA9211C1-E116-4346-BD73-E8BEEE60529D}"/>
    <cellStyle name="Normal 4 2 4 2 2 2 7" xfId="4735" xr:uid="{00000000-0005-0000-0000-000042130000}"/>
    <cellStyle name="Normal 4 2 4 2 2 2 7 2" xfId="13185" xr:uid="{4720596C-96B2-46EA-833B-CA717B33CA43}"/>
    <cellStyle name="Normal 4 2 4 2 2 2 8" xfId="8967" xr:uid="{B8C063D8-42C9-43F5-9A9F-DFA88F9EABB5}"/>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C38E6A0A-4BC5-43B8-A6C2-6A87D268D52B}"/>
    <cellStyle name="Normal 4 2 4 2 2 3 2 3" xfId="11524" xr:uid="{9453AFEA-400F-4D08-9970-3A0117DE1B76}"/>
    <cellStyle name="Normal 4 2 4 2 2 3 3" xfId="5147" xr:uid="{00000000-0005-0000-0000-000046130000}"/>
    <cellStyle name="Normal 4 2 4 2 2 3 3 2" xfId="13597" xr:uid="{29315587-EF11-49EF-A508-3099AF237E07}"/>
    <cellStyle name="Normal 4 2 4 2 2 3 4" xfId="9379" xr:uid="{8713B803-1759-4F64-9085-59993B21E7A5}"/>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B769485B-B4BB-4218-868F-C6CC1DAEC536}"/>
    <cellStyle name="Normal 4 2 4 2 2 4 2 3" xfId="11937" xr:uid="{E69DDB09-8348-4617-980D-05C467F6020F}"/>
    <cellStyle name="Normal 4 2 4 2 2 4 3" xfId="5560" xr:uid="{00000000-0005-0000-0000-00004A130000}"/>
    <cellStyle name="Normal 4 2 4 2 2 4 3 2" xfId="14010" xr:uid="{5921FF7D-E09B-495B-B64D-B763CB876C2A}"/>
    <cellStyle name="Normal 4 2 4 2 2 4 4" xfId="9792" xr:uid="{BC4B1652-EFAE-4B5F-990F-397555C6F86D}"/>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A8899518-E469-47FB-954A-2708DB0AEC1E}"/>
    <cellStyle name="Normal 4 2 4 2 2 5 2 3" xfId="12350" xr:uid="{BF076AD4-C0AE-42D4-9493-75CE7F294E71}"/>
    <cellStyle name="Normal 4 2 4 2 2 5 3" xfId="5973" xr:uid="{00000000-0005-0000-0000-00004E130000}"/>
    <cellStyle name="Normal 4 2 4 2 2 5 3 2" xfId="14423" xr:uid="{F10450CD-E8A7-4276-BB37-4ED87011D140}"/>
    <cellStyle name="Normal 4 2 4 2 2 5 4" xfId="10205" xr:uid="{80140656-1755-44B7-A7B1-0467214EBDFC}"/>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AB17FCE5-08A0-46D8-8B3C-F72DF201A354}"/>
    <cellStyle name="Normal 4 2 4 2 2 6 2 3" xfId="12763" xr:uid="{8E4307E4-A544-406A-8AE6-B013464C4FB3}"/>
    <cellStyle name="Normal 4 2 4 2 2 6 3" xfId="6386" xr:uid="{00000000-0005-0000-0000-000052130000}"/>
    <cellStyle name="Normal 4 2 4 2 2 6 3 2" xfId="14836" xr:uid="{2F9BCE71-734F-422B-9BAA-1DAB4C79EDEA}"/>
    <cellStyle name="Normal 4 2 4 2 2 6 4" xfId="10618" xr:uid="{F3B43F0F-56AD-4DC4-8161-6B5F584FE86E}"/>
    <cellStyle name="Normal 4 2 4 2 2 7" xfId="2516" xr:uid="{00000000-0005-0000-0000-000053130000}"/>
    <cellStyle name="Normal 4 2 4 2 2 7 2" xfId="6799" xr:uid="{00000000-0005-0000-0000-000054130000}"/>
    <cellStyle name="Normal 4 2 4 2 2 7 2 2" xfId="15249" xr:uid="{F126703A-461D-44CC-A662-141E55CD2A54}"/>
    <cellStyle name="Normal 4 2 4 2 2 7 3" xfId="11031" xr:uid="{1C42BA91-1FB8-405B-8181-AD49F40FF3D4}"/>
    <cellStyle name="Normal 4 2 4 2 2 8" xfId="4734" xr:uid="{00000000-0005-0000-0000-000055130000}"/>
    <cellStyle name="Normal 4 2 4 2 2 8 2" xfId="13184" xr:uid="{D6F31664-F348-4AF5-B899-926F70E6BD24}"/>
    <cellStyle name="Normal 4 2 4 2 2 9" xfId="8966" xr:uid="{DB9E2579-2B5B-4738-862E-2C13B532C899}"/>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9CF5F1ED-E19C-4A15-9FCF-1C887351681F}"/>
    <cellStyle name="Normal 4 2 4 2 3 2 2 3" xfId="11526" xr:uid="{C99CB4D0-405C-4F9D-8A07-46FF9F0BFEB0}"/>
    <cellStyle name="Normal 4 2 4 2 3 2 3" xfId="5149" xr:uid="{00000000-0005-0000-0000-00005A130000}"/>
    <cellStyle name="Normal 4 2 4 2 3 2 3 2" xfId="13599" xr:uid="{2C5522BD-1F67-4480-AF1D-551455BFD56C}"/>
    <cellStyle name="Normal 4 2 4 2 3 2 4" xfId="9381" xr:uid="{27B226D0-ECFB-498D-8CEA-0B1B64AB6CF9}"/>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7FEAE9D5-817A-4860-BC29-87F95CAE9248}"/>
    <cellStyle name="Normal 4 2 4 2 3 3 2 3" xfId="11939" xr:uid="{353867FA-75EF-4881-8950-23DB794FBECC}"/>
    <cellStyle name="Normal 4 2 4 2 3 3 3" xfId="5562" xr:uid="{00000000-0005-0000-0000-00005E130000}"/>
    <cellStyle name="Normal 4 2 4 2 3 3 3 2" xfId="14012" xr:uid="{C0B51CC6-BCA1-4D00-9F70-5575BE0BB71E}"/>
    <cellStyle name="Normal 4 2 4 2 3 3 4" xfId="9794" xr:uid="{756D509A-CA07-42C4-9455-81ED1B891857}"/>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AF97442E-ED36-4720-BD12-43745DA20237}"/>
    <cellStyle name="Normal 4 2 4 2 3 4 2 3" xfId="12352" xr:uid="{9DDA4562-08F7-4AD7-A4F9-CC8BA0970808}"/>
    <cellStyle name="Normal 4 2 4 2 3 4 3" xfId="5975" xr:uid="{00000000-0005-0000-0000-000062130000}"/>
    <cellStyle name="Normal 4 2 4 2 3 4 3 2" xfId="14425" xr:uid="{41067497-5E4F-4870-A0ED-31857985BCAC}"/>
    <cellStyle name="Normal 4 2 4 2 3 4 4" xfId="10207" xr:uid="{C276FF17-E802-40A8-B741-CC8DE42711C2}"/>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2EE4FF0E-758D-4FED-A664-C8FA05C35AD6}"/>
    <cellStyle name="Normal 4 2 4 2 3 5 2 3" xfId="12765" xr:uid="{E3F8DA57-CD9D-4AA0-9DD7-FC49CA66C21B}"/>
    <cellStyle name="Normal 4 2 4 2 3 5 3" xfId="6388" xr:uid="{00000000-0005-0000-0000-000066130000}"/>
    <cellStyle name="Normal 4 2 4 2 3 5 3 2" xfId="14838" xr:uid="{2A7CD9BD-C15E-437C-9D4C-EC37D3F7C7F4}"/>
    <cellStyle name="Normal 4 2 4 2 3 5 4" xfId="10620" xr:uid="{9B05EFDA-79E3-4625-8C79-5418682F9A0A}"/>
    <cellStyle name="Normal 4 2 4 2 3 6" xfId="2518" xr:uid="{00000000-0005-0000-0000-000067130000}"/>
    <cellStyle name="Normal 4 2 4 2 3 6 2" xfId="6801" xr:uid="{00000000-0005-0000-0000-000068130000}"/>
    <cellStyle name="Normal 4 2 4 2 3 6 2 2" xfId="15251" xr:uid="{1E3271A6-AD07-4E08-99D4-5624B2D84367}"/>
    <cellStyle name="Normal 4 2 4 2 3 6 3" xfId="11033" xr:uid="{841C85B0-60BA-42C0-BCE1-318C33FADA23}"/>
    <cellStyle name="Normal 4 2 4 2 3 7" xfId="4736" xr:uid="{00000000-0005-0000-0000-000069130000}"/>
    <cellStyle name="Normal 4 2 4 2 3 7 2" xfId="13186" xr:uid="{89FB319B-EE26-4C40-8C90-6FFB53CC1092}"/>
    <cellStyle name="Normal 4 2 4 2 3 8" xfId="8968" xr:uid="{08F22138-1141-499E-A1E4-250647674B62}"/>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67182EE9-24B6-404C-9C36-C76AB6C87D26}"/>
    <cellStyle name="Normal 4 2 4 2 4 2 3" xfId="11523" xr:uid="{05173071-BE32-46B9-A488-28749A1CD047}"/>
    <cellStyle name="Normal 4 2 4 2 4 3" xfId="5146" xr:uid="{00000000-0005-0000-0000-00006D130000}"/>
    <cellStyle name="Normal 4 2 4 2 4 3 2" xfId="13596" xr:uid="{1E283BD4-B6E4-4D6A-B3F9-5A739E5DA301}"/>
    <cellStyle name="Normal 4 2 4 2 4 4" xfId="9378" xr:uid="{CD6EB94C-F310-48A5-A16E-C13C69DF94E2}"/>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76429834-A12F-4C4D-ADD5-5859F23922FA}"/>
    <cellStyle name="Normal 4 2 4 2 5 2 3" xfId="11936" xr:uid="{22852DC4-C539-4057-9D84-D74D045E57F3}"/>
    <cellStyle name="Normal 4 2 4 2 5 3" xfId="5559" xr:uid="{00000000-0005-0000-0000-000071130000}"/>
    <cellStyle name="Normal 4 2 4 2 5 3 2" xfId="14009" xr:uid="{B426C00F-1625-43A7-BBA1-9F6A63DB6353}"/>
    <cellStyle name="Normal 4 2 4 2 5 4" xfId="9791" xr:uid="{C334AB3B-D73D-4794-B851-EFDA97D110AC}"/>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8793337C-B4BC-4F1D-8786-62BFEBD7DD75}"/>
    <cellStyle name="Normal 4 2 4 2 6 2 3" xfId="12349" xr:uid="{960A6DFB-97E3-4B13-9B0B-3388788C9707}"/>
    <cellStyle name="Normal 4 2 4 2 6 3" xfId="5972" xr:uid="{00000000-0005-0000-0000-000075130000}"/>
    <cellStyle name="Normal 4 2 4 2 6 3 2" xfId="14422" xr:uid="{0D57F1C0-F1A1-41DC-8F6E-54EE5CA28022}"/>
    <cellStyle name="Normal 4 2 4 2 6 4" xfId="10204" xr:uid="{E69E39D8-F17B-4F94-A91E-70BCA32CDD2B}"/>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9B00DAB4-4B12-41E4-8E77-87050ABE1028}"/>
    <cellStyle name="Normal 4 2 4 2 7 2 3" xfId="12762" xr:uid="{D0552758-B51C-43E0-B1C3-E1267C3F44D3}"/>
    <cellStyle name="Normal 4 2 4 2 7 3" xfId="6385" xr:uid="{00000000-0005-0000-0000-000079130000}"/>
    <cellStyle name="Normal 4 2 4 2 7 3 2" xfId="14835" xr:uid="{5EF3FFA5-6E5F-4405-975C-12A774B1AE9F}"/>
    <cellStyle name="Normal 4 2 4 2 7 4" xfId="10617" xr:uid="{B794DBC5-5C1E-437F-B440-A1EA80088303}"/>
    <cellStyle name="Normal 4 2 4 2 8" xfId="2515" xr:uid="{00000000-0005-0000-0000-00007A130000}"/>
    <cellStyle name="Normal 4 2 4 2 8 2" xfId="6798" xr:uid="{00000000-0005-0000-0000-00007B130000}"/>
    <cellStyle name="Normal 4 2 4 2 8 2 2" xfId="15248" xr:uid="{8F172300-3999-41EC-BA85-74D0D4DDEABD}"/>
    <cellStyle name="Normal 4 2 4 2 8 3" xfId="11030" xr:uid="{56130598-9E1F-4444-B6E2-D37C42934447}"/>
    <cellStyle name="Normal 4 2 4 2 9" xfId="4733" xr:uid="{00000000-0005-0000-0000-00007C130000}"/>
    <cellStyle name="Normal 4 2 4 2 9 2" xfId="13183" xr:uid="{5BDDA62B-3C08-42DA-A4BE-C94A7575BC77}"/>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9C2D23F3-8C62-4E5A-A3AF-BA0291C7B6E3}"/>
    <cellStyle name="Normal 4 2 4 3 2 2 2 3" xfId="11528" xr:uid="{35F6C693-92AD-4E4B-AA02-C73630FE9873}"/>
    <cellStyle name="Normal 4 2 4 3 2 2 3" xfId="5151" xr:uid="{00000000-0005-0000-0000-000082130000}"/>
    <cellStyle name="Normal 4 2 4 3 2 2 3 2" xfId="13601" xr:uid="{0A0058A9-86AA-4A3C-84D8-F371D56D979F}"/>
    <cellStyle name="Normal 4 2 4 3 2 2 4" xfId="9383" xr:uid="{C30154FB-BCB6-4C88-805C-3CCDA0E580C2}"/>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017F3CBB-DD25-452C-A3CB-EB269379903F}"/>
    <cellStyle name="Normal 4 2 4 3 2 3 2 3" xfId="11941" xr:uid="{5D99F691-B16D-460F-A96F-9646626DBD0A}"/>
    <cellStyle name="Normal 4 2 4 3 2 3 3" xfId="5564" xr:uid="{00000000-0005-0000-0000-000086130000}"/>
    <cellStyle name="Normal 4 2 4 3 2 3 3 2" xfId="14014" xr:uid="{0A0CB961-BE03-4FF1-90F8-8B0D17254A11}"/>
    <cellStyle name="Normal 4 2 4 3 2 3 4" xfId="9796" xr:uid="{BC9A10F6-0D5B-417C-985E-8B6306D8225F}"/>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CA490FCE-4BFB-412B-8A1A-5CF7F9D7D44C}"/>
    <cellStyle name="Normal 4 2 4 3 2 4 2 3" xfId="12354" xr:uid="{3907D436-5BA0-4A16-AB2A-32FCFF37467F}"/>
    <cellStyle name="Normal 4 2 4 3 2 4 3" xfId="5977" xr:uid="{00000000-0005-0000-0000-00008A130000}"/>
    <cellStyle name="Normal 4 2 4 3 2 4 3 2" xfId="14427" xr:uid="{4D107774-30E9-4D4E-8C1E-1A771FD340C6}"/>
    <cellStyle name="Normal 4 2 4 3 2 4 4" xfId="10209" xr:uid="{B33CE6E8-D93B-4C4E-94F4-BEA4FF630D7E}"/>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48E9DF40-44D5-490B-898C-1070E6F3B45E}"/>
    <cellStyle name="Normal 4 2 4 3 2 5 2 3" xfId="12767" xr:uid="{00689C53-91C8-45D5-AA52-4D63CF3EABEE}"/>
    <cellStyle name="Normal 4 2 4 3 2 5 3" xfId="6390" xr:uid="{00000000-0005-0000-0000-00008E130000}"/>
    <cellStyle name="Normal 4 2 4 3 2 5 3 2" xfId="14840" xr:uid="{3F7F9ED6-BB4E-4AE0-AAE6-F9115F4DDF15}"/>
    <cellStyle name="Normal 4 2 4 3 2 5 4" xfId="10622" xr:uid="{F12A5AF1-453F-46CA-954A-A305DB6F369D}"/>
    <cellStyle name="Normal 4 2 4 3 2 6" xfId="2520" xr:uid="{00000000-0005-0000-0000-00008F130000}"/>
    <cellStyle name="Normal 4 2 4 3 2 6 2" xfId="6803" xr:uid="{00000000-0005-0000-0000-000090130000}"/>
    <cellStyle name="Normal 4 2 4 3 2 6 2 2" xfId="15253" xr:uid="{01FDDFC0-1D29-4C89-8FDB-1B02C42057E5}"/>
    <cellStyle name="Normal 4 2 4 3 2 6 3" xfId="11035" xr:uid="{3EDDA879-A805-437F-9653-B45026D4CC43}"/>
    <cellStyle name="Normal 4 2 4 3 2 7" xfId="4738" xr:uid="{00000000-0005-0000-0000-000091130000}"/>
    <cellStyle name="Normal 4 2 4 3 2 7 2" xfId="13188" xr:uid="{2A1B6AF4-CBCA-4A11-956C-B47BED7A8599}"/>
    <cellStyle name="Normal 4 2 4 3 2 8" xfId="8970" xr:uid="{04D15163-B87C-4216-A553-3FF69412A583}"/>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2276B6F5-301B-4213-AB06-D2A5618F1D78}"/>
    <cellStyle name="Normal 4 2 4 3 3 2 3" xfId="11527" xr:uid="{94A10A12-842D-455D-83C3-D1686BDE226E}"/>
    <cellStyle name="Normal 4 2 4 3 3 3" xfId="5150" xr:uid="{00000000-0005-0000-0000-000095130000}"/>
    <cellStyle name="Normal 4 2 4 3 3 3 2" xfId="13600" xr:uid="{77862126-0171-4E23-ADD0-43028DBA2344}"/>
    <cellStyle name="Normal 4 2 4 3 3 4" xfId="9382" xr:uid="{3C16E47D-C6D4-4A59-9F63-705DA8BB16E0}"/>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C7ADF491-BEF4-4B3F-92A4-68BBB5D6FD16}"/>
    <cellStyle name="Normal 4 2 4 3 4 2 3" xfId="11940" xr:uid="{05C48B3D-6929-4B44-85C4-5ACC240FC121}"/>
    <cellStyle name="Normal 4 2 4 3 4 3" xfId="5563" xr:uid="{00000000-0005-0000-0000-000099130000}"/>
    <cellStyle name="Normal 4 2 4 3 4 3 2" xfId="14013" xr:uid="{2991B24E-DD9F-4001-8E2B-F5526840AB31}"/>
    <cellStyle name="Normal 4 2 4 3 4 4" xfId="9795" xr:uid="{9F778A4C-E91A-4F08-B16C-D77183F59977}"/>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04666765-3860-4A06-8725-8B4617553035}"/>
    <cellStyle name="Normal 4 2 4 3 5 2 3" xfId="12353" xr:uid="{E781EF1C-95EC-49B2-98B0-FFDEC56714AC}"/>
    <cellStyle name="Normal 4 2 4 3 5 3" xfId="5976" xr:uid="{00000000-0005-0000-0000-00009D130000}"/>
    <cellStyle name="Normal 4 2 4 3 5 3 2" xfId="14426" xr:uid="{6D96895B-BDF5-412F-8057-6440DFC8325F}"/>
    <cellStyle name="Normal 4 2 4 3 5 4" xfId="10208" xr:uid="{7151CFEA-7857-45D4-BF74-7811D5A0C1E7}"/>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15E7330D-AD9A-4504-A8BE-DF1081A441F7}"/>
    <cellStyle name="Normal 4 2 4 3 6 2 3" xfId="12766" xr:uid="{09BBFA48-F6FE-45E0-8DAF-32BAED32E6FA}"/>
    <cellStyle name="Normal 4 2 4 3 6 3" xfId="6389" xr:uid="{00000000-0005-0000-0000-0000A1130000}"/>
    <cellStyle name="Normal 4 2 4 3 6 3 2" xfId="14839" xr:uid="{0FC0787F-C79E-4DC0-9063-F5F090EBB912}"/>
    <cellStyle name="Normal 4 2 4 3 6 4" xfId="10621" xr:uid="{9F48A9CF-87D6-4822-A761-831A3A59EEEB}"/>
    <cellStyle name="Normal 4 2 4 3 7" xfId="2519" xr:uid="{00000000-0005-0000-0000-0000A2130000}"/>
    <cellStyle name="Normal 4 2 4 3 7 2" xfId="6802" xr:uid="{00000000-0005-0000-0000-0000A3130000}"/>
    <cellStyle name="Normal 4 2 4 3 7 2 2" xfId="15252" xr:uid="{4023F119-947D-450E-9D3B-5CBA77F0D5D7}"/>
    <cellStyle name="Normal 4 2 4 3 7 3" xfId="11034" xr:uid="{BDBA5C4F-4A66-4714-9934-F6D79278C6CC}"/>
    <cellStyle name="Normal 4 2 4 3 8" xfId="4737" xr:uid="{00000000-0005-0000-0000-0000A4130000}"/>
    <cellStyle name="Normal 4 2 4 3 8 2" xfId="13187" xr:uid="{57FE0148-2C3D-48AC-B5C6-C678A20E6146}"/>
    <cellStyle name="Normal 4 2 4 3 9" xfId="8969" xr:uid="{F79BC7EB-7CE2-40EA-BFDD-EFCA0EA1DC3C}"/>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5BCDACAA-A833-45DB-A943-CBFC81ED066E}"/>
    <cellStyle name="Normal 4 2 4 4 2 2 3" xfId="11529" xr:uid="{FE6FEE16-0D95-431E-A7C1-30A26B049C1C}"/>
    <cellStyle name="Normal 4 2 4 4 2 3" xfId="5152" xr:uid="{00000000-0005-0000-0000-0000A9130000}"/>
    <cellStyle name="Normal 4 2 4 4 2 3 2" xfId="13602" xr:uid="{0D434E66-F0D9-4BB0-98F9-47EC5FA4CE60}"/>
    <cellStyle name="Normal 4 2 4 4 2 4" xfId="9384" xr:uid="{34926C2A-94B6-4F4C-8F67-2B0F4321BB76}"/>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DCC4EA0E-3C97-4009-BEA6-EA87D17754B9}"/>
    <cellStyle name="Normal 4 2 4 4 3 2 3" xfId="11942" xr:uid="{88D2B25E-2309-4C41-A3ED-A2BA1F6A6DAF}"/>
    <cellStyle name="Normal 4 2 4 4 3 3" xfId="5565" xr:uid="{00000000-0005-0000-0000-0000AD130000}"/>
    <cellStyle name="Normal 4 2 4 4 3 3 2" xfId="14015" xr:uid="{97F7AD98-114F-4244-B892-9302E28B5A02}"/>
    <cellStyle name="Normal 4 2 4 4 3 4" xfId="9797" xr:uid="{00D8436F-90CB-4BAA-8434-EF50D705BA59}"/>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088CE8C1-9807-46D5-9596-F0A556ABB2E7}"/>
    <cellStyle name="Normal 4 2 4 4 4 2 3" xfId="12355" xr:uid="{2FBBBE10-23A2-4DAD-8ADF-62DA42FA5AAA}"/>
    <cellStyle name="Normal 4 2 4 4 4 3" xfId="5978" xr:uid="{00000000-0005-0000-0000-0000B1130000}"/>
    <cellStyle name="Normal 4 2 4 4 4 3 2" xfId="14428" xr:uid="{CA2FA64F-BE9F-42F0-B9E5-D8E717761698}"/>
    <cellStyle name="Normal 4 2 4 4 4 4" xfId="10210" xr:uid="{3055870E-F662-4DEA-AD19-BF83FA3CBD39}"/>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AE70F09F-2AD6-4D77-8FFC-4255B77D57A0}"/>
    <cellStyle name="Normal 4 2 4 4 5 2 3" xfId="12768" xr:uid="{5057913B-C5AC-4C6B-AB69-B019CA606B2E}"/>
    <cellStyle name="Normal 4 2 4 4 5 3" xfId="6391" xr:uid="{00000000-0005-0000-0000-0000B5130000}"/>
    <cellStyle name="Normal 4 2 4 4 5 3 2" xfId="14841" xr:uid="{8CE578A8-F535-4CBE-8E48-E38A3B08146C}"/>
    <cellStyle name="Normal 4 2 4 4 5 4" xfId="10623" xr:uid="{CEA6C412-789A-4468-BB58-65A48BB07326}"/>
    <cellStyle name="Normal 4 2 4 4 6" xfId="2521" xr:uid="{00000000-0005-0000-0000-0000B6130000}"/>
    <cellStyle name="Normal 4 2 4 4 6 2" xfId="6804" xr:uid="{00000000-0005-0000-0000-0000B7130000}"/>
    <cellStyle name="Normal 4 2 4 4 6 2 2" xfId="15254" xr:uid="{BA35A6AF-2BC7-47A8-81E8-18324B1BF244}"/>
    <cellStyle name="Normal 4 2 4 4 6 3" xfId="11036" xr:uid="{FB269EB6-DD54-4246-9660-EE7FB48E3EEA}"/>
    <cellStyle name="Normal 4 2 4 4 7" xfId="4739" xr:uid="{00000000-0005-0000-0000-0000B8130000}"/>
    <cellStyle name="Normal 4 2 4 4 7 2" xfId="13189" xr:uid="{04304F87-31F8-477B-840A-2875A1461316}"/>
    <cellStyle name="Normal 4 2 4 4 8" xfId="8971" xr:uid="{22564648-0F6B-4626-8FB9-7D62FF6114DE}"/>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5E80AF53-6659-44A0-A84A-500FE1808AA7}"/>
    <cellStyle name="Normal 4 2 4 5 2 3" xfId="11522" xr:uid="{8B7E04E0-0375-45B0-BCA0-1BC92C082830}"/>
    <cellStyle name="Normal 4 2 4 5 3" xfId="5145" xr:uid="{00000000-0005-0000-0000-0000BC130000}"/>
    <cellStyle name="Normal 4 2 4 5 3 2" xfId="13595" xr:uid="{ED438492-7249-4BD6-92DC-55F970FA2FAE}"/>
    <cellStyle name="Normal 4 2 4 5 4" xfId="9377" xr:uid="{8875DB45-C3D4-4D5B-8A90-D562C459023F}"/>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CEA36C17-68B3-4250-BFDC-D2CC2FE1F5D7}"/>
    <cellStyle name="Normal 4 2 4 6 2 3" xfId="11935" xr:uid="{2AC878C4-FAFF-4580-9370-FAA3B442C5B1}"/>
    <cellStyle name="Normal 4 2 4 6 3" xfId="5558" xr:uid="{00000000-0005-0000-0000-0000C0130000}"/>
    <cellStyle name="Normal 4 2 4 6 3 2" xfId="14008" xr:uid="{F77C5900-DE0B-460A-8254-D372AF057D1A}"/>
    <cellStyle name="Normal 4 2 4 6 4" xfId="9790" xr:uid="{C4B9BD9F-E829-4CA2-87F6-AD18D1F6211E}"/>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244034CD-44BA-4431-922C-A5AC4758444F}"/>
    <cellStyle name="Normal 4 2 4 7 2 3" xfId="12348" xr:uid="{C7FD9277-0EB2-4A04-BA02-5584686755A0}"/>
    <cellStyle name="Normal 4 2 4 7 3" xfId="5971" xr:uid="{00000000-0005-0000-0000-0000C4130000}"/>
    <cellStyle name="Normal 4 2 4 7 3 2" xfId="14421" xr:uid="{CF77E175-6BB3-4771-AED2-68421908CAA8}"/>
    <cellStyle name="Normal 4 2 4 7 4" xfId="10203" xr:uid="{BAB82578-5B0D-446D-8486-8676604C0CB5}"/>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7D4A4099-E519-4FD2-947B-618A019D6B64}"/>
    <cellStyle name="Normal 4 2 4 8 2 3" xfId="12761" xr:uid="{FB68FF80-9638-4FCF-91AF-27B7809C913F}"/>
    <cellStyle name="Normal 4 2 4 8 3" xfId="6384" xr:uid="{00000000-0005-0000-0000-0000C8130000}"/>
    <cellStyle name="Normal 4 2 4 8 3 2" xfId="14834" xr:uid="{A31F09AD-6D45-4996-921D-71EF074B4C57}"/>
    <cellStyle name="Normal 4 2 4 8 4" xfId="10616" xr:uid="{688835AA-128D-463E-9927-02FAEBAA4298}"/>
    <cellStyle name="Normal 4 2 4 9" xfId="2514" xr:uid="{00000000-0005-0000-0000-0000C9130000}"/>
    <cellStyle name="Normal 4 2 4 9 2" xfId="6797" xr:uid="{00000000-0005-0000-0000-0000CA130000}"/>
    <cellStyle name="Normal 4 2 4 9 2 2" xfId="15247" xr:uid="{7EF7D5A1-7692-4BB2-8EDA-4FE5A40FCAB3}"/>
    <cellStyle name="Normal 4 2 4 9 3" xfId="11029" xr:uid="{1E846667-A1E6-4FAF-9488-9C8899EF92D4}"/>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834305B5-CCAC-4EBF-98DB-F2C771745481}"/>
    <cellStyle name="Normal 4 2 5 2 2 2 3" xfId="11531" xr:uid="{8D8B440D-3CEF-4EEF-BE7C-80FBCB156633}"/>
    <cellStyle name="Normal 4 2 5 2 2 3" xfId="5154" xr:uid="{00000000-0005-0000-0000-0000D0130000}"/>
    <cellStyle name="Normal 4 2 5 2 2 3 2" xfId="13604" xr:uid="{CBE67F9C-D6A9-4F88-966C-DAA777ABD3B0}"/>
    <cellStyle name="Normal 4 2 5 2 2 4" xfId="9386" xr:uid="{3305AE17-617D-4C86-BCAD-83C19BC06112}"/>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3A7BEB26-E156-4A51-A573-99AA0F8EAC69}"/>
    <cellStyle name="Normal 4 2 5 2 3 2 3" xfId="11944" xr:uid="{9ACBA847-01AA-49AF-8E39-55E2D9DCB381}"/>
    <cellStyle name="Normal 4 2 5 2 3 3" xfId="5567" xr:uid="{00000000-0005-0000-0000-0000D4130000}"/>
    <cellStyle name="Normal 4 2 5 2 3 3 2" xfId="14017" xr:uid="{0671580D-7C71-4A63-93EC-548CF166D630}"/>
    <cellStyle name="Normal 4 2 5 2 3 4" xfId="9799" xr:uid="{DC20CD5E-2900-4A3B-BE26-5B949C54E011}"/>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DA325B2F-6ABA-4B0E-8F70-86BA989C39F3}"/>
    <cellStyle name="Normal 4 2 5 2 4 2 3" xfId="12357" xr:uid="{1A0CFE2D-5A2D-4221-8247-0B7372218285}"/>
    <cellStyle name="Normal 4 2 5 2 4 3" xfId="5980" xr:uid="{00000000-0005-0000-0000-0000D8130000}"/>
    <cellStyle name="Normal 4 2 5 2 4 3 2" xfId="14430" xr:uid="{397A0132-4BD2-4305-9914-D89ADE1CF3BC}"/>
    <cellStyle name="Normal 4 2 5 2 4 4" xfId="10212" xr:uid="{FE3FC8E7-3BF2-40C0-A5DD-B9267E40E4C1}"/>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F132BDC4-BD26-49C2-99C8-9A413F78D5CD}"/>
    <cellStyle name="Normal 4 2 5 2 5 2 3" xfId="12770" xr:uid="{A44FCCC2-5D39-4FDD-BFB4-1A9BBCAAFCFE}"/>
    <cellStyle name="Normal 4 2 5 2 5 3" xfId="6393" xr:uid="{00000000-0005-0000-0000-0000DC130000}"/>
    <cellStyle name="Normal 4 2 5 2 5 3 2" xfId="14843" xr:uid="{C1DB21A5-342D-4F97-851F-C84A1EB0A364}"/>
    <cellStyle name="Normal 4 2 5 2 5 4" xfId="10625" xr:uid="{204C74A0-669A-4D68-9484-9B8B5FC29367}"/>
    <cellStyle name="Normal 4 2 5 2 6" xfId="2523" xr:uid="{00000000-0005-0000-0000-0000DD130000}"/>
    <cellStyle name="Normal 4 2 5 2 6 2" xfId="6806" xr:uid="{00000000-0005-0000-0000-0000DE130000}"/>
    <cellStyle name="Normal 4 2 5 2 6 2 2" xfId="15256" xr:uid="{6093F106-3B51-4F8F-8745-7F903A353A00}"/>
    <cellStyle name="Normal 4 2 5 2 6 3" xfId="11038" xr:uid="{6330248B-EC6D-4A34-B76D-9F9A921F6B48}"/>
    <cellStyle name="Normal 4 2 5 2 7" xfId="4741" xr:uid="{00000000-0005-0000-0000-0000DF130000}"/>
    <cellStyle name="Normal 4 2 5 2 7 2" xfId="13191" xr:uid="{658264BD-40BD-4BE9-A69C-28BE2B8DF122}"/>
    <cellStyle name="Normal 4 2 5 2 8" xfId="8973" xr:uid="{C6DE1BDC-6E7A-4D95-AEEF-89024EE06350}"/>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0FFE140E-2111-4B5A-A4E3-82D1A839CC43}"/>
    <cellStyle name="Normal 4 2 5 3 2 3" xfId="11530" xr:uid="{B4D59913-5EED-417E-A644-9A12DEA8C264}"/>
    <cellStyle name="Normal 4 2 5 3 3" xfId="5153" xr:uid="{00000000-0005-0000-0000-0000E3130000}"/>
    <cellStyle name="Normal 4 2 5 3 3 2" xfId="13603" xr:uid="{541ECA71-F536-4F75-9490-FC734C5C1BEA}"/>
    <cellStyle name="Normal 4 2 5 3 4" xfId="9385" xr:uid="{B5279C29-7807-42AB-97FB-2267E8427D61}"/>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6E80ACC7-F2D6-4B8D-89C2-45D98F775EDC}"/>
    <cellStyle name="Normal 4 2 5 4 2 3" xfId="11943" xr:uid="{C7F34182-7AC6-4E3B-91F9-AEDB5F4FAB91}"/>
    <cellStyle name="Normal 4 2 5 4 3" xfId="5566" xr:uid="{00000000-0005-0000-0000-0000E7130000}"/>
    <cellStyle name="Normal 4 2 5 4 3 2" xfId="14016" xr:uid="{F0499557-50FA-42F2-BF98-D5DC354DD7C1}"/>
    <cellStyle name="Normal 4 2 5 4 4" xfId="9798" xr:uid="{348D5002-985C-4DAF-9AC4-747E504C7219}"/>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96278C21-646D-43CD-AB18-B7A7807261F5}"/>
    <cellStyle name="Normal 4 2 5 5 2 3" xfId="12356" xr:uid="{4150F508-0202-4766-984C-068D7BC554F3}"/>
    <cellStyle name="Normal 4 2 5 5 3" xfId="5979" xr:uid="{00000000-0005-0000-0000-0000EB130000}"/>
    <cellStyle name="Normal 4 2 5 5 3 2" xfId="14429" xr:uid="{DAA598C2-0690-4FFF-8C31-2483F98392E9}"/>
    <cellStyle name="Normal 4 2 5 5 4" xfId="10211" xr:uid="{F3150951-739D-4A92-8365-21BF5054DED1}"/>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D606AA0C-0174-4DA6-A7D5-CEB070511C81}"/>
    <cellStyle name="Normal 4 2 5 6 2 3" xfId="12769" xr:uid="{4F76A08D-54BB-42F7-ACFF-66C8E1999375}"/>
    <cellStyle name="Normal 4 2 5 6 3" xfId="6392" xr:uid="{00000000-0005-0000-0000-0000EF130000}"/>
    <cellStyle name="Normal 4 2 5 6 3 2" xfId="14842" xr:uid="{BDE68D61-7069-4D5A-8162-069E6A7644B8}"/>
    <cellStyle name="Normal 4 2 5 6 4" xfId="10624" xr:uid="{3E16C747-DFA9-4178-9F2E-0C5D9A6244D6}"/>
    <cellStyle name="Normal 4 2 5 7" xfId="2522" xr:uid="{00000000-0005-0000-0000-0000F0130000}"/>
    <cellStyle name="Normal 4 2 5 7 2" xfId="6805" xr:uid="{00000000-0005-0000-0000-0000F1130000}"/>
    <cellStyle name="Normal 4 2 5 7 2 2" xfId="15255" xr:uid="{5B7F3397-CB84-446E-9238-A9D21BDE4D8C}"/>
    <cellStyle name="Normal 4 2 5 7 3" xfId="11037" xr:uid="{0BA640CB-47F7-4FB2-A5C5-6531CB026275}"/>
    <cellStyle name="Normal 4 2 5 8" xfId="4740" xr:uid="{00000000-0005-0000-0000-0000F2130000}"/>
    <cellStyle name="Normal 4 2 5 8 2" xfId="13190" xr:uid="{2CA13DE8-8AD0-4B8B-9595-8C6ECF912B2A}"/>
    <cellStyle name="Normal 4 2 5 9" xfId="8972" xr:uid="{25C50B7E-8158-4951-9D35-FD599468A1D1}"/>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254A5D92-2014-4C3D-A8A8-AC308FC2FE51}"/>
    <cellStyle name="Normal 4 2 6 2 2 3" xfId="11532" xr:uid="{FEBE7DBA-0F4A-46E7-8A18-AFDD462B14C0}"/>
    <cellStyle name="Normal 4 2 6 2 3" xfId="5155" xr:uid="{00000000-0005-0000-0000-0000F7130000}"/>
    <cellStyle name="Normal 4 2 6 2 3 2" xfId="13605" xr:uid="{75CBC195-FA0C-4982-B013-A2B768CF3193}"/>
    <cellStyle name="Normal 4 2 6 2 4" xfId="9387" xr:uid="{C69B1B12-D78D-48BE-8893-CED849E109D8}"/>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6F0F9583-B8E8-4EFF-BA1E-CED57007782C}"/>
    <cellStyle name="Normal 4 2 6 3 2 3" xfId="11945" xr:uid="{DA30EDE8-A450-48F2-88AF-9329812FD558}"/>
    <cellStyle name="Normal 4 2 6 3 3" xfId="5568" xr:uid="{00000000-0005-0000-0000-0000FB130000}"/>
    <cellStyle name="Normal 4 2 6 3 3 2" xfId="14018" xr:uid="{95DC8BA2-1D53-4D38-B283-00E03BE1ABB1}"/>
    <cellStyle name="Normal 4 2 6 3 4" xfId="9800" xr:uid="{FB93D76B-B546-45A8-898C-04C3B03DECE5}"/>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D507B5E7-BC0E-4942-BE72-0649BF7A2AE5}"/>
    <cellStyle name="Normal 4 2 6 4 2 3" xfId="12358" xr:uid="{F8CFA939-948F-4F98-85FB-B86AE3D9E606}"/>
    <cellStyle name="Normal 4 2 6 4 3" xfId="5981" xr:uid="{00000000-0005-0000-0000-0000FF130000}"/>
    <cellStyle name="Normal 4 2 6 4 3 2" xfId="14431" xr:uid="{58F5CBB9-5884-4757-99F3-7D82B627DAFB}"/>
    <cellStyle name="Normal 4 2 6 4 4" xfId="10213" xr:uid="{379F5D6C-60E8-4472-BC18-BF7374CF5991}"/>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F40B760A-3627-4FFA-8E7D-EE6CB19D04DB}"/>
    <cellStyle name="Normal 4 2 6 5 2 3" xfId="12771" xr:uid="{0D5F5FCD-008A-4A94-9E27-0514C64F4B48}"/>
    <cellStyle name="Normal 4 2 6 5 3" xfId="6394" xr:uid="{00000000-0005-0000-0000-000003140000}"/>
    <cellStyle name="Normal 4 2 6 5 3 2" xfId="14844" xr:uid="{44107DE9-FEFC-4B3D-8748-52EC8D0A6A16}"/>
    <cellStyle name="Normal 4 2 6 5 4" xfId="10626" xr:uid="{C28A0C01-3747-4DBC-8E48-FDD812152022}"/>
    <cellStyle name="Normal 4 2 6 6" xfId="2524" xr:uid="{00000000-0005-0000-0000-000004140000}"/>
    <cellStyle name="Normal 4 2 6 6 2" xfId="6807" xr:uid="{00000000-0005-0000-0000-000005140000}"/>
    <cellStyle name="Normal 4 2 6 6 2 2" xfId="15257" xr:uid="{5B152515-BD65-453E-B8FB-4BA817CAFA09}"/>
    <cellStyle name="Normal 4 2 6 6 3" xfId="11039" xr:uid="{C56DEC98-29A2-4694-BFFE-6FC24787EEB2}"/>
    <cellStyle name="Normal 4 2 6 7" xfId="4742" xr:uid="{00000000-0005-0000-0000-000006140000}"/>
    <cellStyle name="Normal 4 2 6 7 2" xfId="13192" xr:uid="{BA73FFE6-85AB-4F92-B954-9258DABADD02}"/>
    <cellStyle name="Normal 4 2 6 8" xfId="8974" xr:uid="{9863DD11-EA10-4152-92D3-8CDB4658A5D9}"/>
    <cellStyle name="Normal 4 3" xfId="366" xr:uid="{00000000-0005-0000-0000-000007140000}"/>
    <cellStyle name="Normal 4 3 10" xfId="8975" xr:uid="{3FDA0FB0-59A0-4746-9DCB-EC3AA050131B}"/>
    <cellStyle name="Normal 4 3 2" xfId="367" xr:uid="{00000000-0005-0000-0000-000008140000}"/>
    <cellStyle name="Normal 4 3 2 2" xfId="368" xr:uid="{00000000-0005-0000-0000-000009140000}"/>
    <cellStyle name="Normal 4 3 2 2 2" xfId="369" xr:uid="{00000000-0005-0000-0000-00000A140000}"/>
    <cellStyle name="Normal 4 3 2 2 2 10" xfId="8976" xr:uid="{8A2FDDC3-BB9A-4DB0-B716-50165C4423B2}"/>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43EEA73F-D341-4ADB-8694-E0A946E02983}"/>
    <cellStyle name="Normal 4 3 2 2 2 2 2 2 2 3" xfId="11536" xr:uid="{CD8B2E98-D685-4423-AD5D-42FA571CA351}"/>
    <cellStyle name="Normal 4 3 2 2 2 2 2 2 3" xfId="5159" xr:uid="{00000000-0005-0000-0000-000010140000}"/>
    <cellStyle name="Normal 4 3 2 2 2 2 2 2 3 2" xfId="13609" xr:uid="{28D79953-3007-483A-943A-DF669A93C950}"/>
    <cellStyle name="Normal 4 3 2 2 2 2 2 2 4" xfId="9391" xr:uid="{70E4CCC8-D5D7-4175-8AB5-6472CD777F4D}"/>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1E954FD9-E4FA-49D3-8C3B-098F832A82B4}"/>
    <cellStyle name="Normal 4 3 2 2 2 2 2 3 2 3" xfId="11949" xr:uid="{5C1BEAA1-991A-4394-BDAB-E3B361A1A779}"/>
    <cellStyle name="Normal 4 3 2 2 2 2 2 3 3" xfId="5572" xr:uid="{00000000-0005-0000-0000-000014140000}"/>
    <cellStyle name="Normal 4 3 2 2 2 2 2 3 3 2" xfId="14022" xr:uid="{05D2123F-FF6B-40BD-B48C-D1FBAA7219A2}"/>
    <cellStyle name="Normal 4 3 2 2 2 2 2 3 4" xfId="9804" xr:uid="{B50518AB-3AA4-4B8E-851B-327D877CB4C6}"/>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290FEA1B-6C85-4F33-83F3-A64E9A182105}"/>
    <cellStyle name="Normal 4 3 2 2 2 2 2 4 2 3" xfId="12362" xr:uid="{DE87DB9B-2166-4FDE-AD7D-391A58750CA5}"/>
    <cellStyle name="Normal 4 3 2 2 2 2 2 4 3" xfId="5985" xr:uid="{00000000-0005-0000-0000-000018140000}"/>
    <cellStyle name="Normal 4 3 2 2 2 2 2 4 3 2" xfId="14435" xr:uid="{F8EB6BA8-FEA7-475B-B617-5E27F36808CC}"/>
    <cellStyle name="Normal 4 3 2 2 2 2 2 4 4" xfId="10217" xr:uid="{5FFFBEFB-5A5C-4519-B7D7-B78A4A399AE4}"/>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04101892-2CFF-432A-A186-A36B747C595E}"/>
    <cellStyle name="Normal 4 3 2 2 2 2 2 5 2 3" xfId="12775" xr:uid="{DD82B614-4C1B-4B7F-AEC8-2C7B55E8A4C3}"/>
    <cellStyle name="Normal 4 3 2 2 2 2 2 5 3" xfId="6398" xr:uid="{00000000-0005-0000-0000-00001C140000}"/>
    <cellStyle name="Normal 4 3 2 2 2 2 2 5 3 2" xfId="14848" xr:uid="{4624467F-4991-4789-8544-C8ABBFA156CC}"/>
    <cellStyle name="Normal 4 3 2 2 2 2 2 5 4" xfId="10630" xr:uid="{6392F590-6ADA-4967-B53E-2C6AD04083A9}"/>
    <cellStyle name="Normal 4 3 2 2 2 2 2 6" xfId="2528" xr:uid="{00000000-0005-0000-0000-00001D140000}"/>
    <cellStyle name="Normal 4 3 2 2 2 2 2 6 2" xfId="6811" xr:uid="{00000000-0005-0000-0000-00001E140000}"/>
    <cellStyle name="Normal 4 3 2 2 2 2 2 6 2 2" xfId="15261" xr:uid="{EA511FD4-AE94-4724-BF50-EEEBAC14520D}"/>
    <cellStyle name="Normal 4 3 2 2 2 2 2 6 3" xfId="11043" xr:uid="{1DF2174F-0EE3-4F01-812E-5C3C023C589D}"/>
    <cellStyle name="Normal 4 3 2 2 2 2 2 7" xfId="4746" xr:uid="{00000000-0005-0000-0000-00001F140000}"/>
    <cellStyle name="Normal 4 3 2 2 2 2 2 7 2" xfId="13196" xr:uid="{2F6071FE-70AE-4AC8-87BC-E81580C99F85}"/>
    <cellStyle name="Normal 4 3 2 2 2 2 2 8" xfId="8978" xr:uid="{D04038E8-E898-4FE8-B271-424C886BF9FD}"/>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60313CB9-3FF5-4F3C-A1F0-1C8023AB651A}"/>
    <cellStyle name="Normal 4 3 2 2 2 2 3 2 3" xfId="11535" xr:uid="{816DFF8B-F989-48CD-AB1C-EC9555B7033B}"/>
    <cellStyle name="Normal 4 3 2 2 2 2 3 3" xfId="5158" xr:uid="{00000000-0005-0000-0000-000023140000}"/>
    <cellStyle name="Normal 4 3 2 2 2 2 3 3 2" xfId="13608" xr:uid="{36B53F75-DBFC-4A34-9B3F-85B22C5F370A}"/>
    <cellStyle name="Normal 4 3 2 2 2 2 3 4" xfId="9390" xr:uid="{3599959E-5F9F-42BF-9ACD-D92924D64419}"/>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3545B812-6538-49E9-8B63-1BF835290283}"/>
    <cellStyle name="Normal 4 3 2 2 2 2 4 2 3" xfId="11948" xr:uid="{68033615-2FA9-44F0-9CF6-6ED8C44F0333}"/>
    <cellStyle name="Normal 4 3 2 2 2 2 4 3" xfId="5571" xr:uid="{00000000-0005-0000-0000-000027140000}"/>
    <cellStyle name="Normal 4 3 2 2 2 2 4 3 2" xfId="14021" xr:uid="{20695BCA-C9FA-4889-B7F5-4F19174BD2F5}"/>
    <cellStyle name="Normal 4 3 2 2 2 2 4 4" xfId="9803" xr:uid="{B46E5BFE-7520-4F42-9CC7-66144DFF8926}"/>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16FB74D4-B27F-4B53-911D-D2A8C141F8A4}"/>
    <cellStyle name="Normal 4 3 2 2 2 2 5 2 3" xfId="12361" xr:uid="{E4BC772E-F6D6-4F54-BCA8-E3F5AAC1D5B2}"/>
    <cellStyle name="Normal 4 3 2 2 2 2 5 3" xfId="5984" xr:uid="{00000000-0005-0000-0000-00002B140000}"/>
    <cellStyle name="Normal 4 3 2 2 2 2 5 3 2" xfId="14434" xr:uid="{DE116E37-5654-4F1C-9539-289302323D5B}"/>
    <cellStyle name="Normal 4 3 2 2 2 2 5 4" xfId="10216" xr:uid="{44F942D1-03F0-4BC0-8EB8-D91DFF5409AD}"/>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15993759-13AA-4AD1-8808-7F88D49144D9}"/>
    <cellStyle name="Normal 4 3 2 2 2 2 6 2 3" xfId="12774" xr:uid="{B33B7081-E758-4826-831D-95F6BF335564}"/>
    <cellStyle name="Normal 4 3 2 2 2 2 6 3" xfId="6397" xr:uid="{00000000-0005-0000-0000-00002F140000}"/>
    <cellStyle name="Normal 4 3 2 2 2 2 6 3 2" xfId="14847" xr:uid="{5874B3F3-6C31-4D92-8B47-F55205B80B11}"/>
    <cellStyle name="Normal 4 3 2 2 2 2 6 4" xfId="10629" xr:uid="{F8153498-19DA-4E05-80DC-9719C8E8A0B2}"/>
    <cellStyle name="Normal 4 3 2 2 2 2 7" xfId="2527" xr:uid="{00000000-0005-0000-0000-000030140000}"/>
    <cellStyle name="Normal 4 3 2 2 2 2 7 2" xfId="6810" xr:uid="{00000000-0005-0000-0000-000031140000}"/>
    <cellStyle name="Normal 4 3 2 2 2 2 7 2 2" xfId="15260" xr:uid="{37AF0EEF-E33A-4604-8322-09B3413CCF4A}"/>
    <cellStyle name="Normal 4 3 2 2 2 2 7 3" xfId="11042" xr:uid="{7D4AE51A-4BE7-47C7-BD64-E7147D8F2132}"/>
    <cellStyle name="Normal 4 3 2 2 2 2 8" xfId="4745" xr:uid="{00000000-0005-0000-0000-000032140000}"/>
    <cellStyle name="Normal 4 3 2 2 2 2 8 2" xfId="13195" xr:uid="{98E924E2-D617-4FAD-882B-1DE836526360}"/>
    <cellStyle name="Normal 4 3 2 2 2 2 9" xfId="8977" xr:uid="{02809200-FB9A-43FA-9B37-8CD7425A7D55}"/>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84954F96-9AC8-40D5-9C47-6D839BC47FB2}"/>
    <cellStyle name="Normal 4 3 2 2 2 3 2 2 3" xfId="11537" xr:uid="{CBE36F2E-CBC2-41CD-BE65-AD4CEB06331A}"/>
    <cellStyle name="Normal 4 3 2 2 2 3 2 3" xfId="5160" xr:uid="{00000000-0005-0000-0000-000037140000}"/>
    <cellStyle name="Normal 4 3 2 2 2 3 2 3 2" xfId="13610" xr:uid="{EAE052D5-4582-4375-A477-89F652E4EFDD}"/>
    <cellStyle name="Normal 4 3 2 2 2 3 2 4" xfId="9392" xr:uid="{7D5B2F1C-0968-459B-9A03-DB15EA606A4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0EAE38A8-E8CA-498D-A80A-57EEE15D187E}"/>
    <cellStyle name="Normal 4 3 2 2 2 3 3 2 3" xfId="11950" xr:uid="{38606166-B160-4322-BED1-AF8EC88A9278}"/>
    <cellStyle name="Normal 4 3 2 2 2 3 3 3" xfId="5573" xr:uid="{00000000-0005-0000-0000-00003B140000}"/>
    <cellStyle name="Normal 4 3 2 2 2 3 3 3 2" xfId="14023" xr:uid="{4BCD49F8-F2CC-4AB7-A7D4-1FBFFA4375B5}"/>
    <cellStyle name="Normal 4 3 2 2 2 3 3 4" xfId="9805" xr:uid="{BACE4D88-12EB-4C03-8756-F5E594BCE2D7}"/>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3D9D8FC6-FCB1-4578-84D9-579891CE4754}"/>
    <cellStyle name="Normal 4 3 2 2 2 3 4 2 3" xfId="12363" xr:uid="{E7691B54-025D-4743-9805-F627265F924D}"/>
    <cellStyle name="Normal 4 3 2 2 2 3 4 3" xfId="5986" xr:uid="{00000000-0005-0000-0000-00003F140000}"/>
    <cellStyle name="Normal 4 3 2 2 2 3 4 3 2" xfId="14436" xr:uid="{463CB4E6-7EDC-4B12-ADD1-0577FC6834A7}"/>
    <cellStyle name="Normal 4 3 2 2 2 3 4 4" xfId="10218" xr:uid="{5D2FA11D-9F3E-4A6C-840B-EC1CA1697C7A}"/>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6D26DC83-9571-44FA-90F2-5270DE6CDA9A}"/>
    <cellStyle name="Normal 4 3 2 2 2 3 5 2 3" xfId="12776" xr:uid="{3763E73D-1B33-45F2-B13D-663EC959653A}"/>
    <cellStyle name="Normal 4 3 2 2 2 3 5 3" xfId="6399" xr:uid="{00000000-0005-0000-0000-000043140000}"/>
    <cellStyle name="Normal 4 3 2 2 2 3 5 3 2" xfId="14849" xr:uid="{EFD3CF34-E5A7-43D9-A65F-757B8D502679}"/>
    <cellStyle name="Normal 4 3 2 2 2 3 5 4" xfId="10631" xr:uid="{2200E70D-4E41-4F82-B3E2-A23146D09E5D}"/>
    <cellStyle name="Normal 4 3 2 2 2 3 6" xfId="2529" xr:uid="{00000000-0005-0000-0000-000044140000}"/>
    <cellStyle name="Normal 4 3 2 2 2 3 6 2" xfId="6812" xr:uid="{00000000-0005-0000-0000-000045140000}"/>
    <cellStyle name="Normal 4 3 2 2 2 3 6 2 2" xfId="15262" xr:uid="{31EB20EC-DF2C-469A-9780-D56E78C4EDD8}"/>
    <cellStyle name="Normal 4 3 2 2 2 3 6 3" xfId="11044" xr:uid="{3ED21A2D-D847-4721-A8DD-4D1B745255C6}"/>
    <cellStyle name="Normal 4 3 2 2 2 3 7" xfId="4747" xr:uid="{00000000-0005-0000-0000-000046140000}"/>
    <cellStyle name="Normal 4 3 2 2 2 3 7 2" xfId="13197" xr:uid="{160E83A6-43C3-4E7B-9BBA-AAFF1A76D2BB}"/>
    <cellStyle name="Normal 4 3 2 2 2 3 8" xfId="8979" xr:uid="{BFE99B64-A2C9-45DA-BFB9-1DAB1147935B}"/>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CF508837-AEB0-48D3-9C9F-DAA575BE07B1}"/>
    <cellStyle name="Normal 4 3 2 2 2 4 2 3" xfId="11534" xr:uid="{0101930E-65BB-4806-81A0-007B2C69DEF4}"/>
    <cellStyle name="Normal 4 3 2 2 2 4 3" xfId="5157" xr:uid="{00000000-0005-0000-0000-00004A140000}"/>
    <cellStyle name="Normal 4 3 2 2 2 4 3 2" xfId="13607" xr:uid="{7B6FF7A6-C788-4A9E-8DB4-1291D853346F}"/>
    <cellStyle name="Normal 4 3 2 2 2 4 4" xfId="9389" xr:uid="{F7DB00BF-2CDF-4B00-8DFB-4000C44AE1B4}"/>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A946FD3D-36E2-40F4-A97D-41BED07DC489}"/>
    <cellStyle name="Normal 4 3 2 2 2 5 2 3" xfId="11947" xr:uid="{B6B772F2-E0FF-4110-8FDA-1EC55BC46CF4}"/>
    <cellStyle name="Normal 4 3 2 2 2 5 3" xfId="5570" xr:uid="{00000000-0005-0000-0000-00004E140000}"/>
    <cellStyle name="Normal 4 3 2 2 2 5 3 2" xfId="14020" xr:uid="{9F451024-F298-47BE-8158-BFC30125036D}"/>
    <cellStyle name="Normal 4 3 2 2 2 5 4" xfId="9802" xr:uid="{4993DD68-97BC-468F-9E9D-FF72426BE736}"/>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5B67FD7A-BB20-4869-A1B1-5A2199FA9AE2}"/>
    <cellStyle name="Normal 4 3 2 2 2 6 2 3" xfId="12360" xr:uid="{A3F6F10F-F99C-4CD8-BEB5-36FD1549589A}"/>
    <cellStyle name="Normal 4 3 2 2 2 6 3" xfId="5983" xr:uid="{00000000-0005-0000-0000-000052140000}"/>
    <cellStyle name="Normal 4 3 2 2 2 6 3 2" xfId="14433" xr:uid="{0043FD6C-D572-4580-9F0C-4848F9C65C4E}"/>
    <cellStyle name="Normal 4 3 2 2 2 6 4" xfId="10215" xr:uid="{C367A2B2-2A95-4B98-B983-6AFCD470427B}"/>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E6260DC3-E98F-4F46-9C78-A4D12A8F0027}"/>
    <cellStyle name="Normal 4 3 2 2 2 7 2 3" xfId="12773" xr:uid="{4778C2C6-6BBF-4BE3-8124-F33872517444}"/>
    <cellStyle name="Normal 4 3 2 2 2 7 3" xfId="6396" xr:uid="{00000000-0005-0000-0000-000056140000}"/>
    <cellStyle name="Normal 4 3 2 2 2 7 3 2" xfId="14846" xr:uid="{C1FC0A38-CB42-43B4-BCF8-BEF8CF788FDD}"/>
    <cellStyle name="Normal 4 3 2 2 2 7 4" xfId="10628" xr:uid="{51FEDCC5-76A1-43D3-B4F9-8DA0EEA0B7FC}"/>
    <cellStyle name="Normal 4 3 2 2 2 8" xfId="2526" xr:uid="{00000000-0005-0000-0000-000057140000}"/>
    <cellStyle name="Normal 4 3 2 2 2 8 2" xfId="6809" xr:uid="{00000000-0005-0000-0000-000058140000}"/>
    <cellStyle name="Normal 4 3 2 2 2 8 2 2" xfId="15259" xr:uid="{C72EDBAA-219D-4612-8053-E2BDF717B1D9}"/>
    <cellStyle name="Normal 4 3 2 2 2 8 3" xfId="11041" xr:uid="{E437D622-DF31-4E82-8CC3-C76B2E9C59D0}"/>
    <cellStyle name="Normal 4 3 2 2 2 9" xfId="4744" xr:uid="{00000000-0005-0000-0000-000059140000}"/>
    <cellStyle name="Normal 4 3 2 2 2 9 2" xfId="13194" xr:uid="{C7874B64-6AAD-4750-AF3D-0C4D8A5A81C5}"/>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3A84192B-6DDB-4F1D-9982-5D00F7B1ACF1}"/>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01E22A59-B91C-4655-8663-FA6546457C4C}"/>
    <cellStyle name="Normal 4 3 3 2 2 2 2 3" xfId="11540" xr:uid="{D6F7BB0D-1D4B-4B4F-9BE0-0940AAC703C8}"/>
    <cellStyle name="Normal 4 3 3 2 2 2 3" xfId="5163" xr:uid="{00000000-0005-0000-0000-000063140000}"/>
    <cellStyle name="Normal 4 3 3 2 2 2 3 2" xfId="13613" xr:uid="{9E3F7D43-0E6D-4AEA-B027-0E7C4922D5F0}"/>
    <cellStyle name="Normal 4 3 3 2 2 2 4" xfId="9395" xr:uid="{5704ABAA-855C-4E82-B3E4-77EA08134858}"/>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A3641B58-D73F-4561-BD48-5B38610212DE}"/>
    <cellStyle name="Normal 4 3 3 2 2 3 2 3" xfId="11953" xr:uid="{5F204F5D-BE1A-439E-B7D3-2CEDEB9F25A8}"/>
    <cellStyle name="Normal 4 3 3 2 2 3 3" xfId="5576" xr:uid="{00000000-0005-0000-0000-000067140000}"/>
    <cellStyle name="Normal 4 3 3 2 2 3 3 2" xfId="14026" xr:uid="{D05FBAB4-6E03-4B69-9051-436DCAADBC25}"/>
    <cellStyle name="Normal 4 3 3 2 2 3 4" xfId="9808" xr:uid="{1A1079C9-1E1F-4716-B50E-FE676E540E38}"/>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F45E4A49-AAE2-4E2C-9EBC-6301E75A64B2}"/>
    <cellStyle name="Normal 4 3 3 2 2 4 2 3" xfId="12366" xr:uid="{303C8358-1A52-4657-8DE9-0A3757FC2FE1}"/>
    <cellStyle name="Normal 4 3 3 2 2 4 3" xfId="5989" xr:uid="{00000000-0005-0000-0000-00006B140000}"/>
    <cellStyle name="Normal 4 3 3 2 2 4 3 2" xfId="14439" xr:uid="{69B50661-EBE8-4A68-A0BA-4D0D33684FFF}"/>
    <cellStyle name="Normal 4 3 3 2 2 4 4" xfId="10221" xr:uid="{010BF94D-E8B5-4237-B3DC-A1142937DC65}"/>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26E72C30-ABC1-4FF7-BF61-D33B6366A00F}"/>
    <cellStyle name="Normal 4 3 3 2 2 5 2 3" xfId="12779" xr:uid="{42C420EA-8930-44DB-8E6B-620670976902}"/>
    <cellStyle name="Normal 4 3 3 2 2 5 3" xfId="6402" xr:uid="{00000000-0005-0000-0000-00006F140000}"/>
    <cellStyle name="Normal 4 3 3 2 2 5 3 2" xfId="14852" xr:uid="{FAD2755B-34CB-4CA9-8602-014DCB170E96}"/>
    <cellStyle name="Normal 4 3 3 2 2 5 4" xfId="10634" xr:uid="{AD19D8AD-4DA7-4D84-8C17-3FC40C088A4B}"/>
    <cellStyle name="Normal 4 3 3 2 2 6" xfId="2532" xr:uid="{00000000-0005-0000-0000-000070140000}"/>
    <cellStyle name="Normal 4 3 3 2 2 6 2" xfId="6815" xr:uid="{00000000-0005-0000-0000-000071140000}"/>
    <cellStyle name="Normal 4 3 3 2 2 6 2 2" xfId="15265" xr:uid="{48139D34-8F4C-4DD1-8017-8F2F45F54846}"/>
    <cellStyle name="Normal 4 3 3 2 2 6 3" xfId="11047" xr:uid="{14716E9D-529A-4DA2-B52F-AFCCEA3E017F}"/>
    <cellStyle name="Normal 4 3 3 2 2 7" xfId="4750" xr:uid="{00000000-0005-0000-0000-000072140000}"/>
    <cellStyle name="Normal 4 3 3 2 2 7 2" xfId="13200" xr:uid="{20C115D9-A3C8-48E5-8DCA-310B7D9485BB}"/>
    <cellStyle name="Normal 4 3 3 2 2 8" xfId="8982" xr:uid="{EE7C5905-F098-4CCA-83F4-2BE56EED2C4B}"/>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266054EB-1D9A-4D99-95ED-08570B7D5DB7}"/>
    <cellStyle name="Normal 4 3 3 2 3 2 3" xfId="11539" xr:uid="{38C81C03-8894-45FC-9C4B-3290C74CD15A}"/>
    <cellStyle name="Normal 4 3 3 2 3 3" xfId="5162" xr:uid="{00000000-0005-0000-0000-000076140000}"/>
    <cellStyle name="Normal 4 3 3 2 3 3 2" xfId="13612" xr:uid="{D8E9A381-110C-4511-A455-FAB16CA4D8D0}"/>
    <cellStyle name="Normal 4 3 3 2 3 4" xfId="9394" xr:uid="{B738AFBB-B4B7-45E3-B1FA-50434193BC81}"/>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D17424CA-A1C6-43AC-BC6D-35D5BF3E32F0}"/>
    <cellStyle name="Normal 4 3 3 2 4 2 3" xfId="11952" xr:uid="{8597B05C-6E29-49CB-8825-9E72730D2387}"/>
    <cellStyle name="Normal 4 3 3 2 4 3" xfId="5575" xr:uid="{00000000-0005-0000-0000-00007A140000}"/>
    <cellStyle name="Normal 4 3 3 2 4 3 2" xfId="14025" xr:uid="{98C75E3C-0A92-447F-8C64-4E0E3DE7A2F8}"/>
    <cellStyle name="Normal 4 3 3 2 4 4" xfId="9807" xr:uid="{65E62A94-D80C-42F9-BBC5-CEC55F33EBCE}"/>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0749FB47-7E4F-4F92-B280-EDDF09A0D29B}"/>
    <cellStyle name="Normal 4 3 3 2 5 2 3" xfId="12365" xr:uid="{C47F6851-8994-4B61-B5D9-1DAB7F7E0D6D}"/>
    <cellStyle name="Normal 4 3 3 2 5 3" xfId="5988" xr:uid="{00000000-0005-0000-0000-00007E140000}"/>
    <cellStyle name="Normal 4 3 3 2 5 3 2" xfId="14438" xr:uid="{76CE621F-AFD7-4792-870B-6E564A7B0ABE}"/>
    <cellStyle name="Normal 4 3 3 2 5 4" xfId="10220" xr:uid="{6F61FA45-A743-4B9D-B113-40D7853C9EDD}"/>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4D22160D-600B-4B7C-B36A-B70FECF21D88}"/>
    <cellStyle name="Normal 4 3 3 2 6 2 3" xfId="12778" xr:uid="{84E665EC-1951-4E1A-B57D-48C6E413E2A5}"/>
    <cellStyle name="Normal 4 3 3 2 6 3" xfId="6401" xr:uid="{00000000-0005-0000-0000-000082140000}"/>
    <cellStyle name="Normal 4 3 3 2 6 3 2" xfId="14851" xr:uid="{FC4E0724-ABB9-45FA-B511-33D40990D914}"/>
    <cellStyle name="Normal 4 3 3 2 6 4" xfId="10633" xr:uid="{D0F6449F-5AD4-4ECB-935B-09A8EF2785F0}"/>
    <cellStyle name="Normal 4 3 3 2 7" xfId="2531" xr:uid="{00000000-0005-0000-0000-000083140000}"/>
    <cellStyle name="Normal 4 3 3 2 7 2" xfId="6814" xr:uid="{00000000-0005-0000-0000-000084140000}"/>
    <cellStyle name="Normal 4 3 3 2 7 2 2" xfId="15264" xr:uid="{3C8B0B51-4209-4DFF-A9AE-F815C5C4057B}"/>
    <cellStyle name="Normal 4 3 3 2 7 3" xfId="11046" xr:uid="{9E2BA231-321F-46FA-B6AD-0EB71332558D}"/>
    <cellStyle name="Normal 4 3 3 2 8" xfId="4749" xr:uid="{00000000-0005-0000-0000-000085140000}"/>
    <cellStyle name="Normal 4 3 3 2 8 2" xfId="13199" xr:uid="{362626E0-313B-4E4F-8FEF-5CDB5C1579F0}"/>
    <cellStyle name="Normal 4 3 3 2 9" xfId="8981" xr:uid="{B11772BB-1A36-492A-A128-AE995AE8FD14}"/>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9C8AD924-9C10-4862-B076-C23425AD7C18}"/>
    <cellStyle name="Normal 4 3 3 3 2 2 3" xfId="11541" xr:uid="{356514B0-9F92-4B22-918F-8FD05F75E073}"/>
    <cellStyle name="Normal 4 3 3 3 2 3" xfId="5164" xr:uid="{00000000-0005-0000-0000-00008A140000}"/>
    <cellStyle name="Normal 4 3 3 3 2 3 2" xfId="13614" xr:uid="{8EF27597-2EE2-407F-A754-95A8B5249D6B}"/>
    <cellStyle name="Normal 4 3 3 3 2 4" xfId="9396" xr:uid="{2B295643-7BD6-4A8C-8685-248E6686E3CB}"/>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0B092AEA-DE03-45F9-B2DF-BCFF8125E9F5}"/>
    <cellStyle name="Normal 4 3 3 3 3 2 3" xfId="11954" xr:uid="{CF61F10E-835C-4405-87C0-8A72D2A0E611}"/>
    <cellStyle name="Normal 4 3 3 3 3 3" xfId="5577" xr:uid="{00000000-0005-0000-0000-00008E140000}"/>
    <cellStyle name="Normal 4 3 3 3 3 3 2" xfId="14027" xr:uid="{9E683FDA-D5E5-465C-9789-BF47E00F1235}"/>
    <cellStyle name="Normal 4 3 3 3 3 4" xfId="9809" xr:uid="{968AEE98-8EC4-4079-84F6-A6F29B473F39}"/>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562642DF-E164-4BE9-9BB4-A6BA1189E58E}"/>
    <cellStyle name="Normal 4 3 3 3 4 2 3" xfId="12367" xr:uid="{1B765730-15E5-469D-8554-A0F7296599DC}"/>
    <cellStyle name="Normal 4 3 3 3 4 3" xfId="5990" xr:uid="{00000000-0005-0000-0000-000092140000}"/>
    <cellStyle name="Normal 4 3 3 3 4 3 2" xfId="14440" xr:uid="{4875D424-91DF-44E0-82DD-1087264C392D}"/>
    <cellStyle name="Normal 4 3 3 3 4 4" xfId="10222" xr:uid="{477334B7-34F9-4878-83CC-3B0DF71ABDF2}"/>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A4D2486F-0330-4937-BA9E-E1211D05F044}"/>
    <cellStyle name="Normal 4 3 3 3 5 2 3" xfId="12780" xr:uid="{31ED3282-BCC9-476F-A492-9BB3DB659FD7}"/>
    <cellStyle name="Normal 4 3 3 3 5 3" xfId="6403" xr:uid="{00000000-0005-0000-0000-000096140000}"/>
    <cellStyle name="Normal 4 3 3 3 5 3 2" xfId="14853" xr:uid="{CEA67A80-9D1C-47BB-B6E7-9AEE659C68F4}"/>
    <cellStyle name="Normal 4 3 3 3 5 4" xfId="10635" xr:uid="{582DD663-67B1-42B9-903C-235CF940ADFB}"/>
    <cellStyle name="Normal 4 3 3 3 6" xfId="2533" xr:uid="{00000000-0005-0000-0000-000097140000}"/>
    <cellStyle name="Normal 4 3 3 3 6 2" xfId="6816" xr:uid="{00000000-0005-0000-0000-000098140000}"/>
    <cellStyle name="Normal 4 3 3 3 6 2 2" xfId="15266" xr:uid="{98A13E61-7D21-4846-B47B-83BBEB9FCEE1}"/>
    <cellStyle name="Normal 4 3 3 3 6 3" xfId="11048" xr:uid="{11494A37-F1C3-40BD-B3EA-189285CF9A32}"/>
    <cellStyle name="Normal 4 3 3 3 7" xfId="4751" xr:uid="{00000000-0005-0000-0000-000099140000}"/>
    <cellStyle name="Normal 4 3 3 3 7 2" xfId="13201" xr:uid="{89C0C0AF-DBD5-4552-BEFC-8D4DF752E054}"/>
    <cellStyle name="Normal 4 3 3 3 8" xfId="8983" xr:uid="{C38768D4-9393-4E39-9128-B691FFBCD5AD}"/>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4AE46FFA-6B69-447E-976E-38D1A89BC77B}"/>
    <cellStyle name="Normal 4 3 3 4 2 3" xfId="11538" xr:uid="{DD763245-DFB3-4C16-BD40-204E0A93842A}"/>
    <cellStyle name="Normal 4 3 3 4 3" xfId="5161" xr:uid="{00000000-0005-0000-0000-00009D140000}"/>
    <cellStyle name="Normal 4 3 3 4 3 2" xfId="13611" xr:uid="{9DD4A23E-C63D-4180-8516-2F825856A311}"/>
    <cellStyle name="Normal 4 3 3 4 4" xfId="9393" xr:uid="{A8C78DBF-143E-4D6E-AB2B-D1616C31ADC9}"/>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8E73CEE8-FC6A-4031-B4D7-1A412F430DAE}"/>
    <cellStyle name="Normal 4 3 3 5 2 3" xfId="11951" xr:uid="{DF4632B3-566B-4B30-976B-2D42E6B77B21}"/>
    <cellStyle name="Normal 4 3 3 5 3" xfId="5574" xr:uid="{00000000-0005-0000-0000-0000A1140000}"/>
    <cellStyle name="Normal 4 3 3 5 3 2" xfId="14024" xr:uid="{F5B10BCE-686A-4A3A-89A4-625B4789DD78}"/>
    <cellStyle name="Normal 4 3 3 5 4" xfId="9806" xr:uid="{74241868-1660-42B4-B3DF-F129576003B1}"/>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5A7A9907-1737-4800-8BC0-AE8646C78B1D}"/>
    <cellStyle name="Normal 4 3 3 6 2 3" xfId="12364" xr:uid="{F4FC887E-75A8-43B5-AB22-53FBA6C3734C}"/>
    <cellStyle name="Normal 4 3 3 6 3" xfId="5987" xr:uid="{00000000-0005-0000-0000-0000A5140000}"/>
    <cellStyle name="Normal 4 3 3 6 3 2" xfId="14437" xr:uid="{518F4CD3-3197-4978-ABB8-9127AD5F57A4}"/>
    <cellStyle name="Normal 4 3 3 6 4" xfId="10219" xr:uid="{84D8EB84-8C93-42CD-BBC5-C101019E34B7}"/>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6BCD3E3B-CB1D-496F-97C4-1F99C1DF956C}"/>
    <cellStyle name="Normal 4 3 3 7 2 3" xfId="12777" xr:uid="{1E0F2D30-7AC5-4E75-A35A-872EC32DAC9B}"/>
    <cellStyle name="Normal 4 3 3 7 3" xfId="6400" xr:uid="{00000000-0005-0000-0000-0000A9140000}"/>
    <cellStyle name="Normal 4 3 3 7 3 2" xfId="14850" xr:uid="{2B959291-58F4-4E83-9CC2-6DB4CADABD24}"/>
    <cellStyle name="Normal 4 3 3 7 4" xfId="10632" xr:uid="{735125FE-9698-48E5-9925-3F7962A76DCF}"/>
    <cellStyle name="Normal 4 3 3 8" xfId="2530" xr:uid="{00000000-0005-0000-0000-0000AA140000}"/>
    <cellStyle name="Normal 4 3 3 8 2" xfId="6813" xr:uid="{00000000-0005-0000-0000-0000AB140000}"/>
    <cellStyle name="Normal 4 3 3 8 2 2" xfId="15263" xr:uid="{4EE72F38-5D65-4B5A-BE08-2AF576216FA0}"/>
    <cellStyle name="Normal 4 3 3 8 3" xfId="11045" xr:uid="{3062B8BC-D2E1-4836-AF57-6EEDCB07470B}"/>
    <cellStyle name="Normal 4 3 3 9" xfId="4748" xr:uid="{00000000-0005-0000-0000-0000AC140000}"/>
    <cellStyle name="Normal 4 3 3 9 2" xfId="13198" xr:uid="{CFCC22EB-B65B-4A2A-922C-1416A33CB603}"/>
    <cellStyle name="Normal 4 3 4" xfId="842" xr:uid="{00000000-0005-0000-0000-0000AD140000}"/>
    <cellStyle name="Normal 4 3 4 2" xfId="3079" xr:uid="{00000000-0005-0000-0000-0000AE140000}"/>
    <cellStyle name="Normal 4 3 4 2 2" xfId="7301" xr:uid="{00000000-0005-0000-0000-0000AF140000}"/>
    <cellStyle name="Normal 4 3 4 2 2 2" xfId="15751" xr:uid="{7E8987BB-F4F9-476B-9C36-BF9F1EF03BEC}"/>
    <cellStyle name="Normal 4 3 4 2 3" xfId="11533" xr:uid="{C7DA48CD-431C-4D4A-8D4D-BE2A6BF44E55}"/>
    <cellStyle name="Normal 4 3 4 3" xfId="5156" xr:uid="{00000000-0005-0000-0000-0000B0140000}"/>
    <cellStyle name="Normal 4 3 4 3 2" xfId="13606" xr:uid="{7E85EBDA-8940-465F-B1E6-CE6B130F67AA}"/>
    <cellStyle name="Normal 4 3 4 4" xfId="9388" xr:uid="{A12C56B8-AA95-4986-A7A4-4A0CE4F8430F}"/>
    <cellStyle name="Normal 4 3 5" xfId="1262" xr:uid="{00000000-0005-0000-0000-0000B1140000}"/>
    <cellStyle name="Normal 4 3 5 2" xfId="3492" xr:uid="{00000000-0005-0000-0000-0000B2140000}"/>
    <cellStyle name="Normal 4 3 5 2 2" xfId="7714" xr:uid="{00000000-0005-0000-0000-0000B3140000}"/>
    <cellStyle name="Normal 4 3 5 2 2 2" xfId="16164" xr:uid="{3230D671-7E5E-4D74-8B81-0B73B82BB5E3}"/>
    <cellStyle name="Normal 4 3 5 2 3" xfId="11946" xr:uid="{74CC0F30-8CB3-40B1-9985-088763D87D5E}"/>
    <cellStyle name="Normal 4 3 5 3" xfId="5569" xr:uid="{00000000-0005-0000-0000-0000B4140000}"/>
    <cellStyle name="Normal 4 3 5 3 2" xfId="14019" xr:uid="{1B4A0C9E-3D9D-40EA-A5C3-AA136CF78C41}"/>
    <cellStyle name="Normal 4 3 5 4" xfId="9801" xr:uid="{7B689003-9DE4-45B5-A260-57C7B194B5BD}"/>
    <cellStyle name="Normal 4 3 6" xfId="1675" xr:uid="{00000000-0005-0000-0000-0000B5140000}"/>
    <cellStyle name="Normal 4 3 6 2" xfId="3905" xr:uid="{00000000-0005-0000-0000-0000B6140000}"/>
    <cellStyle name="Normal 4 3 6 2 2" xfId="8127" xr:uid="{00000000-0005-0000-0000-0000B7140000}"/>
    <cellStyle name="Normal 4 3 6 2 2 2" xfId="16577" xr:uid="{76953723-61B9-4F12-A8DD-984BD6861A93}"/>
    <cellStyle name="Normal 4 3 6 2 3" xfId="12359" xr:uid="{C3B9B4DA-5F83-43EE-950D-F735D5C99DBB}"/>
    <cellStyle name="Normal 4 3 6 3" xfId="5982" xr:uid="{00000000-0005-0000-0000-0000B8140000}"/>
    <cellStyle name="Normal 4 3 6 3 2" xfId="14432" xr:uid="{FF58269B-5B60-4F76-A904-872C2E7403E8}"/>
    <cellStyle name="Normal 4 3 6 4" xfId="10214" xr:uid="{DC10AC51-84E9-4623-B733-E32885B0486C}"/>
    <cellStyle name="Normal 4 3 7" xfId="2089" xr:uid="{00000000-0005-0000-0000-0000B9140000}"/>
    <cellStyle name="Normal 4 3 7 2" xfId="4318" xr:uid="{00000000-0005-0000-0000-0000BA140000}"/>
    <cellStyle name="Normal 4 3 7 2 2" xfId="8540" xr:uid="{00000000-0005-0000-0000-0000BB140000}"/>
    <cellStyle name="Normal 4 3 7 2 2 2" xfId="16990" xr:uid="{0D99A5F1-B4A9-4623-8C39-A40B89F69493}"/>
    <cellStyle name="Normal 4 3 7 2 3" xfId="12772" xr:uid="{C8126BDF-F26C-46A5-917F-900FBA590FC3}"/>
    <cellStyle name="Normal 4 3 7 3" xfId="6395" xr:uid="{00000000-0005-0000-0000-0000BC140000}"/>
    <cellStyle name="Normal 4 3 7 3 2" xfId="14845" xr:uid="{B771F7E6-E1A5-4D58-9143-309807B13A31}"/>
    <cellStyle name="Normal 4 3 7 4" xfId="10627" xr:uid="{3BDE01F3-2558-4FAD-ACC0-E51B05DD4373}"/>
    <cellStyle name="Normal 4 3 8" xfId="2525" xr:uid="{00000000-0005-0000-0000-0000BD140000}"/>
    <cellStyle name="Normal 4 3 8 2" xfId="6808" xr:uid="{00000000-0005-0000-0000-0000BE140000}"/>
    <cellStyle name="Normal 4 3 8 2 2" xfId="15258" xr:uid="{502ACEB9-B3D6-4B7C-A572-35C87FBF2A93}"/>
    <cellStyle name="Normal 4 3 8 3" xfId="11040" xr:uid="{E33D6318-DC42-4B34-A5BA-F1496206CC1B}"/>
    <cellStyle name="Normal 4 3 9" xfId="4743" xr:uid="{00000000-0005-0000-0000-0000BF140000}"/>
    <cellStyle name="Normal 4 3 9 2" xfId="13193" xr:uid="{5483492C-1A30-4F1B-84C5-ED1E0348ED31}"/>
    <cellStyle name="Normal 4 4" xfId="378" xr:uid="{00000000-0005-0000-0000-0000C0140000}"/>
    <cellStyle name="Normal 4 4 10" xfId="2534" xr:uid="{00000000-0005-0000-0000-0000C1140000}"/>
    <cellStyle name="Normal 4 4 10 2" xfId="6817" xr:uid="{00000000-0005-0000-0000-0000C2140000}"/>
    <cellStyle name="Normal 4 4 10 2 2" xfId="15267" xr:uid="{E0598450-029D-4CCB-899F-CFAB48BA0259}"/>
    <cellStyle name="Normal 4 4 10 3" xfId="11049" xr:uid="{BC124D8A-3F40-49A4-BB8E-5A1C72550F1B}"/>
    <cellStyle name="Normal 4 4 11" xfId="4752" xr:uid="{00000000-0005-0000-0000-0000C3140000}"/>
    <cellStyle name="Normal 4 4 11 2" xfId="13202" xr:uid="{262D8261-FCED-4588-A339-5CBCEB8E2921}"/>
    <cellStyle name="Normal 4 4 12" xfId="8984" xr:uid="{D69820A1-3FDB-41ED-B022-C54CB53E9E97}"/>
    <cellStyle name="Normal 4 4 2" xfId="379" xr:uid="{00000000-0005-0000-0000-0000C4140000}"/>
    <cellStyle name="Normal 4 4 2 10" xfId="4753" xr:uid="{00000000-0005-0000-0000-0000C5140000}"/>
    <cellStyle name="Normal 4 4 2 10 2" xfId="13203" xr:uid="{1F593C2D-C4AA-4430-A049-FD11AEAB8236}"/>
    <cellStyle name="Normal 4 4 2 11" xfId="8985" xr:uid="{2B80D289-D9E7-4B99-B207-EFE8A7C048DE}"/>
    <cellStyle name="Normal 4 4 2 2" xfId="380" xr:uid="{00000000-0005-0000-0000-0000C6140000}"/>
    <cellStyle name="Normal 4 4 2 2 10" xfId="8986" xr:uid="{0F5A9F46-0543-4D6A-9991-2CD672D4E271}"/>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697BE579-F1E2-4F69-AE8B-47CCB005BBBB}"/>
    <cellStyle name="Normal 4 4 2 2 2 2 2 2 3" xfId="11546" xr:uid="{45E6E74C-1429-445E-91AD-2EDE27057F74}"/>
    <cellStyle name="Normal 4 4 2 2 2 2 2 3" xfId="5169" xr:uid="{00000000-0005-0000-0000-0000CC140000}"/>
    <cellStyle name="Normal 4 4 2 2 2 2 2 3 2" xfId="13619" xr:uid="{15F98AFE-2941-4DB2-8D57-48443CE9D170}"/>
    <cellStyle name="Normal 4 4 2 2 2 2 2 4" xfId="9401" xr:uid="{D62B39A2-B5F4-4A09-B86D-11DE10D26A8C}"/>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130108E3-1D20-484D-9EBB-1D94B2A25EED}"/>
    <cellStyle name="Normal 4 4 2 2 2 2 3 2 3" xfId="11959" xr:uid="{B7D1BA51-B773-4DFB-B72C-027A5A7B7AF0}"/>
    <cellStyle name="Normal 4 4 2 2 2 2 3 3" xfId="5582" xr:uid="{00000000-0005-0000-0000-0000D0140000}"/>
    <cellStyle name="Normal 4 4 2 2 2 2 3 3 2" xfId="14032" xr:uid="{DB7A035F-1A5A-4596-BE9C-B796B852577E}"/>
    <cellStyle name="Normal 4 4 2 2 2 2 3 4" xfId="9814" xr:uid="{D6D44140-45F5-4644-88F1-36D4DA499431}"/>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41298218-9984-4C8A-9241-7FAD7E712B91}"/>
    <cellStyle name="Normal 4 4 2 2 2 2 4 2 3" xfId="12372" xr:uid="{23CF0911-B318-4742-AF63-E51B82BA66B9}"/>
    <cellStyle name="Normal 4 4 2 2 2 2 4 3" xfId="5995" xr:uid="{00000000-0005-0000-0000-0000D4140000}"/>
    <cellStyle name="Normal 4 4 2 2 2 2 4 3 2" xfId="14445" xr:uid="{D15433AC-6E98-4047-A794-FD48355044CC}"/>
    <cellStyle name="Normal 4 4 2 2 2 2 4 4" xfId="10227" xr:uid="{C29BE835-00C0-498E-84D5-D2A5C8DD4CCA}"/>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DABB5359-999A-4B84-99DC-9EDF795C96E5}"/>
    <cellStyle name="Normal 4 4 2 2 2 2 5 2 3" xfId="12785" xr:uid="{BA7E92D6-2511-4BC2-8B3B-498222511B86}"/>
    <cellStyle name="Normal 4 4 2 2 2 2 5 3" xfId="6408" xr:uid="{00000000-0005-0000-0000-0000D8140000}"/>
    <cellStyle name="Normal 4 4 2 2 2 2 5 3 2" xfId="14858" xr:uid="{1854A0AC-03FE-4A1F-AFFA-FF985289F296}"/>
    <cellStyle name="Normal 4 4 2 2 2 2 5 4" xfId="10640" xr:uid="{F474A5AD-6A68-451D-8BA0-34586DC3A733}"/>
    <cellStyle name="Normal 4 4 2 2 2 2 6" xfId="2538" xr:uid="{00000000-0005-0000-0000-0000D9140000}"/>
    <cellStyle name="Normal 4 4 2 2 2 2 6 2" xfId="6821" xr:uid="{00000000-0005-0000-0000-0000DA140000}"/>
    <cellStyle name="Normal 4 4 2 2 2 2 6 2 2" xfId="15271" xr:uid="{2FC4FC5C-4423-48D7-9CF2-55985CA7F8DD}"/>
    <cellStyle name="Normal 4 4 2 2 2 2 6 3" xfId="11053" xr:uid="{7238BBEA-7415-4D7C-836E-F531EDC76752}"/>
    <cellStyle name="Normal 4 4 2 2 2 2 7" xfId="4756" xr:uid="{00000000-0005-0000-0000-0000DB140000}"/>
    <cellStyle name="Normal 4 4 2 2 2 2 7 2" xfId="13206" xr:uid="{C6084A42-BC1F-4301-BA6B-DF6A86E938CC}"/>
    <cellStyle name="Normal 4 4 2 2 2 2 8" xfId="8988" xr:uid="{6F128DAA-F535-4FCE-B01A-6779E803A23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F96EBAFC-D151-4AA1-A492-2229B77D193C}"/>
    <cellStyle name="Normal 4 4 2 2 2 3 2 3" xfId="11545" xr:uid="{41056619-A59A-4A7B-9435-EE316BB95F11}"/>
    <cellStyle name="Normal 4 4 2 2 2 3 3" xfId="5168" xr:uid="{00000000-0005-0000-0000-0000DF140000}"/>
    <cellStyle name="Normal 4 4 2 2 2 3 3 2" xfId="13618" xr:uid="{BFB46F7A-AE4C-4272-84D3-E6E840D0E38D}"/>
    <cellStyle name="Normal 4 4 2 2 2 3 4" xfId="9400" xr:uid="{EF6FE03A-2ECC-49EB-AE53-CAF3710737ED}"/>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5E7E3CFE-7F41-4324-9AFE-B02F16F8E28D}"/>
    <cellStyle name="Normal 4 4 2 2 2 4 2 3" xfId="11958" xr:uid="{16C804BE-99F5-4446-A042-9DC3BF601FF6}"/>
    <cellStyle name="Normal 4 4 2 2 2 4 3" xfId="5581" xr:uid="{00000000-0005-0000-0000-0000E3140000}"/>
    <cellStyle name="Normal 4 4 2 2 2 4 3 2" xfId="14031" xr:uid="{9A3DF18A-E525-4915-BF89-CE11C6D0DE99}"/>
    <cellStyle name="Normal 4 4 2 2 2 4 4" xfId="9813" xr:uid="{6D2FB747-28F1-483C-A150-6835D4A5B9D5}"/>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739F7DB7-8D3E-4542-ACE7-B1C7F8587D60}"/>
    <cellStyle name="Normal 4 4 2 2 2 5 2 3" xfId="12371" xr:uid="{146E1717-BB65-4A28-A86E-412456966AC1}"/>
    <cellStyle name="Normal 4 4 2 2 2 5 3" xfId="5994" xr:uid="{00000000-0005-0000-0000-0000E7140000}"/>
    <cellStyle name="Normal 4 4 2 2 2 5 3 2" xfId="14444" xr:uid="{1DEF14F9-940D-4AC8-B0D5-080481E55AF3}"/>
    <cellStyle name="Normal 4 4 2 2 2 5 4" xfId="10226" xr:uid="{801D1876-CE0B-47E0-B954-1359E3E4CF44}"/>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5CB850DF-31B4-4BBA-97F2-65BF4376B434}"/>
    <cellStyle name="Normal 4 4 2 2 2 6 2 3" xfId="12784" xr:uid="{1084799C-B317-4BD6-B745-5F88CB00C2C1}"/>
    <cellStyle name="Normal 4 4 2 2 2 6 3" xfId="6407" xr:uid="{00000000-0005-0000-0000-0000EB140000}"/>
    <cellStyle name="Normal 4 4 2 2 2 6 3 2" xfId="14857" xr:uid="{60AA8B74-3069-4295-AB5F-C9E79C3FE451}"/>
    <cellStyle name="Normal 4 4 2 2 2 6 4" xfId="10639" xr:uid="{8A5CF2A8-1912-4379-ACDA-9174797C7FBB}"/>
    <cellStyle name="Normal 4 4 2 2 2 7" xfId="2537" xr:uid="{00000000-0005-0000-0000-0000EC140000}"/>
    <cellStyle name="Normal 4 4 2 2 2 7 2" xfId="6820" xr:uid="{00000000-0005-0000-0000-0000ED140000}"/>
    <cellStyle name="Normal 4 4 2 2 2 7 2 2" xfId="15270" xr:uid="{7EF55198-8D60-4DEF-8A04-EFA717577763}"/>
    <cellStyle name="Normal 4 4 2 2 2 7 3" xfId="11052" xr:uid="{E0CD1953-0F3B-4A60-9F7E-2728F78CF3E6}"/>
    <cellStyle name="Normal 4 4 2 2 2 8" xfId="4755" xr:uid="{00000000-0005-0000-0000-0000EE140000}"/>
    <cellStyle name="Normal 4 4 2 2 2 8 2" xfId="13205" xr:uid="{A4D65D3A-930C-4B06-8171-249BAB764F09}"/>
    <cellStyle name="Normal 4 4 2 2 2 9" xfId="8987" xr:uid="{3511843B-51CA-4C89-BB02-7D4A0D2C739F}"/>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1553C524-693F-469F-9264-703EEEC5572D}"/>
    <cellStyle name="Normal 4 4 2 2 3 2 2 3" xfId="11547" xr:uid="{76B89F32-4ABF-4469-A06F-BF628CBD4F3C}"/>
    <cellStyle name="Normal 4 4 2 2 3 2 3" xfId="5170" xr:uid="{00000000-0005-0000-0000-0000F3140000}"/>
    <cellStyle name="Normal 4 4 2 2 3 2 3 2" xfId="13620" xr:uid="{FFDEFBFB-9B81-497B-B5E5-E20CBD8521D4}"/>
    <cellStyle name="Normal 4 4 2 2 3 2 4" xfId="9402" xr:uid="{68925243-DF08-46F0-960D-D508FB213EFB}"/>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2EC0D476-8E1A-4266-8B94-3B3AD0908C14}"/>
    <cellStyle name="Normal 4 4 2 2 3 3 2 3" xfId="11960" xr:uid="{D5DA8BF8-7C3D-43EB-B06D-433BA38167F6}"/>
    <cellStyle name="Normal 4 4 2 2 3 3 3" xfId="5583" xr:uid="{00000000-0005-0000-0000-0000F7140000}"/>
    <cellStyle name="Normal 4 4 2 2 3 3 3 2" xfId="14033" xr:uid="{B5E2EAAF-B80D-4961-986F-36D8FC0E310C}"/>
    <cellStyle name="Normal 4 4 2 2 3 3 4" xfId="9815" xr:uid="{114CD708-C9F2-4415-B4CA-848B17798C4E}"/>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9CD0360F-E818-4D38-9C5E-203DFFF12F8C}"/>
    <cellStyle name="Normal 4 4 2 2 3 4 2 3" xfId="12373" xr:uid="{81109EEA-D3D9-428F-B19A-7DAEB4822852}"/>
    <cellStyle name="Normal 4 4 2 2 3 4 3" xfId="5996" xr:uid="{00000000-0005-0000-0000-0000FB140000}"/>
    <cellStyle name="Normal 4 4 2 2 3 4 3 2" xfId="14446" xr:uid="{DC589BA7-ACB6-481D-8D75-18ED0356D65D}"/>
    <cellStyle name="Normal 4 4 2 2 3 4 4" xfId="10228" xr:uid="{EF94D1A9-E70E-48AC-86E7-4A24AD9A4677}"/>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41CFAAFD-4EF7-4FDE-86A5-81635E04C100}"/>
    <cellStyle name="Normal 4 4 2 2 3 5 2 3" xfId="12786" xr:uid="{9BBB9F43-06A1-4FC5-A9E8-EED3F63C9CA3}"/>
    <cellStyle name="Normal 4 4 2 2 3 5 3" xfId="6409" xr:uid="{00000000-0005-0000-0000-0000FF140000}"/>
    <cellStyle name="Normal 4 4 2 2 3 5 3 2" xfId="14859" xr:uid="{1F04326E-1EA4-4CC5-A6D9-ABCEF83DDD99}"/>
    <cellStyle name="Normal 4 4 2 2 3 5 4" xfId="10641" xr:uid="{D876E0BC-E946-45C6-ADBC-A2F736333F34}"/>
    <cellStyle name="Normal 4 4 2 2 3 6" xfId="2539" xr:uid="{00000000-0005-0000-0000-000000150000}"/>
    <cellStyle name="Normal 4 4 2 2 3 6 2" xfId="6822" xr:uid="{00000000-0005-0000-0000-000001150000}"/>
    <cellStyle name="Normal 4 4 2 2 3 6 2 2" xfId="15272" xr:uid="{3F0519BA-AFC8-4F19-BE08-1EF8F35AF114}"/>
    <cellStyle name="Normal 4 4 2 2 3 6 3" xfId="11054" xr:uid="{5C23E471-3F8E-473C-851F-E64E5E7322F1}"/>
    <cellStyle name="Normal 4 4 2 2 3 7" xfId="4757" xr:uid="{00000000-0005-0000-0000-000002150000}"/>
    <cellStyle name="Normal 4 4 2 2 3 7 2" xfId="13207" xr:uid="{37BD3902-711E-4084-A373-33F913BF9446}"/>
    <cellStyle name="Normal 4 4 2 2 3 8" xfId="8989" xr:uid="{43CDBCAB-85EE-49C4-9C07-EECEE7BAD3B1}"/>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5C4DCB06-1738-4857-AA81-5B21B26EC6B9}"/>
    <cellStyle name="Normal 4 4 2 2 4 2 3" xfId="11544" xr:uid="{9EB3BF0C-3FB7-460B-B38F-A93E8BF63C50}"/>
    <cellStyle name="Normal 4 4 2 2 4 3" xfId="5167" xr:uid="{00000000-0005-0000-0000-000006150000}"/>
    <cellStyle name="Normal 4 4 2 2 4 3 2" xfId="13617" xr:uid="{2AFD9F72-93C7-4E51-BDE0-73D6F6C44C83}"/>
    <cellStyle name="Normal 4 4 2 2 4 4" xfId="9399" xr:uid="{AAAEF3AC-BFE7-4C84-B6DB-F7C86BA0893C}"/>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89C531C3-0C48-460B-8E88-6D083EB7EEDF}"/>
    <cellStyle name="Normal 4 4 2 2 5 2 3" xfId="11957" xr:uid="{FD6890DA-A556-4B07-83F4-E4D212D6C32D}"/>
    <cellStyle name="Normal 4 4 2 2 5 3" xfId="5580" xr:uid="{00000000-0005-0000-0000-00000A150000}"/>
    <cellStyle name="Normal 4 4 2 2 5 3 2" xfId="14030" xr:uid="{EA1C3048-AC64-4ACD-80FA-67FC0EA16FEE}"/>
    <cellStyle name="Normal 4 4 2 2 5 4" xfId="9812" xr:uid="{B452A9AD-9AEB-41E0-B9C9-490C306AAD72}"/>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73563B73-472F-4BD8-A04B-56C3CB4ECB82}"/>
    <cellStyle name="Normal 4 4 2 2 6 2 3" xfId="12370" xr:uid="{6B95C73F-2F32-4DF3-AAC6-881A8A5B9143}"/>
    <cellStyle name="Normal 4 4 2 2 6 3" xfId="5993" xr:uid="{00000000-0005-0000-0000-00000E150000}"/>
    <cellStyle name="Normal 4 4 2 2 6 3 2" xfId="14443" xr:uid="{A829FBD5-C192-468C-A273-FFF865E6DD1B}"/>
    <cellStyle name="Normal 4 4 2 2 6 4" xfId="10225" xr:uid="{1DECB9D8-FF84-46C7-8162-1FDC340625EE}"/>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B8392930-0338-4DE1-8FD3-7050122E6E7A}"/>
    <cellStyle name="Normal 4 4 2 2 7 2 3" xfId="12783" xr:uid="{3C4FB68A-9070-4F3D-8CAD-5CF07F68D7DA}"/>
    <cellStyle name="Normal 4 4 2 2 7 3" xfId="6406" xr:uid="{00000000-0005-0000-0000-000012150000}"/>
    <cellStyle name="Normal 4 4 2 2 7 3 2" xfId="14856" xr:uid="{59C820BD-0949-4288-ACE2-8A5244A544F5}"/>
    <cellStyle name="Normal 4 4 2 2 7 4" xfId="10638" xr:uid="{72E08E07-8197-4156-837E-320A68F36B6B}"/>
    <cellStyle name="Normal 4 4 2 2 8" xfId="2536" xr:uid="{00000000-0005-0000-0000-000013150000}"/>
    <cellStyle name="Normal 4 4 2 2 8 2" xfId="6819" xr:uid="{00000000-0005-0000-0000-000014150000}"/>
    <cellStyle name="Normal 4 4 2 2 8 2 2" xfId="15269" xr:uid="{5847F909-A814-456A-BD9C-F9D1EC0D7BD4}"/>
    <cellStyle name="Normal 4 4 2 2 8 3" xfId="11051" xr:uid="{556F8E3B-E221-4877-BEC4-B9BE202B0DA2}"/>
    <cellStyle name="Normal 4 4 2 2 9" xfId="4754" xr:uid="{00000000-0005-0000-0000-000015150000}"/>
    <cellStyle name="Normal 4 4 2 2 9 2" xfId="13204" xr:uid="{D839B6FA-00FC-4611-BEA2-709D11E359DA}"/>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D9A9572D-BC0B-4DD7-BCBE-91FC110E4ED1}"/>
    <cellStyle name="Normal 4 4 2 3 2 2 2 3" xfId="11549" xr:uid="{C419F714-4488-408A-9F81-CF5D132ACFE4}"/>
    <cellStyle name="Normal 4 4 2 3 2 2 3" xfId="5172" xr:uid="{00000000-0005-0000-0000-00001B150000}"/>
    <cellStyle name="Normal 4 4 2 3 2 2 3 2" xfId="13622" xr:uid="{22FD4AB7-535B-4802-9CF4-1FF81839CDD4}"/>
    <cellStyle name="Normal 4 4 2 3 2 2 4" xfId="9404" xr:uid="{D65661CF-8036-4D97-94CC-029235283C9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BF4D5993-5288-4AE6-9AD3-5480366505C6}"/>
    <cellStyle name="Normal 4 4 2 3 2 3 2 3" xfId="11962" xr:uid="{65AE558B-F7FC-4562-A628-4F4202CA539F}"/>
    <cellStyle name="Normal 4 4 2 3 2 3 3" xfId="5585" xr:uid="{00000000-0005-0000-0000-00001F150000}"/>
    <cellStyle name="Normal 4 4 2 3 2 3 3 2" xfId="14035" xr:uid="{FE331019-8725-46B4-8BE7-449C1410B665}"/>
    <cellStyle name="Normal 4 4 2 3 2 3 4" xfId="9817" xr:uid="{B575A469-6859-4745-948B-142DB60C8C12}"/>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91D3C68A-559E-44B8-BD09-3023D6D35EB7}"/>
    <cellStyle name="Normal 4 4 2 3 2 4 2 3" xfId="12375" xr:uid="{D85E403F-F3AB-47B7-A7F0-6F1FC9D414F2}"/>
    <cellStyle name="Normal 4 4 2 3 2 4 3" xfId="5998" xr:uid="{00000000-0005-0000-0000-000023150000}"/>
    <cellStyle name="Normal 4 4 2 3 2 4 3 2" xfId="14448" xr:uid="{8CFCED03-CBB9-4C0F-85E3-D0C21F6E9689}"/>
    <cellStyle name="Normal 4 4 2 3 2 4 4" xfId="10230" xr:uid="{66E050CA-7DC4-4199-AA82-6D7A0B144C3B}"/>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E2D5A550-8A0B-4F5A-88B1-3EC9DC11A420}"/>
    <cellStyle name="Normal 4 4 2 3 2 5 2 3" xfId="12788" xr:uid="{F76A4564-B5CB-4C8E-B9EA-F10C2DE27009}"/>
    <cellStyle name="Normal 4 4 2 3 2 5 3" xfId="6411" xr:uid="{00000000-0005-0000-0000-000027150000}"/>
    <cellStyle name="Normal 4 4 2 3 2 5 3 2" xfId="14861" xr:uid="{854BBE53-7F36-4360-BDB7-543CC755E023}"/>
    <cellStyle name="Normal 4 4 2 3 2 5 4" xfId="10643" xr:uid="{152CE3BF-D25E-4A3A-8D18-61AC1F5BA708}"/>
    <cellStyle name="Normal 4 4 2 3 2 6" xfId="2541" xr:uid="{00000000-0005-0000-0000-000028150000}"/>
    <cellStyle name="Normal 4 4 2 3 2 6 2" xfId="6824" xr:uid="{00000000-0005-0000-0000-000029150000}"/>
    <cellStyle name="Normal 4 4 2 3 2 6 2 2" xfId="15274" xr:uid="{D9DA8F75-7B98-44D7-B5AC-9A97AA24307F}"/>
    <cellStyle name="Normal 4 4 2 3 2 6 3" xfId="11056" xr:uid="{025444AD-D63B-4583-ABB7-E44F2C374A4D}"/>
    <cellStyle name="Normal 4 4 2 3 2 7" xfId="4759" xr:uid="{00000000-0005-0000-0000-00002A150000}"/>
    <cellStyle name="Normal 4 4 2 3 2 7 2" xfId="13209" xr:uid="{12CC33F2-1AAA-4CB9-9193-FC92CC3CC862}"/>
    <cellStyle name="Normal 4 4 2 3 2 8" xfId="8991" xr:uid="{025F68B8-AE75-4A45-954B-A6DD5F1EAD10}"/>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33844AD9-705E-4332-9AD4-D745A92BF517}"/>
    <cellStyle name="Normal 4 4 2 3 3 2 3" xfId="11548" xr:uid="{D526FA57-9864-4915-B3AB-DF0F03542FE0}"/>
    <cellStyle name="Normal 4 4 2 3 3 3" xfId="5171" xr:uid="{00000000-0005-0000-0000-00002E150000}"/>
    <cellStyle name="Normal 4 4 2 3 3 3 2" xfId="13621" xr:uid="{12C59E0E-D63E-4150-860C-5B70D66319E8}"/>
    <cellStyle name="Normal 4 4 2 3 3 4" xfId="9403" xr:uid="{49187407-73BF-4F83-B742-11EA97A58BC9}"/>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2FE2A02A-9932-4AE0-ACEB-AB46CE6D3A8F}"/>
    <cellStyle name="Normal 4 4 2 3 4 2 3" xfId="11961" xr:uid="{5E8B4554-1A74-4F1E-B1BA-4689667C64B0}"/>
    <cellStyle name="Normal 4 4 2 3 4 3" xfId="5584" xr:uid="{00000000-0005-0000-0000-000032150000}"/>
    <cellStyle name="Normal 4 4 2 3 4 3 2" xfId="14034" xr:uid="{CF2ABDE8-8B83-4EB1-9035-9DD526F8C2D8}"/>
    <cellStyle name="Normal 4 4 2 3 4 4" xfId="9816" xr:uid="{D0C41EC3-6286-44BA-8DDE-96532E49DE29}"/>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5886D34F-FDDA-4CB3-9CF1-0E8D6B8165F3}"/>
    <cellStyle name="Normal 4 4 2 3 5 2 3" xfId="12374" xr:uid="{D76D21E8-0EF8-4013-B7D5-60EED86BFF42}"/>
    <cellStyle name="Normal 4 4 2 3 5 3" xfId="5997" xr:uid="{00000000-0005-0000-0000-000036150000}"/>
    <cellStyle name="Normal 4 4 2 3 5 3 2" xfId="14447" xr:uid="{D1641498-E024-4FD8-8771-9A3397BF88DE}"/>
    <cellStyle name="Normal 4 4 2 3 5 4" xfId="10229" xr:uid="{B501140B-DD32-44C3-88DA-B63A81B3E9FC}"/>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0AFC53B7-E763-4697-8D4F-DE3777B805FD}"/>
    <cellStyle name="Normal 4 4 2 3 6 2 3" xfId="12787" xr:uid="{43ECD69A-655F-4F49-AEC7-BBF69144C82D}"/>
    <cellStyle name="Normal 4 4 2 3 6 3" xfId="6410" xr:uid="{00000000-0005-0000-0000-00003A150000}"/>
    <cellStyle name="Normal 4 4 2 3 6 3 2" xfId="14860" xr:uid="{A08CB4B4-318E-43CB-85F2-BAE522CE488A}"/>
    <cellStyle name="Normal 4 4 2 3 6 4" xfId="10642" xr:uid="{5D24760C-4729-46FF-93BF-A2485526490C}"/>
    <cellStyle name="Normal 4 4 2 3 7" xfId="2540" xr:uid="{00000000-0005-0000-0000-00003B150000}"/>
    <cellStyle name="Normal 4 4 2 3 7 2" xfId="6823" xr:uid="{00000000-0005-0000-0000-00003C150000}"/>
    <cellStyle name="Normal 4 4 2 3 7 2 2" xfId="15273" xr:uid="{DEB04218-94D3-404B-A238-6FEC2D0D78CF}"/>
    <cellStyle name="Normal 4 4 2 3 7 3" xfId="11055" xr:uid="{1FC1A71B-1EFE-41F4-BF3C-ADE3E537E765}"/>
    <cellStyle name="Normal 4 4 2 3 8" xfId="4758" xr:uid="{00000000-0005-0000-0000-00003D150000}"/>
    <cellStyle name="Normal 4 4 2 3 8 2" xfId="13208" xr:uid="{FF571D4F-9DA2-454A-B146-E56ACC37E353}"/>
    <cellStyle name="Normal 4 4 2 3 9" xfId="8990" xr:uid="{4E1C2A93-6041-48A4-BC14-970249E4964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3C49816B-63A8-4127-9227-8BF8120208A7}"/>
    <cellStyle name="Normal 4 4 2 4 2 2 3" xfId="11550" xr:uid="{8953D426-B6C8-4E75-BF80-EFC6916DF3CC}"/>
    <cellStyle name="Normal 4 4 2 4 2 3" xfId="5173" xr:uid="{00000000-0005-0000-0000-000042150000}"/>
    <cellStyle name="Normal 4 4 2 4 2 3 2" xfId="13623" xr:uid="{6DF19F63-6C4C-49FB-8FDD-0425A3560912}"/>
    <cellStyle name="Normal 4 4 2 4 2 4" xfId="9405" xr:uid="{626C6770-3B6D-4DF0-AC33-E8E98EC491A8}"/>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C2FFAD82-3AAE-4924-AF3B-43658E3C4F4D}"/>
    <cellStyle name="Normal 4 4 2 4 3 2 3" xfId="11963" xr:uid="{FF78F1CA-162C-4FFF-8303-F466816F6774}"/>
    <cellStyle name="Normal 4 4 2 4 3 3" xfId="5586" xr:uid="{00000000-0005-0000-0000-000046150000}"/>
    <cellStyle name="Normal 4 4 2 4 3 3 2" xfId="14036" xr:uid="{B608048F-BFF7-4F4B-B488-D15C65AA5655}"/>
    <cellStyle name="Normal 4 4 2 4 3 4" xfId="9818" xr:uid="{541F17F8-128F-4819-B1BC-059E5EA01E9E}"/>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05CA3F5D-E9E4-493E-AE4E-CE5D7EC483C7}"/>
    <cellStyle name="Normal 4 4 2 4 4 2 3" xfId="12376" xr:uid="{D5247728-DF4C-41C9-885A-59746B6129B9}"/>
    <cellStyle name="Normal 4 4 2 4 4 3" xfId="5999" xr:uid="{00000000-0005-0000-0000-00004A150000}"/>
    <cellStyle name="Normal 4 4 2 4 4 3 2" xfId="14449" xr:uid="{8FB0B806-FFC8-490F-8243-268406430A5E}"/>
    <cellStyle name="Normal 4 4 2 4 4 4" xfId="10231" xr:uid="{E99A5E74-B406-4E48-BDD4-48427792645E}"/>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6E8E20E3-C86A-4FC5-B858-1AEBC20A35A9}"/>
    <cellStyle name="Normal 4 4 2 4 5 2 3" xfId="12789" xr:uid="{A9E31118-DCE2-4984-8411-5DCE35EBD22F}"/>
    <cellStyle name="Normal 4 4 2 4 5 3" xfId="6412" xr:uid="{00000000-0005-0000-0000-00004E150000}"/>
    <cellStyle name="Normal 4 4 2 4 5 3 2" xfId="14862" xr:uid="{A973C0EA-311A-4B37-8234-ACACE62AD578}"/>
    <cellStyle name="Normal 4 4 2 4 5 4" xfId="10644" xr:uid="{3491863A-B5FD-4494-A7D1-BFE1880FDE86}"/>
    <cellStyle name="Normal 4 4 2 4 6" xfId="2542" xr:uid="{00000000-0005-0000-0000-00004F150000}"/>
    <cellStyle name="Normal 4 4 2 4 6 2" xfId="6825" xr:uid="{00000000-0005-0000-0000-000050150000}"/>
    <cellStyle name="Normal 4 4 2 4 6 2 2" xfId="15275" xr:uid="{BEADB2E2-804C-4531-947C-0779576E2AC3}"/>
    <cellStyle name="Normal 4 4 2 4 6 3" xfId="11057" xr:uid="{E3E35F45-D751-4C35-9428-85FB3E26CC1E}"/>
    <cellStyle name="Normal 4 4 2 4 7" xfId="4760" xr:uid="{00000000-0005-0000-0000-000051150000}"/>
    <cellStyle name="Normal 4 4 2 4 7 2" xfId="13210" xr:uid="{197F90B0-2401-4D46-89F7-689CA54F25BF}"/>
    <cellStyle name="Normal 4 4 2 4 8" xfId="8992" xr:uid="{84ED295B-5545-4D2C-B9F6-914BAC502F00}"/>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867DD315-107C-4E52-8973-5C5A26B95974}"/>
    <cellStyle name="Normal 4 4 2 5 2 3" xfId="11543" xr:uid="{53ED3B5E-CAEA-4B45-8BFB-2E110ACF794C}"/>
    <cellStyle name="Normal 4 4 2 5 3" xfId="5166" xr:uid="{00000000-0005-0000-0000-000055150000}"/>
    <cellStyle name="Normal 4 4 2 5 3 2" xfId="13616" xr:uid="{807AB253-5351-44CB-AA36-2C0EABDCD5D7}"/>
    <cellStyle name="Normal 4 4 2 5 4" xfId="9398" xr:uid="{E927C25B-9940-4E13-8EB2-9351D471639A}"/>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CB6C13E7-9D24-4DBD-88E7-549B6A6E61DF}"/>
    <cellStyle name="Normal 4 4 2 6 2 3" xfId="11956" xr:uid="{04010ED9-7095-43AF-87D9-87F14A938357}"/>
    <cellStyle name="Normal 4 4 2 6 3" xfId="5579" xr:uid="{00000000-0005-0000-0000-000059150000}"/>
    <cellStyle name="Normal 4 4 2 6 3 2" xfId="14029" xr:uid="{67EECD06-769E-4B4E-BD67-B94ABE32656E}"/>
    <cellStyle name="Normal 4 4 2 6 4" xfId="9811" xr:uid="{E08E854C-D3AC-42C3-B105-42DE925C5E04}"/>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C16073AC-117B-49C3-BC3F-90F82A5D6B07}"/>
    <cellStyle name="Normal 4 4 2 7 2 3" xfId="12369" xr:uid="{D971330B-D200-4808-A68C-ED947B16A11A}"/>
    <cellStyle name="Normal 4 4 2 7 3" xfId="5992" xr:uid="{00000000-0005-0000-0000-00005D150000}"/>
    <cellStyle name="Normal 4 4 2 7 3 2" xfId="14442" xr:uid="{D9A97BDA-6935-461D-9A4C-0F30E32F27F8}"/>
    <cellStyle name="Normal 4 4 2 7 4" xfId="10224" xr:uid="{5FED0E92-285C-4479-B5F6-9C6CF77FEDC4}"/>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5CFFE89C-BB65-46EA-9B55-7DA80F919CCF}"/>
    <cellStyle name="Normal 4 4 2 8 2 3" xfId="12782" xr:uid="{C5EE730B-23D6-43F0-AB2C-ADE90DBD167D}"/>
    <cellStyle name="Normal 4 4 2 8 3" xfId="6405" xr:uid="{00000000-0005-0000-0000-000061150000}"/>
    <cellStyle name="Normal 4 4 2 8 3 2" xfId="14855" xr:uid="{AA41573F-0EC9-4A98-B1F2-D8A396982DF2}"/>
    <cellStyle name="Normal 4 4 2 8 4" xfId="10637" xr:uid="{EAB6366F-C0DA-4D21-B3A4-4FFBD0CA3DC3}"/>
    <cellStyle name="Normal 4 4 2 9" xfId="2535" xr:uid="{00000000-0005-0000-0000-000062150000}"/>
    <cellStyle name="Normal 4 4 2 9 2" xfId="6818" xr:uid="{00000000-0005-0000-0000-000063150000}"/>
    <cellStyle name="Normal 4 4 2 9 2 2" xfId="15268" xr:uid="{7670A0CE-1DCC-4CCE-A806-D0D5BB334B8F}"/>
    <cellStyle name="Normal 4 4 2 9 3" xfId="11050" xr:uid="{8B9EDE0D-BF77-402F-910A-DFDD1565CB93}"/>
    <cellStyle name="Normal 4 4 3" xfId="387" xr:uid="{00000000-0005-0000-0000-000064150000}"/>
    <cellStyle name="Normal 4 4 3 10" xfId="8993" xr:uid="{B882C8D2-0184-4694-B2E7-7CE2AFDB8B59}"/>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24A33C6B-1E9C-4B33-9FC4-BF519F84003B}"/>
    <cellStyle name="Normal 4 4 3 2 2 2 2 3" xfId="11553" xr:uid="{CDC83636-FFA4-47AD-8A8C-7C96B1ADB97E}"/>
    <cellStyle name="Normal 4 4 3 2 2 2 3" xfId="5176" xr:uid="{00000000-0005-0000-0000-00006A150000}"/>
    <cellStyle name="Normal 4 4 3 2 2 2 3 2" xfId="13626" xr:uid="{1D40B367-94BD-4D22-9627-2C9ED69145DF}"/>
    <cellStyle name="Normal 4 4 3 2 2 2 4" xfId="9408" xr:uid="{B45E1188-3134-44A4-A318-2AC11F42A7AD}"/>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62D29FA1-BAA8-4C33-A1E8-A922B7B3F9CF}"/>
    <cellStyle name="Normal 4 4 3 2 2 3 2 3" xfId="11966" xr:uid="{CE67BF4E-0702-4EBF-ABFB-4C7258EE200F}"/>
    <cellStyle name="Normal 4 4 3 2 2 3 3" xfId="5589" xr:uid="{00000000-0005-0000-0000-00006E150000}"/>
    <cellStyle name="Normal 4 4 3 2 2 3 3 2" xfId="14039" xr:uid="{465F99F8-3D8B-4B5A-9737-0F877E53B48D}"/>
    <cellStyle name="Normal 4 4 3 2 2 3 4" xfId="9821" xr:uid="{8C265986-A233-4167-A417-1E5F0F4E8A37}"/>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836A1E03-B395-4C14-9656-225870F4F35B}"/>
    <cellStyle name="Normal 4 4 3 2 2 4 2 3" xfId="12379" xr:uid="{C0978DFC-770A-46EB-A29B-8CBCAA7FEDFF}"/>
    <cellStyle name="Normal 4 4 3 2 2 4 3" xfId="6002" xr:uid="{00000000-0005-0000-0000-000072150000}"/>
    <cellStyle name="Normal 4 4 3 2 2 4 3 2" xfId="14452" xr:uid="{1F0E0903-8818-4E41-885A-2599A7E7C0DC}"/>
    <cellStyle name="Normal 4 4 3 2 2 4 4" xfId="10234" xr:uid="{8570AE41-A26E-4218-B9C2-FF41A8EAC846}"/>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E559DA38-D468-435F-9804-6298E385E9E1}"/>
    <cellStyle name="Normal 4 4 3 2 2 5 2 3" xfId="12792" xr:uid="{43E464D9-15BE-4B53-890D-CEBE0172F696}"/>
    <cellStyle name="Normal 4 4 3 2 2 5 3" xfId="6415" xr:uid="{00000000-0005-0000-0000-000076150000}"/>
    <cellStyle name="Normal 4 4 3 2 2 5 3 2" xfId="14865" xr:uid="{4623073C-2CC6-4601-8F99-9491A9B05F7A}"/>
    <cellStyle name="Normal 4 4 3 2 2 5 4" xfId="10647" xr:uid="{67F74FBA-8146-43E4-A9E3-71F743869B17}"/>
    <cellStyle name="Normal 4 4 3 2 2 6" xfId="2545" xr:uid="{00000000-0005-0000-0000-000077150000}"/>
    <cellStyle name="Normal 4 4 3 2 2 6 2" xfId="6828" xr:uid="{00000000-0005-0000-0000-000078150000}"/>
    <cellStyle name="Normal 4 4 3 2 2 6 2 2" xfId="15278" xr:uid="{9A888E0D-D8E6-419C-9F6D-09AEC5F2D6A5}"/>
    <cellStyle name="Normal 4 4 3 2 2 6 3" xfId="11060" xr:uid="{C0A5DF6B-4554-420E-B249-00355984162E}"/>
    <cellStyle name="Normal 4 4 3 2 2 7" xfId="4763" xr:uid="{00000000-0005-0000-0000-000079150000}"/>
    <cellStyle name="Normal 4 4 3 2 2 7 2" xfId="13213" xr:uid="{249C9EB4-7F31-42F2-8FFC-BB53E78BA229}"/>
    <cellStyle name="Normal 4 4 3 2 2 8" xfId="8995" xr:uid="{6530F5E7-D56C-462E-BAF3-376D5BF369F7}"/>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8470F6A5-B644-4374-A1B2-40134A592B06}"/>
    <cellStyle name="Normal 4 4 3 2 3 2 3" xfId="11552" xr:uid="{DF743B8A-18B5-4F5E-8410-B46444AA2CE3}"/>
    <cellStyle name="Normal 4 4 3 2 3 3" xfId="5175" xr:uid="{00000000-0005-0000-0000-00007D150000}"/>
    <cellStyle name="Normal 4 4 3 2 3 3 2" xfId="13625" xr:uid="{78C17A5B-A306-486E-B72B-CF54FE1C3FC4}"/>
    <cellStyle name="Normal 4 4 3 2 3 4" xfId="9407" xr:uid="{97E34DD6-FC97-4E05-99DD-1FD8FD9A32CD}"/>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5B04E5B8-0114-4158-B96A-BEE7DEA8CB8D}"/>
    <cellStyle name="Normal 4 4 3 2 4 2 3" xfId="11965" xr:uid="{30337231-7590-4DB0-9FC2-64DB132F43B4}"/>
    <cellStyle name="Normal 4 4 3 2 4 3" xfId="5588" xr:uid="{00000000-0005-0000-0000-000081150000}"/>
    <cellStyle name="Normal 4 4 3 2 4 3 2" xfId="14038" xr:uid="{1D8DBBC3-600B-4899-A379-2549583C3602}"/>
    <cellStyle name="Normal 4 4 3 2 4 4" xfId="9820" xr:uid="{E54CD88D-152F-460C-82AC-6DA544732A3A}"/>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4C719DE5-F5BA-44A5-A7DD-292084211949}"/>
    <cellStyle name="Normal 4 4 3 2 5 2 3" xfId="12378" xr:uid="{D2F464E3-3175-4FBC-9E24-0F2F7012BF14}"/>
    <cellStyle name="Normal 4 4 3 2 5 3" xfId="6001" xr:uid="{00000000-0005-0000-0000-000085150000}"/>
    <cellStyle name="Normal 4 4 3 2 5 3 2" xfId="14451" xr:uid="{359F7526-7AA8-4104-884F-9772C078B374}"/>
    <cellStyle name="Normal 4 4 3 2 5 4" xfId="10233" xr:uid="{3794FF87-007A-41CF-AE41-3CDB9EA4419C}"/>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EC6EDC18-6AC7-49E7-B653-F72581A30551}"/>
    <cellStyle name="Normal 4 4 3 2 6 2 3" xfId="12791" xr:uid="{A0EB3A35-C9F9-49D6-8787-A3D4ADC2B262}"/>
    <cellStyle name="Normal 4 4 3 2 6 3" xfId="6414" xr:uid="{00000000-0005-0000-0000-000089150000}"/>
    <cellStyle name="Normal 4 4 3 2 6 3 2" xfId="14864" xr:uid="{BC182FC5-C229-41DF-B3EE-08BCDAE81973}"/>
    <cellStyle name="Normal 4 4 3 2 6 4" xfId="10646" xr:uid="{3A15E058-EE27-48C9-883D-52E7CCEE4331}"/>
    <cellStyle name="Normal 4 4 3 2 7" xfId="2544" xr:uid="{00000000-0005-0000-0000-00008A150000}"/>
    <cellStyle name="Normal 4 4 3 2 7 2" xfId="6827" xr:uid="{00000000-0005-0000-0000-00008B150000}"/>
    <cellStyle name="Normal 4 4 3 2 7 2 2" xfId="15277" xr:uid="{BDF918AF-5942-45D3-B827-5B1B1261D19A}"/>
    <cellStyle name="Normal 4 4 3 2 7 3" xfId="11059" xr:uid="{18C35B60-F861-47C3-B241-5AB949CE7C25}"/>
    <cellStyle name="Normal 4 4 3 2 8" xfId="4762" xr:uid="{00000000-0005-0000-0000-00008C150000}"/>
    <cellStyle name="Normal 4 4 3 2 8 2" xfId="13212" xr:uid="{F5EDBED5-EDC9-4937-B48E-56BFDF7C48A4}"/>
    <cellStyle name="Normal 4 4 3 2 9" xfId="8994" xr:uid="{210EF055-F23B-41E7-A5A3-1AA7E7660FFC}"/>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F4FC9241-AE1E-4127-93D9-87A9A5972282}"/>
    <cellStyle name="Normal 4 4 3 3 2 2 3" xfId="11554" xr:uid="{B9199118-A91E-4A3B-9A5F-B79742763180}"/>
    <cellStyle name="Normal 4 4 3 3 2 3" xfId="5177" xr:uid="{00000000-0005-0000-0000-000091150000}"/>
    <cellStyle name="Normal 4 4 3 3 2 3 2" xfId="13627" xr:uid="{D43D3A1F-AB5A-4B0E-9DE9-9F5B72AF630C}"/>
    <cellStyle name="Normal 4 4 3 3 2 4" xfId="9409" xr:uid="{1EA15EE0-2096-4D30-BF05-98636F42AC0F}"/>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2BD5B0A9-EF76-44AF-B677-981FEF1689B9}"/>
    <cellStyle name="Normal 4 4 3 3 3 2 3" xfId="11967" xr:uid="{415CFD75-D5E9-4312-96CF-886ABDEA22FA}"/>
    <cellStyle name="Normal 4 4 3 3 3 3" xfId="5590" xr:uid="{00000000-0005-0000-0000-000095150000}"/>
    <cellStyle name="Normal 4 4 3 3 3 3 2" xfId="14040" xr:uid="{01C47756-8770-46C6-A329-F823D83B3EC9}"/>
    <cellStyle name="Normal 4 4 3 3 3 4" xfId="9822" xr:uid="{1CE36AED-C259-4BC8-AAE9-E50C6D183119}"/>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40E280BF-8391-4436-91E1-99C44DC69F06}"/>
    <cellStyle name="Normal 4 4 3 3 4 2 3" xfId="12380" xr:uid="{ECF1C51B-02BC-4EBC-B715-42619CA15B54}"/>
    <cellStyle name="Normal 4 4 3 3 4 3" xfId="6003" xr:uid="{00000000-0005-0000-0000-000099150000}"/>
    <cellStyle name="Normal 4 4 3 3 4 3 2" xfId="14453" xr:uid="{8BD414A0-22B9-4EEB-AC20-5656D0F6FD7D}"/>
    <cellStyle name="Normal 4 4 3 3 4 4" xfId="10235" xr:uid="{3AD841E1-2374-4727-BE22-D0BB61E76419}"/>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BE2F884E-F07B-40B8-9C15-33DC0F665116}"/>
    <cellStyle name="Normal 4 4 3 3 5 2 3" xfId="12793" xr:uid="{D549366D-B3E8-47A5-AAB0-3C7AFF11CF5D}"/>
    <cellStyle name="Normal 4 4 3 3 5 3" xfId="6416" xr:uid="{00000000-0005-0000-0000-00009D150000}"/>
    <cellStyle name="Normal 4 4 3 3 5 3 2" xfId="14866" xr:uid="{D9C0B5FF-7E93-4F58-9B61-C35A44AC31DF}"/>
    <cellStyle name="Normal 4 4 3 3 5 4" xfId="10648" xr:uid="{0B573F92-C014-4025-9329-7FD947AE26BA}"/>
    <cellStyle name="Normal 4 4 3 3 6" xfId="2546" xr:uid="{00000000-0005-0000-0000-00009E150000}"/>
    <cellStyle name="Normal 4 4 3 3 6 2" xfId="6829" xr:uid="{00000000-0005-0000-0000-00009F150000}"/>
    <cellStyle name="Normal 4 4 3 3 6 2 2" xfId="15279" xr:uid="{11657883-D5E8-4235-AC0B-931224BD498C}"/>
    <cellStyle name="Normal 4 4 3 3 6 3" xfId="11061" xr:uid="{821862C0-4E10-4623-A7ED-E33B7B8305EE}"/>
    <cellStyle name="Normal 4 4 3 3 7" xfId="4764" xr:uid="{00000000-0005-0000-0000-0000A0150000}"/>
    <cellStyle name="Normal 4 4 3 3 7 2" xfId="13214" xr:uid="{60A76CC1-1514-4588-84D1-8B36CAD4BFC2}"/>
    <cellStyle name="Normal 4 4 3 3 8" xfId="8996" xr:uid="{6FC95427-60AA-4E5B-A713-0B8AB2EC1BE2}"/>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1EBD735A-7F55-4D65-81F8-D0A651DBC2ED}"/>
    <cellStyle name="Normal 4 4 3 4 2 3" xfId="11551" xr:uid="{9881A0E0-638F-4711-95AE-311F689D8732}"/>
    <cellStyle name="Normal 4 4 3 4 3" xfId="5174" xr:uid="{00000000-0005-0000-0000-0000A4150000}"/>
    <cellStyle name="Normal 4 4 3 4 3 2" xfId="13624" xr:uid="{479A4AFF-AF36-4E03-9CD6-EB2ABAFDBCA4}"/>
    <cellStyle name="Normal 4 4 3 4 4" xfId="9406" xr:uid="{6C33617C-0488-4010-8998-E9D9AB6F9F75}"/>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1F053781-0E35-49FB-9D00-6952111F5948}"/>
    <cellStyle name="Normal 4 4 3 5 2 3" xfId="11964" xr:uid="{7BC878F7-B3BC-44AC-A9A7-39E8F40E1193}"/>
    <cellStyle name="Normal 4 4 3 5 3" xfId="5587" xr:uid="{00000000-0005-0000-0000-0000A8150000}"/>
    <cellStyle name="Normal 4 4 3 5 3 2" xfId="14037" xr:uid="{4E3DE23B-0F8B-4376-85B3-4E40386378CE}"/>
    <cellStyle name="Normal 4 4 3 5 4" xfId="9819" xr:uid="{35C005E1-636D-48F7-A05D-0A3C3C537895}"/>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5CB855C3-329B-42A4-B05B-5B7F51D1EDB5}"/>
    <cellStyle name="Normal 4 4 3 6 2 3" xfId="12377" xr:uid="{AC6BDEFA-D141-47F8-9729-5DFA65774621}"/>
    <cellStyle name="Normal 4 4 3 6 3" xfId="6000" xr:uid="{00000000-0005-0000-0000-0000AC150000}"/>
    <cellStyle name="Normal 4 4 3 6 3 2" xfId="14450" xr:uid="{169F8E93-CB19-43E7-BC12-627D5215A48E}"/>
    <cellStyle name="Normal 4 4 3 6 4" xfId="10232" xr:uid="{0C08C491-7680-4004-BC43-FCE1F18B192E}"/>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8C362AB5-5CB4-46D6-A758-B2E88BD98497}"/>
    <cellStyle name="Normal 4 4 3 7 2 3" xfId="12790" xr:uid="{27741658-D352-4602-82CD-B67A40A606DF}"/>
    <cellStyle name="Normal 4 4 3 7 3" xfId="6413" xr:uid="{00000000-0005-0000-0000-0000B0150000}"/>
    <cellStyle name="Normal 4 4 3 7 3 2" xfId="14863" xr:uid="{D7C474EA-9C72-4DE1-AB00-0FAF2C7F5A76}"/>
    <cellStyle name="Normal 4 4 3 7 4" xfId="10645" xr:uid="{CBF5EB94-C163-40F4-A2FB-5CF293DC3F45}"/>
    <cellStyle name="Normal 4 4 3 8" xfId="2543" xr:uid="{00000000-0005-0000-0000-0000B1150000}"/>
    <cellStyle name="Normal 4 4 3 8 2" xfId="6826" xr:uid="{00000000-0005-0000-0000-0000B2150000}"/>
    <cellStyle name="Normal 4 4 3 8 2 2" xfId="15276" xr:uid="{8C76E604-DD72-4795-9A64-DF6F8379CCCA}"/>
    <cellStyle name="Normal 4 4 3 8 3" xfId="11058" xr:uid="{A7B9857D-B586-422A-99BA-BAA07CBFC9CE}"/>
    <cellStyle name="Normal 4 4 3 9" xfId="4761" xr:uid="{00000000-0005-0000-0000-0000B3150000}"/>
    <cellStyle name="Normal 4 4 3 9 2" xfId="13211" xr:uid="{61A42BEE-9A90-48A0-AB36-DD93FD5EF637}"/>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5A6C56D9-8CC8-4DF5-99E8-8BFA22D4FB5D}"/>
    <cellStyle name="Normal 4 4 4 2 2 2 3" xfId="11556" xr:uid="{01BAEB10-38E2-4C41-BA22-C583A856CE89}"/>
    <cellStyle name="Normal 4 4 4 2 2 3" xfId="5179" xr:uid="{00000000-0005-0000-0000-0000B9150000}"/>
    <cellStyle name="Normal 4 4 4 2 2 3 2" xfId="13629" xr:uid="{EE86A557-5286-4C4F-AE10-7FAD7AFF7C3B}"/>
    <cellStyle name="Normal 4 4 4 2 2 4" xfId="9411" xr:uid="{69DE6BD0-1875-462E-A5C1-B5A413B5884F}"/>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A12E59AE-AC07-4367-AE1F-C75D1DA54390}"/>
    <cellStyle name="Normal 4 4 4 2 3 2 3" xfId="11969" xr:uid="{D63C3233-AA5B-42B2-ACA4-DC47E4095F5D}"/>
    <cellStyle name="Normal 4 4 4 2 3 3" xfId="5592" xr:uid="{00000000-0005-0000-0000-0000BD150000}"/>
    <cellStyle name="Normal 4 4 4 2 3 3 2" xfId="14042" xr:uid="{923C34FD-EDED-4A7D-A497-D5A88320578C}"/>
    <cellStyle name="Normal 4 4 4 2 3 4" xfId="9824" xr:uid="{36943E3E-D46C-4B0E-B8A4-D75E8D944DA9}"/>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7A7F2798-E8AA-4698-9CCB-80FAC8D7C7B9}"/>
    <cellStyle name="Normal 4 4 4 2 4 2 3" xfId="12382" xr:uid="{09BCDA09-8E02-4C0A-9AE9-9C7B31F05004}"/>
    <cellStyle name="Normal 4 4 4 2 4 3" xfId="6005" xr:uid="{00000000-0005-0000-0000-0000C1150000}"/>
    <cellStyle name="Normal 4 4 4 2 4 3 2" xfId="14455" xr:uid="{649F19D0-20C6-45F0-AB21-FC39F66E2F59}"/>
    <cellStyle name="Normal 4 4 4 2 4 4" xfId="10237" xr:uid="{CFB4CE13-D3FC-45D0-8B54-8B0009C111F4}"/>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1D113960-216A-41E1-8C66-6CDFDC75F6ED}"/>
    <cellStyle name="Normal 4 4 4 2 5 2 3" xfId="12795" xr:uid="{3E225704-8A71-4B83-A7EE-1D32813FF412}"/>
    <cellStyle name="Normal 4 4 4 2 5 3" xfId="6418" xr:uid="{00000000-0005-0000-0000-0000C5150000}"/>
    <cellStyle name="Normal 4 4 4 2 5 3 2" xfId="14868" xr:uid="{AA3F0249-071D-4219-8452-C9A70EAA4ACB}"/>
    <cellStyle name="Normal 4 4 4 2 5 4" xfId="10650" xr:uid="{F37FA841-B387-423C-AE55-536A73939570}"/>
    <cellStyle name="Normal 4 4 4 2 6" xfId="2548" xr:uid="{00000000-0005-0000-0000-0000C6150000}"/>
    <cellStyle name="Normal 4 4 4 2 6 2" xfId="6831" xr:uid="{00000000-0005-0000-0000-0000C7150000}"/>
    <cellStyle name="Normal 4 4 4 2 6 2 2" xfId="15281" xr:uid="{2DA97004-A599-4A4E-9E54-A67267EAE79A}"/>
    <cellStyle name="Normal 4 4 4 2 6 3" xfId="11063" xr:uid="{75295F35-E347-4867-8D2E-9A270B4636ED}"/>
    <cellStyle name="Normal 4 4 4 2 7" xfId="4766" xr:uid="{00000000-0005-0000-0000-0000C8150000}"/>
    <cellStyle name="Normal 4 4 4 2 7 2" xfId="13216" xr:uid="{8CFF0681-8A18-4494-9217-B9AF049783BB}"/>
    <cellStyle name="Normal 4 4 4 2 8" xfId="8998" xr:uid="{86C9B20B-3791-49A2-9ACF-90F469A3AE1A}"/>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075045D5-98CE-43A1-B850-CFEBF9C899BD}"/>
    <cellStyle name="Normal 4 4 4 3 2 3" xfId="11555" xr:uid="{157188C6-D261-4334-BF59-5068A16DF708}"/>
    <cellStyle name="Normal 4 4 4 3 3" xfId="5178" xr:uid="{00000000-0005-0000-0000-0000CC150000}"/>
    <cellStyle name="Normal 4 4 4 3 3 2" xfId="13628" xr:uid="{098EC06E-D113-4B55-8A72-25A312746422}"/>
    <cellStyle name="Normal 4 4 4 3 4" xfId="9410" xr:uid="{25D0E590-B41B-40CD-BC46-DD760B43161B}"/>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C65E20A7-4566-46CE-B339-7460C4264E5F}"/>
    <cellStyle name="Normal 4 4 4 4 2 3" xfId="11968" xr:uid="{CFE7F7A5-19C0-4CC8-A8B0-6F3699F27629}"/>
    <cellStyle name="Normal 4 4 4 4 3" xfId="5591" xr:uid="{00000000-0005-0000-0000-0000D0150000}"/>
    <cellStyle name="Normal 4 4 4 4 3 2" xfId="14041" xr:uid="{0E6C28EB-B3DC-484B-A380-49905DF6D78B}"/>
    <cellStyle name="Normal 4 4 4 4 4" xfId="9823" xr:uid="{88BCF306-21F5-4BC4-8262-FFCCD7C2CBD5}"/>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7DE6E7E8-D4FA-4DED-9E50-E80154E29528}"/>
    <cellStyle name="Normal 4 4 4 5 2 3" xfId="12381" xr:uid="{41B90C73-575E-4A72-827D-A8514F1EA902}"/>
    <cellStyle name="Normal 4 4 4 5 3" xfId="6004" xr:uid="{00000000-0005-0000-0000-0000D4150000}"/>
    <cellStyle name="Normal 4 4 4 5 3 2" xfId="14454" xr:uid="{7DBDB849-8F43-4577-A961-7C7AB69F0C8C}"/>
    <cellStyle name="Normal 4 4 4 5 4" xfId="10236" xr:uid="{0DE06921-0F2F-40C6-BD05-1D71021318BD}"/>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6205CDC9-99C8-4FBA-B091-CE55A7379EC8}"/>
    <cellStyle name="Normal 4 4 4 6 2 3" xfId="12794" xr:uid="{3AFBAE88-60A5-4DC9-AC98-9691BDB8886E}"/>
    <cellStyle name="Normal 4 4 4 6 3" xfId="6417" xr:uid="{00000000-0005-0000-0000-0000D8150000}"/>
    <cellStyle name="Normal 4 4 4 6 3 2" xfId="14867" xr:uid="{268CBA02-C771-45FE-A28A-264D71E9AE87}"/>
    <cellStyle name="Normal 4 4 4 6 4" xfId="10649" xr:uid="{B92B19ED-8DF7-403A-B199-1F50585A661A}"/>
    <cellStyle name="Normal 4 4 4 7" xfId="2547" xr:uid="{00000000-0005-0000-0000-0000D9150000}"/>
    <cellStyle name="Normal 4 4 4 7 2" xfId="6830" xr:uid="{00000000-0005-0000-0000-0000DA150000}"/>
    <cellStyle name="Normal 4 4 4 7 2 2" xfId="15280" xr:uid="{60ADEF17-81A5-4A2C-982F-FCBF30C07256}"/>
    <cellStyle name="Normal 4 4 4 7 3" xfId="11062" xr:uid="{E8D8DB8D-A9A0-4B27-BF4D-8867CE132B9D}"/>
    <cellStyle name="Normal 4 4 4 8" xfId="4765" xr:uid="{00000000-0005-0000-0000-0000DB150000}"/>
    <cellStyle name="Normal 4 4 4 8 2" xfId="13215" xr:uid="{37054FC3-199D-4C09-825F-41BA9646450F}"/>
    <cellStyle name="Normal 4 4 4 9" xfId="8997" xr:uid="{B4D48965-59AE-4F64-A3C2-46AFCCFE38D6}"/>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3F2BBBD7-3207-4C99-9CD0-65D49F66EBD0}"/>
    <cellStyle name="Normal 4 4 5 2 2 3" xfId="11557" xr:uid="{7738DCFD-04FA-4058-9FA1-40B44D5DB82A}"/>
    <cellStyle name="Normal 4 4 5 2 3" xfId="5180" xr:uid="{00000000-0005-0000-0000-0000E0150000}"/>
    <cellStyle name="Normal 4 4 5 2 3 2" xfId="13630" xr:uid="{34788BF7-00CE-4BD8-8FBA-4FCA7715DD81}"/>
    <cellStyle name="Normal 4 4 5 2 4" xfId="9412" xr:uid="{C06B7B7F-8013-4591-8311-8BB2FDED120D}"/>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01FDA937-8B86-4889-888D-331E90797481}"/>
    <cellStyle name="Normal 4 4 5 3 2 3" xfId="11970" xr:uid="{CAC69D01-D009-4D5D-9C35-463BDB85AC04}"/>
    <cellStyle name="Normal 4 4 5 3 3" xfId="5593" xr:uid="{00000000-0005-0000-0000-0000E4150000}"/>
    <cellStyle name="Normal 4 4 5 3 3 2" xfId="14043" xr:uid="{F23E377F-455E-4ED0-B899-37C64A1FCB38}"/>
    <cellStyle name="Normal 4 4 5 3 4" xfId="9825" xr:uid="{7B6BFB9A-19A2-4888-B58A-23ED3A38CE84}"/>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AA00413E-B8F7-41DC-8909-12F99F8ABCD9}"/>
    <cellStyle name="Normal 4 4 5 4 2 3" xfId="12383" xr:uid="{B4CFADC8-F41A-477D-BC41-8385B0E11FC9}"/>
    <cellStyle name="Normal 4 4 5 4 3" xfId="6006" xr:uid="{00000000-0005-0000-0000-0000E8150000}"/>
    <cellStyle name="Normal 4 4 5 4 3 2" xfId="14456" xr:uid="{CDABF276-A8B7-47E8-9651-9244EE14F174}"/>
    <cellStyle name="Normal 4 4 5 4 4" xfId="10238" xr:uid="{E33BD94A-EEB9-4A28-888F-2818340E7495}"/>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49994B4C-E49C-4B87-AFB9-DF675BA3EE1D}"/>
    <cellStyle name="Normal 4 4 5 5 2 3" xfId="12796" xr:uid="{9154CA73-A109-47F2-9F06-55F2EC746532}"/>
    <cellStyle name="Normal 4 4 5 5 3" xfId="6419" xr:uid="{00000000-0005-0000-0000-0000EC150000}"/>
    <cellStyle name="Normal 4 4 5 5 3 2" xfId="14869" xr:uid="{139D587E-AAD1-48E8-B904-58F6BC2BDC0E}"/>
    <cellStyle name="Normal 4 4 5 5 4" xfId="10651" xr:uid="{491215C7-8B2D-4583-A9FD-086197AC1B5F}"/>
    <cellStyle name="Normal 4 4 5 6" xfId="2549" xr:uid="{00000000-0005-0000-0000-0000ED150000}"/>
    <cellStyle name="Normal 4 4 5 6 2" xfId="6832" xr:uid="{00000000-0005-0000-0000-0000EE150000}"/>
    <cellStyle name="Normal 4 4 5 6 2 2" xfId="15282" xr:uid="{07F0890B-1FB0-4FB3-912B-E2D93B11E97F}"/>
    <cellStyle name="Normal 4 4 5 6 3" xfId="11064" xr:uid="{86BBD81D-0648-406D-9D0D-E2DCB3E0FA40}"/>
    <cellStyle name="Normal 4 4 5 7" xfId="4767" xr:uid="{00000000-0005-0000-0000-0000EF150000}"/>
    <cellStyle name="Normal 4 4 5 7 2" xfId="13217" xr:uid="{36810994-235A-4872-8A0D-16968595120A}"/>
    <cellStyle name="Normal 4 4 5 8" xfId="8999" xr:uid="{75B877C2-2B91-4107-8BF6-48948BA2E932}"/>
    <cellStyle name="Normal 4 4 6" xfId="853" xr:uid="{00000000-0005-0000-0000-0000F0150000}"/>
    <cellStyle name="Normal 4 4 6 2" xfId="3088" xr:uid="{00000000-0005-0000-0000-0000F1150000}"/>
    <cellStyle name="Normal 4 4 6 2 2" xfId="7310" xr:uid="{00000000-0005-0000-0000-0000F2150000}"/>
    <cellStyle name="Normal 4 4 6 2 2 2" xfId="15760" xr:uid="{DF52A304-9F91-49AD-82C8-B95BECE727F2}"/>
    <cellStyle name="Normal 4 4 6 2 3" xfId="11542" xr:uid="{E91626DC-E5A8-4687-B802-92F247B5442F}"/>
    <cellStyle name="Normal 4 4 6 3" xfId="5165" xr:uid="{00000000-0005-0000-0000-0000F3150000}"/>
    <cellStyle name="Normal 4 4 6 3 2" xfId="13615" xr:uid="{3D7DEC3A-9058-4359-A57E-D2B53F6FF3AB}"/>
    <cellStyle name="Normal 4 4 6 4" xfId="9397" xr:uid="{52E1E91A-D3A8-4715-9D02-05B75BF1917A}"/>
    <cellStyle name="Normal 4 4 7" xfId="1271" xr:uid="{00000000-0005-0000-0000-0000F4150000}"/>
    <cellStyle name="Normal 4 4 7 2" xfId="3501" xr:uid="{00000000-0005-0000-0000-0000F5150000}"/>
    <cellStyle name="Normal 4 4 7 2 2" xfId="7723" xr:uid="{00000000-0005-0000-0000-0000F6150000}"/>
    <cellStyle name="Normal 4 4 7 2 2 2" xfId="16173" xr:uid="{666AD5F1-8AD1-450F-93E1-8B59D5C62A77}"/>
    <cellStyle name="Normal 4 4 7 2 3" xfId="11955" xr:uid="{3022DEF9-F770-48B8-A5D0-6D0FFF19A662}"/>
    <cellStyle name="Normal 4 4 7 3" xfId="5578" xr:uid="{00000000-0005-0000-0000-0000F7150000}"/>
    <cellStyle name="Normal 4 4 7 3 2" xfId="14028" xr:uid="{FAA9C6D3-4A35-4B57-8742-88406BB37870}"/>
    <cellStyle name="Normal 4 4 7 4" xfId="9810" xr:uid="{707EF6F4-EE92-43CB-8A8A-9651E1DA8D13}"/>
    <cellStyle name="Normal 4 4 8" xfId="1684" xr:uid="{00000000-0005-0000-0000-0000F8150000}"/>
    <cellStyle name="Normal 4 4 8 2" xfId="3914" xr:uid="{00000000-0005-0000-0000-0000F9150000}"/>
    <cellStyle name="Normal 4 4 8 2 2" xfId="8136" xr:uid="{00000000-0005-0000-0000-0000FA150000}"/>
    <cellStyle name="Normal 4 4 8 2 2 2" xfId="16586" xr:uid="{E97EAC1D-FD91-4183-ACAE-BDC630617097}"/>
    <cellStyle name="Normal 4 4 8 2 3" xfId="12368" xr:uid="{CD3A3221-9CD3-48B2-8845-5040912319E2}"/>
    <cellStyle name="Normal 4 4 8 3" xfId="5991" xr:uid="{00000000-0005-0000-0000-0000FB150000}"/>
    <cellStyle name="Normal 4 4 8 3 2" xfId="14441" xr:uid="{1D726D1D-0DD2-4CA1-B2A7-35077C0D1A6A}"/>
    <cellStyle name="Normal 4 4 8 4" xfId="10223" xr:uid="{E6D082A9-E793-4BDE-ACF1-43E9D9A6EB33}"/>
    <cellStyle name="Normal 4 4 9" xfId="2098" xr:uid="{00000000-0005-0000-0000-0000FC150000}"/>
    <cellStyle name="Normal 4 4 9 2" xfId="4327" xr:uid="{00000000-0005-0000-0000-0000FD150000}"/>
    <cellStyle name="Normal 4 4 9 2 2" xfId="8549" xr:uid="{00000000-0005-0000-0000-0000FE150000}"/>
    <cellStyle name="Normal 4 4 9 2 2 2" xfId="16999" xr:uid="{69BF0118-A1A1-4110-BE71-945DD213A7BB}"/>
    <cellStyle name="Normal 4 4 9 2 3" xfId="12781" xr:uid="{547AF63D-84F4-4389-BE43-49D432A02A8D}"/>
    <cellStyle name="Normal 4 4 9 3" xfId="6404" xr:uid="{00000000-0005-0000-0000-0000FF150000}"/>
    <cellStyle name="Normal 4 4 9 3 2" xfId="14854" xr:uid="{1C963ECD-0F35-4945-8146-12AC3E2D804D}"/>
    <cellStyle name="Normal 4 4 9 4" xfId="10636" xr:uid="{967E9930-F050-40A7-A740-D667CDE8295F}"/>
    <cellStyle name="Normal 4 5" xfId="394" xr:uid="{00000000-0005-0000-0000-000000160000}"/>
    <cellStyle name="Normal 4 6" xfId="395" xr:uid="{00000000-0005-0000-0000-000001160000}"/>
    <cellStyle name="Normal 4 6 10" xfId="4768" xr:uid="{00000000-0005-0000-0000-000002160000}"/>
    <cellStyle name="Normal 4 6 10 2" xfId="13218" xr:uid="{489AEA61-7FBB-440F-BE0A-7B2F4DBCBA6D}"/>
    <cellStyle name="Normal 4 6 11" xfId="9000" xr:uid="{4603091E-AB43-43CF-AC2D-99F4EA11F81F}"/>
    <cellStyle name="Normal 4 6 2" xfId="396" xr:uid="{00000000-0005-0000-0000-000003160000}"/>
    <cellStyle name="Normal 4 6 2 10" xfId="9001" xr:uid="{4DE17E94-11F5-4B99-B2B2-72070D60FA1D}"/>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998BE0B3-A0BE-4D4D-AB39-58CC023BF02F}"/>
    <cellStyle name="Normal 4 6 2 2 2 2 2 3" xfId="11561" xr:uid="{56C79646-0DF6-49AA-AAB3-92CB95EC8900}"/>
    <cellStyle name="Normal 4 6 2 2 2 2 3" xfId="5184" xr:uid="{00000000-0005-0000-0000-000009160000}"/>
    <cellStyle name="Normal 4 6 2 2 2 2 3 2" xfId="13634" xr:uid="{4668915C-C60F-4175-9468-C39E15311EFD}"/>
    <cellStyle name="Normal 4 6 2 2 2 2 4" xfId="9416" xr:uid="{2616A41D-3964-48C4-9B3E-A3B012FD164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06FED955-A571-4BF5-835F-2B66EE926194}"/>
    <cellStyle name="Normal 4 6 2 2 2 3 2 3" xfId="11974" xr:uid="{AF1F8109-7282-4217-8AE5-D44DFC6618C8}"/>
    <cellStyle name="Normal 4 6 2 2 2 3 3" xfId="5597" xr:uid="{00000000-0005-0000-0000-00000D160000}"/>
    <cellStyle name="Normal 4 6 2 2 2 3 3 2" xfId="14047" xr:uid="{EACB882A-3623-4008-BA0F-2C0129843DE8}"/>
    <cellStyle name="Normal 4 6 2 2 2 3 4" xfId="9829" xr:uid="{CDEC83DC-88EB-45DA-AC03-0C164E1C4DE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CD7BEC29-A8F5-4278-B103-5A6DF84BE984}"/>
    <cellStyle name="Normal 4 6 2 2 2 4 2 3" xfId="12387" xr:uid="{851089B4-8B19-463D-8BE5-2F052D331285}"/>
    <cellStyle name="Normal 4 6 2 2 2 4 3" xfId="6010" xr:uid="{00000000-0005-0000-0000-000011160000}"/>
    <cellStyle name="Normal 4 6 2 2 2 4 3 2" xfId="14460" xr:uid="{E6E6D9B9-CB4A-429B-8B76-8DB1C3D49F34}"/>
    <cellStyle name="Normal 4 6 2 2 2 4 4" xfId="10242" xr:uid="{A4F5F122-3B13-429E-823D-5056918CD8F6}"/>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529E503F-83C8-4EF6-A0AE-BF1331314043}"/>
    <cellStyle name="Normal 4 6 2 2 2 5 2 3" xfId="12800" xr:uid="{8C062AFB-4F5B-4046-8E1C-94C191AC805A}"/>
    <cellStyle name="Normal 4 6 2 2 2 5 3" xfId="6423" xr:uid="{00000000-0005-0000-0000-000015160000}"/>
    <cellStyle name="Normal 4 6 2 2 2 5 3 2" xfId="14873" xr:uid="{8C6BA7BC-ED0B-4872-A0DF-8C1EC6BA0DC1}"/>
    <cellStyle name="Normal 4 6 2 2 2 5 4" xfId="10655" xr:uid="{F2C07F0D-5C4C-4FC8-8AE9-29A53F90B28E}"/>
    <cellStyle name="Normal 4 6 2 2 2 6" xfId="2553" xr:uid="{00000000-0005-0000-0000-000016160000}"/>
    <cellStyle name="Normal 4 6 2 2 2 6 2" xfId="6836" xr:uid="{00000000-0005-0000-0000-000017160000}"/>
    <cellStyle name="Normal 4 6 2 2 2 6 2 2" xfId="15286" xr:uid="{90F99605-9E3A-4D9A-BA25-228A5F72EBEF}"/>
    <cellStyle name="Normal 4 6 2 2 2 6 3" xfId="11068" xr:uid="{A5B3923B-1C05-4176-8132-ED373A54A906}"/>
    <cellStyle name="Normal 4 6 2 2 2 7" xfId="4771" xr:uid="{00000000-0005-0000-0000-000018160000}"/>
    <cellStyle name="Normal 4 6 2 2 2 7 2" xfId="13221" xr:uid="{CE33106C-469F-4C05-946E-EB28B6123F27}"/>
    <cellStyle name="Normal 4 6 2 2 2 8" xfId="9003" xr:uid="{2BB6F059-7781-4628-BF8E-FAB42B34E1E2}"/>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DA73B05A-F11C-4387-BBE6-F386E5D6B430}"/>
    <cellStyle name="Normal 4 6 2 2 3 2 3" xfId="11560" xr:uid="{B677F453-5AA8-48CD-BB3F-A25B371E10B9}"/>
    <cellStyle name="Normal 4 6 2 2 3 3" xfId="5183" xr:uid="{00000000-0005-0000-0000-00001C160000}"/>
    <cellStyle name="Normal 4 6 2 2 3 3 2" xfId="13633" xr:uid="{238F22CB-28CD-4DAB-A647-99975F9BB84B}"/>
    <cellStyle name="Normal 4 6 2 2 3 4" xfId="9415" xr:uid="{D6C6BF8F-BA3D-43AA-810A-7D5D7C360001}"/>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801BD78C-DD00-4F7C-AEBE-CBE391555012}"/>
    <cellStyle name="Normal 4 6 2 2 4 2 3" xfId="11973" xr:uid="{3659EF1D-E018-493A-ADFB-11CA53BA5886}"/>
    <cellStyle name="Normal 4 6 2 2 4 3" xfId="5596" xr:uid="{00000000-0005-0000-0000-000020160000}"/>
    <cellStyle name="Normal 4 6 2 2 4 3 2" xfId="14046" xr:uid="{2535BCD3-83EA-4A06-BF10-6600DBAE11DD}"/>
    <cellStyle name="Normal 4 6 2 2 4 4" xfId="9828" xr:uid="{805B1B55-8E8A-4BA5-91BE-4DE4DB24A617}"/>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CFAF2985-3D98-4AC8-BA28-26835B12907B}"/>
    <cellStyle name="Normal 4 6 2 2 5 2 3" xfId="12386" xr:uid="{77A0E133-CADE-44F6-95E4-CB19215E4F74}"/>
    <cellStyle name="Normal 4 6 2 2 5 3" xfId="6009" xr:uid="{00000000-0005-0000-0000-000024160000}"/>
    <cellStyle name="Normal 4 6 2 2 5 3 2" xfId="14459" xr:uid="{1CC76368-3F40-4B17-86A1-65AFEC71D8FB}"/>
    <cellStyle name="Normal 4 6 2 2 5 4" xfId="10241" xr:uid="{B484BECE-3AA6-4BAA-8587-6C9CD7B060CE}"/>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A9094DB3-4DAB-4143-8040-1E974262F67A}"/>
    <cellStyle name="Normal 4 6 2 2 6 2 3" xfId="12799" xr:uid="{36CED0B1-20D9-4030-937A-1420FF4F6E45}"/>
    <cellStyle name="Normal 4 6 2 2 6 3" xfId="6422" xr:uid="{00000000-0005-0000-0000-000028160000}"/>
    <cellStyle name="Normal 4 6 2 2 6 3 2" xfId="14872" xr:uid="{D6C57D95-4163-4245-8736-11794E945720}"/>
    <cellStyle name="Normal 4 6 2 2 6 4" xfId="10654" xr:uid="{E25A25E7-1F78-4BEB-98A7-53E0CE092D53}"/>
    <cellStyle name="Normal 4 6 2 2 7" xfId="2552" xr:uid="{00000000-0005-0000-0000-000029160000}"/>
    <cellStyle name="Normal 4 6 2 2 7 2" xfId="6835" xr:uid="{00000000-0005-0000-0000-00002A160000}"/>
    <cellStyle name="Normal 4 6 2 2 7 2 2" xfId="15285" xr:uid="{2056D4A7-F419-4999-9F87-9003FC15A27E}"/>
    <cellStyle name="Normal 4 6 2 2 7 3" xfId="11067" xr:uid="{F96CE89A-BED5-4946-A533-4FF8E9D12900}"/>
    <cellStyle name="Normal 4 6 2 2 8" xfId="4770" xr:uid="{00000000-0005-0000-0000-00002B160000}"/>
    <cellStyle name="Normal 4 6 2 2 8 2" xfId="13220" xr:uid="{A4BB69E3-D788-404D-BA79-0BCD21D808F6}"/>
    <cellStyle name="Normal 4 6 2 2 9" xfId="9002" xr:uid="{74205BE5-E6CD-4BD8-AB87-0D9221ECDE9B}"/>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336D8575-DF31-483B-A5B4-B7226B6FD64A}"/>
    <cellStyle name="Normal 4 6 2 3 2 2 3" xfId="11562" xr:uid="{A74A1CB0-81A9-42F0-90AD-8E43635DB617}"/>
    <cellStyle name="Normal 4 6 2 3 2 3" xfId="5185" xr:uid="{00000000-0005-0000-0000-000030160000}"/>
    <cellStyle name="Normal 4 6 2 3 2 3 2" xfId="13635" xr:uid="{DFAD3BAB-354D-4232-8257-0B506556FDB9}"/>
    <cellStyle name="Normal 4 6 2 3 2 4" xfId="9417" xr:uid="{24FCD6F2-CA86-44EB-BFB0-6D6CA7339A0F}"/>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7A8B3B56-C8F3-4ED2-ADB1-456A157A5CCE}"/>
    <cellStyle name="Normal 4 6 2 3 3 2 3" xfId="11975" xr:uid="{FB70CA78-69EF-47C6-8508-0054AFE8E70B}"/>
    <cellStyle name="Normal 4 6 2 3 3 3" xfId="5598" xr:uid="{00000000-0005-0000-0000-000034160000}"/>
    <cellStyle name="Normal 4 6 2 3 3 3 2" xfId="14048" xr:uid="{ABC35C8E-21B8-4F8C-91F0-920E1F997E95}"/>
    <cellStyle name="Normal 4 6 2 3 3 4" xfId="9830" xr:uid="{C75D7D50-DBFE-4F3A-B89B-6FCEFB2C5444}"/>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DDC503A5-AEE5-40C9-B302-4CFC99BD41CF}"/>
    <cellStyle name="Normal 4 6 2 3 4 2 3" xfId="12388" xr:uid="{D85D3E45-508B-4B97-B7EB-4438F8617B72}"/>
    <cellStyle name="Normal 4 6 2 3 4 3" xfId="6011" xr:uid="{00000000-0005-0000-0000-000038160000}"/>
    <cellStyle name="Normal 4 6 2 3 4 3 2" xfId="14461" xr:uid="{72D32A82-583D-485C-A58F-24A2AF459E4B}"/>
    <cellStyle name="Normal 4 6 2 3 4 4" xfId="10243" xr:uid="{80B09079-C8E7-4D94-9B2D-4F123DC3AE1D}"/>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21B19899-AD0F-436E-BA4A-49B4DD67AA99}"/>
    <cellStyle name="Normal 4 6 2 3 5 2 3" xfId="12801" xr:uid="{18FC09B5-B86F-497C-85EA-CCAC5DD7445D}"/>
    <cellStyle name="Normal 4 6 2 3 5 3" xfId="6424" xr:uid="{00000000-0005-0000-0000-00003C160000}"/>
    <cellStyle name="Normal 4 6 2 3 5 3 2" xfId="14874" xr:uid="{C49EF926-8E9D-4A2C-9FF0-CCE9FAF7644F}"/>
    <cellStyle name="Normal 4 6 2 3 5 4" xfId="10656" xr:uid="{783D5FAE-9F67-422F-BED7-522FF17B4A78}"/>
    <cellStyle name="Normal 4 6 2 3 6" xfId="2554" xr:uid="{00000000-0005-0000-0000-00003D160000}"/>
    <cellStyle name="Normal 4 6 2 3 6 2" xfId="6837" xr:uid="{00000000-0005-0000-0000-00003E160000}"/>
    <cellStyle name="Normal 4 6 2 3 6 2 2" xfId="15287" xr:uid="{DA6E5023-14BD-40FA-83B7-0991DF2AD42D}"/>
    <cellStyle name="Normal 4 6 2 3 6 3" xfId="11069" xr:uid="{8228440D-6913-4DFF-8F75-579B29210E72}"/>
    <cellStyle name="Normal 4 6 2 3 7" xfId="4772" xr:uid="{00000000-0005-0000-0000-00003F160000}"/>
    <cellStyle name="Normal 4 6 2 3 7 2" xfId="13222" xr:uid="{2C25029C-56FB-4AE4-B969-52CA6A4C7634}"/>
    <cellStyle name="Normal 4 6 2 3 8" xfId="9004" xr:uid="{BDCC52FB-0377-496C-BEF2-D0ADD87F8233}"/>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C1B5334E-EC06-4D5B-9C79-F75E66ACDA52}"/>
    <cellStyle name="Normal 4 6 2 4 2 3" xfId="11559" xr:uid="{3226D3F6-B0FD-4264-8F19-8F9C8427F898}"/>
    <cellStyle name="Normal 4 6 2 4 3" xfId="5182" xr:uid="{00000000-0005-0000-0000-000043160000}"/>
    <cellStyle name="Normal 4 6 2 4 3 2" xfId="13632" xr:uid="{B5482872-A430-49C1-B633-DF715FBB4A03}"/>
    <cellStyle name="Normal 4 6 2 4 4" xfId="9414" xr:uid="{802D07FC-BF38-4CC7-AAD1-E45EA4134BCF}"/>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85D93CAB-C107-4361-84B2-A47325E37CE0}"/>
    <cellStyle name="Normal 4 6 2 5 2 3" xfId="11972" xr:uid="{A587B0CC-40E5-4578-BD01-A231B7BBC0A9}"/>
    <cellStyle name="Normal 4 6 2 5 3" xfId="5595" xr:uid="{00000000-0005-0000-0000-000047160000}"/>
    <cellStyle name="Normal 4 6 2 5 3 2" xfId="14045" xr:uid="{5A44CE1A-93DC-4C02-B36C-0C46208288C4}"/>
    <cellStyle name="Normal 4 6 2 5 4" xfId="9827" xr:uid="{4F422CC5-B3EB-4A69-AE36-00D4076123DC}"/>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2160B5F2-D163-4C65-B91C-AF9B55506CB6}"/>
    <cellStyle name="Normal 4 6 2 6 2 3" xfId="12385" xr:uid="{30134A21-E8E2-48FD-A630-FD8FA63F70B7}"/>
    <cellStyle name="Normal 4 6 2 6 3" xfId="6008" xr:uid="{00000000-0005-0000-0000-00004B160000}"/>
    <cellStyle name="Normal 4 6 2 6 3 2" xfId="14458" xr:uid="{9B9CA398-55DF-4B37-8DB7-9BA5DB01C3EB}"/>
    <cellStyle name="Normal 4 6 2 6 4" xfId="10240" xr:uid="{FB124183-2C15-4F58-9277-9F9A3EB9FC9D}"/>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856F4D90-A08A-4F20-BE29-C833E322FF7D}"/>
    <cellStyle name="Normal 4 6 2 7 2 3" xfId="12798" xr:uid="{7DDB0D9A-B460-4A96-860E-748073C5A01C}"/>
    <cellStyle name="Normal 4 6 2 7 3" xfId="6421" xr:uid="{00000000-0005-0000-0000-00004F160000}"/>
    <cellStyle name="Normal 4 6 2 7 3 2" xfId="14871" xr:uid="{61A03B1D-C5C5-4748-A94C-17A179F76C13}"/>
    <cellStyle name="Normal 4 6 2 7 4" xfId="10653" xr:uid="{706E797D-02ED-4367-AAEA-859CDE9C2DD5}"/>
    <cellStyle name="Normal 4 6 2 8" xfId="2551" xr:uid="{00000000-0005-0000-0000-000050160000}"/>
    <cellStyle name="Normal 4 6 2 8 2" xfId="6834" xr:uid="{00000000-0005-0000-0000-000051160000}"/>
    <cellStyle name="Normal 4 6 2 8 2 2" xfId="15284" xr:uid="{D7E5583C-5BB5-46AD-AA02-93E418F8464D}"/>
    <cellStyle name="Normal 4 6 2 8 3" xfId="11066" xr:uid="{A7E8621F-D421-4022-9013-D45B09C9DA7D}"/>
    <cellStyle name="Normal 4 6 2 9" xfId="4769" xr:uid="{00000000-0005-0000-0000-000052160000}"/>
    <cellStyle name="Normal 4 6 2 9 2" xfId="13219" xr:uid="{FDF37A65-F2A6-4DDA-8094-D6C22CCF3D72}"/>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60D6DAD6-7EAF-47F9-814A-EF4C91F7FD52}"/>
    <cellStyle name="Normal 4 6 3 2 2 2 3" xfId="11564" xr:uid="{36DB2AC5-58DE-4D33-AD1F-4E12BEDB6C2C}"/>
    <cellStyle name="Normal 4 6 3 2 2 3" xfId="5187" xr:uid="{00000000-0005-0000-0000-000058160000}"/>
    <cellStyle name="Normal 4 6 3 2 2 3 2" xfId="13637" xr:uid="{494655A6-47C0-47F4-B2D2-AFE519D43F62}"/>
    <cellStyle name="Normal 4 6 3 2 2 4" xfId="9419" xr:uid="{5AF11B4C-B992-4C44-84FF-859A4C0EE4E6}"/>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F0AE93F9-3210-402B-9A1C-BFF3E572A463}"/>
    <cellStyle name="Normal 4 6 3 2 3 2 3" xfId="11977" xr:uid="{6E4320A8-8908-4983-BF79-F1BC9A045D0A}"/>
    <cellStyle name="Normal 4 6 3 2 3 3" xfId="5600" xr:uid="{00000000-0005-0000-0000-00005C160000}"/>
    <cellStyle name="Normal 4 6 3 2 3 3 2" xfId="14050" xr:uid="{85654312-A8AB-4C68-ACC8-B491B020B197}"/>
    <cellStyle name="Normal 4 6 3 2 3 4" xfId="9832" xr:uid="{FFCBC423-557E-4EEC-9038-D6AB5FAD53F0}"/>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572F4A24-7D4B-416F-9BD4-13DA5AF3E568}"/>
    <cellStyle name="Normal 4 6 3 2 4 2 3" xfId="12390" xr:uid="{C1E05146-F738-47D4-B700-A8440C2380DD}"/>
    <cellStyle name="Normal 4 6 3 2 4 3" xfId="6013" xr:uid="{00000000-0005-0000-0000-000060160000}"/>
    <cellStyle name="Normal 4 6 3 2 4 3 2" xfId="14463" xr:uid="{F41BD936-0E54-4987-B89C-4CD14B5077ED}"/>
    <cellStyle name="Normal 4 6 3 2 4 4" xfId="10245" xr:uid="{313AE186-38BB-415F-8DCA-E635FCB515AB}"/>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8BB1FF0F-DDA9-43DE-88CD-5E37C4E367E6}"/>
    <cellStyle name="Normal 4 6 3 2 5 2 3" xfId="12803" xr:uid="{F927EDD0-8168-4C41-B6D0-D6A321AB92E0}"/>
    <cellStyle name="Normal 4 6 3 2 5 3" xfId="6426" xr:uid="{00000000-0005-0000-0000-000064160000}"/>
    <cellStyle name="Normal 4 6 3 2 5 3 2" xfId="14876" xr:uid="{79926A84-5DFF-4944-B859-5CEB4C85AFA1}"/>
    <cellStyle name="Normal 4 6 3 2 5 4" xfId="10658" xr:uid="{9B0109EB-DEFF-485A-B2F4-8CDE3E54BD5F}"/>
    <cellStyle name="Normal 4 6 3 2 6" xfId="2556" xr:uid="{00000000-0005-0000-0000-000065160000}"/>
    <cellStyle name="Normal 4 6 3 2 6 2" xfId="6839" xr:uid="{00000000-0005-0000-0000-000066160000}"/>
    <cellStyle name="Normal 4 6 3 2 6 2 2" xfId="15289" xr:uid="{253F5680-5354-4952-A426-1F2227C0DBAB}"/>
    <cellStyle name="Normal 4 6 3 2 6 3" xfId="11071" xr:uid="{EB3235DD-A46D-402C-A5AA-8DACC769C4F4}"/>
    <cellStyle name="Normal 4 6 3 2 7" xfId="4774" xr:uid="{00000000-0005-0000-0000-000067160000}"/>
    <cellStyle name="Normal 4 6 3 2 7 2" xfId="13224" xr:uid="{2733BCDB-AC38-455D-9AAE-3AE9B02C1E4B}"/>
    <cellStyle name="Normal 4 6 3 2 8" xfId="9006" xr:uid="{F443C196-5C90-4EE0-8514-3AFC1E3D883B}"/>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E7871C2C-58A6-4FB7-B4A3-1AFF39A63536}"/>
    <cellStyle name="Normal 4 6 3 3 2 3" xfId="11563" xr:uid="{4102C29E-17A0-4D45-928D-724FCC5CFF16}"/>
    <cellStyle name="Normal 4 6 3 3 3" xfId="5186" xr:uid="{00000000-0005-0000-0000-00006B160000}"/>
    <cellStyle name="Normal 4 6 3 3 3 2" xfId="13636" xr:uid="{71310E07-7A90-4987-8F64-7C66DCA41542}"/>
    <cellStyle name="Normal 4 6 3 3 4" xfId="9418" xr:uid="{1A7C9257-B926-4078-BDE5-29CD6BE8A5E6}"/>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1DA54309-C015-448F-92F6-391B788AB2AF}"/>
    <cellStyle name="Normal 4 6 3 4 2 3" xfId="11976" xr:uid="{A02E802F-5FCA-485E-99C4-B8F86CEBC2EB}"/>
    <cellStyle name="Normal 4 6 3 4 3" xfId="5599" xr:uid="{00000000-0005-0000-0000-00006F160000}"/>
    <cellStyle name="Normal 4 6 3 4 3 2" xfId="14049" xr:uid="{6DCB2598-14D5-4C3A-B945-5B1B299F2ED5}"/>
    <cellStyle name="Normal 4 6 3 4 4" xfId="9831" xr:uid="{84B52CB5-3FEA-4A6F-8673-B246F3F07697}"/>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38270422-52FE-40FB-8A00-D0443D9B6865}"/>
    <cellStyle name="Normal 4 6 3 5 2 3" xfId="12389" xr:uid="{0AB277D8-2E8A-4B05-AACD-B0CA67F70987}"/>
    <cellStyle name="Normal 4 6 3 5 3" xfId="6012" xr:uid="{00000000-0005-0000-0000-000073160000}"/>
    <cellStyle name="Normal 4 6 3 5 3 2" xfId="14462" xr:uid="{2DC63536-10E8-4B80-9C55-6F4FC717ABE8}"/>
    <cellStyle name="Normal 4 6 3 5 4" xfId="10244" xr:uid="{4689C942-6C2C-456C-8DCF-24AED9EAF642}"/>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1E4604A2-898D-4165-8138-C5CBECC892E0}"/>
    <cellStyle name="Normal 4 6 3 6 2 3" xfId="12802" xr:uid="{70D6FE0E-160F-4F57-AFDE-24DB8E82D7B0}"/>
    <cellStyle name="Normal 4 6 3 6 3" xfId="6425" xr:uid="{00000000-0005-0000-0000-000077160000}"/>
    <cellStyle name="Normal 4 6 3 6 3 2" xfId="14875" xr:uid="{5B509C6C-B3AC-4389-B445-5C185E5AD668}"/>
    <cellStyle name="Normal 4 6 3 6 4" xfId="10657" xr:uid="{B3921E7D-18A1-4CF0-A88F-F3919A164842}"/>
    <cellStyle name="Normal 4 6 3 7" xfId="2555" xr:uid="{00000000-0005-0000-0000-000078160000}"/>
    <cellStyle name="Normal 4 6 3 7 2" xfId="6838" xr:uid="{00000000-0005-0000-0000-000079160000}"/>
    <cellStyle name="Normal 4 6 3 7 2 2" xfId="15288" xr:uid="{138BFE9F-8A55-4EEA-BC67-BA967DB6B2A5}"/>
    <cellStyle name="Normal 4 6 3 7 3" xfId="11070" xr:uid="{506C243B-B6CE-4650-8B72-4D4450CE56E9}"/>
    <cellStyle name="Normal 4 6 3 8" xfId="4773" xr:uid="{00000000-0005-0000-0000-00007A160000}"/>
    <cellStyle name="Normal 4 6 3 8 2" xfId="13223" xr:uid="{BBB8F851-2109-45CC-9CBE-251C12FC5B51}"/>
    <cellStyle name="Normal 4 6 3 9" xfId="9005" xr:uid="{57E6CCCA-96A9-497B-8F12-8903E65F8D98}"/>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29AA0785-B46E-4C3C-B535-595E4B731343}"/>
    <cellStyle name="Normal 4 6 4 2 2 3" xfId="11565" xr:uid="{EDAA53DC-20A3-457A-AEB9-205030768EA2}"/>
    <cellStyle name="Normal 4 6 4 2 3" xfId="5188" xr:uid="{00000000-0005-0000-0000-00007F160000}"/>
    <cellStyle name="Normal 4 6 4 2 3 2" xfId="13638" xr:uid="{0A0F7F4D-0829-4552-883E-B01D574E6D94}"/>
    <cellStyle name="Normal 4 6 4 2 4" xfId="9420" xr:uid="{DEA9FA5E-E918-4114-A5C5-3823FC872BF7}"/>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DCEA978D-B8CF-4A28-AAAE-764B80AC8204}"/>
    <cellStyle name="Normal 4 6 4 3 2 3" xfId="11978" xr:uid="{BAC1DAA9-24A3-480A-928D-E67EBD6D3786}"/>
    <cellStyle name="Normal 4 6 4 3 3" xfId="5601" xr:uid="{00000000-0005-0000-0000-000083160000}"/>
    <cellStyle name="Normal 4 6 4 3 3 2" xfId="14051" xr:uid="{26477A7D-709F-4FED-9969-3B620DC9A36F}"/>
    <cellStyle name="Normal 4 6 4 3 4" xfId="9833" xr:uid="{01AE9C4E-5136-4D4F-838C-228A743C9D01}"/>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0BAB5648-1750-4592-BBFE-E9AADF5B7E9F}"/>
    <cellStyle name="Normal 4 6 4 4 2 3" xfId="12391" xr:uid="{979EFAB7-6C5F-4E61-B664-F8C53C451650}"/>
    <cellStyle name="Normal 4 6 4 4 3" xfId="6014" xr:uid="{00000000-0005-0000-0000-000087160000}"/>
    <cellStyle name="Normal 4 6 4 4 3 2" xfId="14464" xr:uid="{5FD2A4C1-6527-4D85-A234-B7D2C4F40FDE}"/>
    <cellStyle name="Normal 4 6 4 4 4" xfId="10246" xr:uid="{57C3C8BA-6843-4B73-93A8-D3BE1B7E1796}"/>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39DE07F4-E49B-46D6-987B-0CEBF9BB59CE}"/>
    <cellStyle name="Normal 4 6 4 5 2 3" xfId="12804" xr:uid="{BD8C74DB-EDEC-4F3B-B445-8248EBBB406B}"/>
    <cellStyle name="Normal 4 6 4 5 3" xfId="6427" xr:uid="{00000000-0005-0000-0000-00008B160000}"/>
    <cellStyle name="Normal 4 6 4 5 3 2" xfId="14877" xr:uid="{0A8FDF34-E1AC-4426-ACAE-ED1761F95552}"/>
    <cellStyle name="Normal 4 6 4 5 4" xfId="10659" xr:uid="{4FE0EC2D-322F-47FB-8098-010824B849AA}"/>
    <cellStyle name="Normal 4 6 4 6" xfId="2557" xr:uid="{00000000-0005-0000-0000-00008C160000}"/>
    <cellStyle name="Normal 4 6 4 6 2" xfId="6840" xr:uid="{00000000-0005-0000-0000-00008D160000}"/>
    <cellStyle name="Normal 4 6 4 6 2 2" xfId="15290" xr:uid="{656ADD14-69A1-4E2D-B6FE-E8277E5CD7C0}"/>
    <cellStyle name="Normal 4 6 4 6 3" xfId="11072" xr:uid="{1D864440-7152-4D94-9262-1641604D418C}"/>
    <cellStyle name="Normal 4 6 4 7" xfId="4775" xr:uid="{00000000-0005-0000-0000-00008E160000}"/>
    <cellStyle name="Normal 4 6 4 7 2" xfId="13225" xr:uid="{DAC3E2C1-F3F7-4E98-8C7A-A52E8BF455E1}"/>
    <cellStyle name="Normal 4 6 4 8" xfId="9007" xr:uid="{954D325F-407E-4A2C-ACAC-AF878CDF3844}"/>
    <cellStyle name="Normal 4 6 5" xfId="869" xr:uid="{00000000-0005-0000-0000-00008F160000}"/>
    <cellStyle name="Normal 4 6 5 2" xfId="3104" xr:uid="{00000000-0005-0000-0000-000090160000}"/>
    <cellStyle name="Normal 4 6 5 2 2" xfId="7326" xr:uid="{00000000-0005-0000-0000-000091160000}"/>
    <cellStyle name="Normal 4 6 5 2 2 2" xfId="15776" xr:uid="{1BACF6C5-A28D-4498-8617-224CF4AD8052}"/>
    <cellStyle name="Normal 4 6 5 2 3" xfId="11558" xr:uid="{51773650-ECA9-4CF7-AFD8-16ECE6C249CD}"/>
    <cellStyle name="Normal 4 6 5 3" xfId="5181" xr:uid="{00000000-0005-0000-0000-000092160000}"/>
    <cellStyle name="Normal 4 6 5 3 2" xfId="13631" xr:uid="{02275A30-961A-4BFA-9D09-A0489F0C4D8D}"/>
    <cellStyle name="Normal 4 6 5 4" xfId="9413" xr:uid="{ADB81797-9C07-4944-9D34-D02345B24DB2}"/>
    <cellStyle name="Normal 4 6 6" xfId="1287" xr:uid="{00000000-0005-0000-0000-000093160000}"/>
    <cellStyle name="Normal 4 6 6 2" xfId="3517" xr:uid="{00000000-0005-0000-0000-000094160000}"/>
    <cellStyle name="Normal 4 6 6 2 2" xfId="7739" xr:uid="{00000000-0005-0000-0000-000095160000}"/>
    <cellStyle name="Normal 4 6 6 2 2 2" xfId="16189" xr:uid="{898353BF-D59F-4711-B5AD-E608C5D543D3}"/>
    <cellStyle name="Normal 4 6 6 2 3" xfId="11971" xr:uid="{71CF0519-021C-4C5F-9137-F54E94D3F013}"/>
    <cellStyle name="Normal 4 6 6 3" xfId="5594" xr:uid="{00000000-0005-0000-0000-000096160000}"/>
    <cellStyle name="Normal 4 6 6 3 2" xfId="14044" xr:uid="{D6873DA1-BAE7-43AF-80C7-BE55B10A5933}"/>
    <cellStyle name="Normal 4 6 6 4" xfId="9826" xr:uid="{72957D98-C047-4561-97F9-6131C331EAE0}"/>
    <cellStyle name="Normal 4 6 7" xfId="1700" xr:uid="{00000000-0005-0000-0000-000097160000}"/>
    <cellStyle name="Normal 4 6 7 2" xfId="3930" xr:uid="{00000000-0005-0000-0000-000098160000}"/>
    <cellStyle name="Normal 4 6 7 2 2" xfId="8152" xr:uid="{00000000-0005-0000-0000-000099160000}"/>
    <cellStyle name="Normal 4 6 7 2 2 2" xfId="16602" xr:uid="{8E256DBA-35BB-4983-9800-B3B6F6809246}"/>
    <cellStyle name="Normal 4 6 7 2 3" xfId="12384" xr:uid="{2EF6C54B-0154-4915-B923-F3E9977517C8}"/>
    <cellStyle name="Normal 4 6 7 3" xfId="6007" xr:uid="{00000000-0005-0000-0000-00009A160000}"/>
    <cellStyle name="Normal 4 6 7 3 2" xfId="14457" xr:uid="{C94E5E35-0DC7-4C95-AC98-CB4014BF18DF}"/>
    <cellStyle name="Normal 4 6 7 4" xfId="10239" xr:uid="{E4A61300-AFA9-4EB7-8634-B0EF3102C18E}"/>
    <cellStyle name="Normal 4 6 8" xfId="2114" xr:uid="{00000000-0005-0000-0000-00009B160000}"/>
    <cellStyle name="Normal 4 6 8 2" xfId="4343" xr:uid="{00000000-0005-0000-0000-00009C160000}"/>
    <cellStyle name="Normal 4 6 8 2 2" xfId="8565" xr:uid="{00000000-0005-0000-0000-00009D160000}"/>
    <cellStyle name="Normal 4 6 8 2 2 2" xfId="17015" xr:uid="{8BB68DA9-3ADB-4232-B0A6-377D8C706F2B}"/>
    <cellStyle name="Normal 4 6 8 2 3" xfId="12797" xr:uid="{4EBA1CD4-F664-4177-A8E1-F4D2009E938C}"/>
    <cellStyle name="Normal 4 6 8 3" xfId="6420" xr:uid="{00000000-0005-0000-0000-00009E160000}"/>
    <cellStyle name="Normal 4 6 8 3 2" xfId="14870" xr:uid="{ED330E34-A83E-43DF-9E2D-7A86719A3853}"/>
    <cellStyle name="Normal 4 6 8 4" xfId="10652" xr:uid="{146D2986-87AA-4915-B213-58A1F3820529}"/>
    <cellStyle name="Normal 4 6 9" xfId="2550" xr:uid="{00000000-0005-0000-0000-00009F160000}"/>
    <cellStyle name="Normal 4 6 9 2" xfId="6833" xr:uid="{00000000-0005-0000-0000-0000A0160000}"/>
    <cellStyle name="Normal 4 6 9 2 2" xfId="15283" xr:uid="{72AC023D-2292-45AB-A5E5-C143F5DA48D6}"/>
    <cellStyle name="Normal 4 6 9 3" xfId="11065" xr:uid="{8FD842C2-3D0C-48A7-8973-38AD1CA3B04D}"/>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77DC5C61-7AFA-4204-AEE3-D44B6D227D08}"/>
    <cellStyle name="Normal 4 7 2 2 2 3" xfId="11567" xr:uid="{232E8ED1-EF8F-44C3-B916-E47481817B2B}"/>
    <cellStyle name="Normal 4 7 2 2 3" xfId="5190" xr:uid="{00000000-0005-0000-0000-0000A6160000}"/>
    <cellStyle name="Normal 4 7 2 2 3 2" xfId="13640" xr:uid="{20C5DCD6-4599-41E3-B23C-9826C5111B1D}"/>
    <cellStyle name="Normal 4 7 2 2 4" xfId="9422" xr:uid="{B3267367-6B34-4E46-9176-958AC52772EF}"/>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8CC274A2-2E55-42BF-9173-C1AED4911D4F}"/>
    <cellStyle name="Normal 4 7 2 3 2 3" xfId="11980" xr:uid="{8C5EB6F8-6114-45CB-B553-999B0E9062DA}"/>
    <cellStyle name="Normal 4 7 2 3 3" xfId="5603" xr:uid="{00000000-0005-0000-0000-0000AA160000}"/>
    <cellStyle name="Normal 4 7 2 3 3 2" xfId="14053" xr:uid="{9723D5F8-A007-4DBA-BB73-9956418522A1}"/>
    <cellStyle name="Normal 4 7 2 3 4" xfId="9835" xr:uid="{BDD2EA37-5445-4B50-B9C2-9D00886736E9}"/>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95869ADD-E567-4677-A02E-F7322E20F7DC}"/>
    <cellStyle name="Normal 4 7 2 4 2 3" xfId="12393" xr:uid="{EEAF273D-440F-4E95-929A-304B91D75C44}"/>
    <cellStyle name="Normal 4 7 2 4 3" xfId="6016" xr:uid="{00000000-0005-0000-0000-0000AE160000}"/>
    <cellStyle name="Normal 4 7 2 4 3 2" xfId="14466" xr:uid="{775BE05A-C51D-4391-88E6-E4CE3DBCDA7F}"/>
    <cellStyle name="Normal 4 7 2 4 4" xfId="10248" xr:uid="{851FACD6-A2A6-424E-9C3E-D6D98C27AB28}"/>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F7D12C2E-A80A-43AC-9628-9BD0A254ECF8}"/>
    <cellStyle name="Normal 4 7 2 5 2 3" xfId="12806" xr:uid="{C78C0F07-54F0-456D-80B0-5F083557624C}"/>
    <cellStyle name="Normal 4 7 2 5 3" xfId="6429" xr:uid="{00000000-0005-0000-0000-0000B2160000}"/>
    <cellStyle name="Normal 4 7 2 5 3 2" xfId="14879" xr:uid="{7EABF273-3812-4D8E-9E25-F8A0CFBE695A}"/>
    <cellStyle name="Normal 4 7 2 5 4" xfId="10661" xr:uid="{5CBA0F52-5520-4D73-99A8-0DC5D4982CDF}"/>
    <cellStyle name="Normal 4 7 2 6" xfId="2559" xr:uid="{00000000-0005-0000-0000-0000B3160000}"/>
    <cellStyle name="Normal 4 7 2 6 2" xfId="6842" xr:uid="{00000000-0005-0000-0000-0000B4160000}"/>
    <cellStyle name="Normal 4 7 2 6 2 2" xfId="15292" xr:uid="{F772C2E8-F22D-4220-AB91-034A647E9B70}"/>
    <cellStyle name="Normal 4 7 2 6 3" xfId="11074" xr:uid="{060B031D-4908-4833-83C7-907928426FF9}"/>
    <cellStyle name="Normal 4 7 2 7" xfId="4777" xr:uid="{00000000-0005-0000-0000-0000B5160000}"/>
    <cellStyle name="Normal 4 7 2 7 2" xfId="13227" xr:uid="{A1D28B2E-1ED8-450A-82AA-04BE18D6FE99}"/>
    <cellStyle name="Normal 4 7 2 8" xfId="9009" xr:uid="{1632AC0B-5811-4F52-A87B-950DDD0003D2}"/>
    <cellStyle name="Normal 4 7 3" xfId="877" xr:uid="{00000000-0005-0000-0000-0000B6160000}"/>
    <cellStyle name="Normal 4 7 3 2" xfId="3112" xr:uid="{00000000-0005-0000-0000-0000B7160000}"/>
    <cellStyle name="Normal 4 7 3 2 2" xfId="7334" xr:uid="{00000000-0005-0000-0000-0000B8160000}"/>
    <cellStyle name="Normal 4 7 3 2 2 2" xfId="15784" xr:uid="{BA5E8C9B-B8C8-45C3-B8D9-F30253A02E19}"/>
    <cellStyle name="Normal 4 7 3 2 3" xfId="11566" xr:uid="{F236B58C-5261-4333-BB7F-A4F7CCF92CBF}"/>
    <cellStyle name="Normal 4 7 3 3" xfId="5189" xr:uid="{00000000-0005-0000-0000-0000B9160000}"/>
    <cellStyle name="Normal 4 7 3 3 2" xfId="13639" xr:uid="{127FC4EC-18CD-461A-903C-6AFD89A1B144}"/>
    <cellStyle name="Normal 4 7 3 4" xfId="9421" xr:uid="{0AD10F7B-8A69-4E51-B70A-CA7509AFE6DC}"/>
    <cellStyle name="Normal 4 7 4" xfId="1295" xr:uid="{00000000-0005-0000-0000-0000BA160000}"/>
    <cellStyle name="Normal 4 7 4 2" xfId="3525" xr:uid="{00000000-0005-0000-0000-0000BB160000}"/>
    <cellStyle name="Normal 4 7 4 2 2" xfId="7747" xr:uid="{00000000-0005-0000-0000-0000BC160000}"/>
    <cellStyle name="Normal 4 7 4 2 2 2" xfId="16197" xr:uid="{122721EC-2CF5-47B8-8FF7-408249A1DBC8}"/>
    <cellStyle name="Normal 4 7 4 2 3" xfId="11979" xr:uid="{DEA36042-4224-431E-B75C-22C9794293FC}"/>
    <cellStyle name="Normal 4 7 4 3" xfId="5602" xr:uid="{00000000-0005-0000-0000-0000BD160000}"/>
    <cellStyle name="Normal 4 7 4 3 2" xfId="14052" xr:uid="{D26160FD-D8A4-4239-A60E-ED2C8D6ECB69}"/>
    <cellStyle name="Normal 4 7 4 4" xfId="9834" xr:uid="{0B19E128-87DC-4770-8998-4CFF735FF374}"/>
    <cellStyle name="Normal 4 7 5" xfId="1708" xr:uid="{00000000-0005-0000-0000-0000BE160000}"/>
    <cellStyle name="Normal 4 7 5 2" xfId="3938" xr:uid="{00000000-0005-0000-0000-0000BF160000}"/>
    <cellStyle name="Normal 4 7 5 2 2" xfId="8160" xr:uid="{00000000-0005-0000-0000-0000C0160000}"/>
    <cellStyle name="Normal 4 7 5 2 2 2" xfId="16610" xr:uid="{D3D00A7B-B552-4089-86C3-B09AC6CF9BFA}"/>
    <cellStyle name="Normal 4 7 5 2 3" xfId="12392" xr:uid="{51542A5E-B243-413F-A206-5D7C2F58D8EC}"/>
    <cellStyle name="Normal 4 7 5 3" xfId="6015" xr:uid="{00000000-0005-0000-0000-0000C1160000}"/>
    <cellStyle name="Normal 4 7 5 3 2" xfId="14465" xr:uid="{D2B84C1E-F300-43F8-A0E8-919F2FFBAB73}"/>
    <cellStyle name="Normal 4 7 5 4" xfId="10247" xr:uid="{F382E351-1BB4-4FF8-8E46-375B57B58389}"/>
    <cellStyle name="Normal 4 7 6" xfId="2122" xr:uid="{00000000-0005-0000-0000-0000C2160000}"/>
    <cellStyle name="Normal 4 7 6 2" xfId="4351" xr:uid="{00000000-0005-0000-0000-0000C3160000}"/>
    <cellStyle name="Normal 4 7 6 2 2" xfId="8573" xr:uid="{00000000-0005-0000-0000-0000C4160000}"/>
    <cellStyle name="Normal 4 7 6 2 2 2" xfId="17023" xr:uid="{EAB1B4F2-D466-4BC7-B255-B356806B1A1E}"/>
    <cellStyle name="Normal 4 7 6 2 3" xfId="12805" xr:uid="{60771246-D296-4EBB-9F48-0A09D723E890}"/>
    <cellStyle name="Normal 4 7 6 3" xfId="6428" xr:uid="{00000000-0005-0000-0000-0000C5160000}"/>
    <cellStyle name="Normal 4 7 6 3 2" xfId="14878" xr:uid="{193F85EA-4608-4917-B0AD-4D88492717C1}"/>
    <cellStyle name="Normal 4 7 6 4" xfId="10660" xr:uid="{E05390F3-ADFB-45B0-B671-60C6B0077A5F}"/>
    <cellStyle name="Normal 4 7 7" xfId="2558" xr:uid="{00000000-0005-0000-0000-0000C6160000}"/>
    <cellStyle name="Normal 4 7 7 2" xfId="6841" xr:uid="{00000000-0005-0000-0000-0000C7160000}"/>
    <cellStyle name="Normal 4 7 7 2 2" xfId="15291" xr:uid="{F6E39CDB-56AA-4750-8B54-268F06E0D27B}"/>
    <cellStyle name="Normal 4 7 7 3" xfId="11073" xr:uid="{191D73C6-97BD-446E-B32A-34F510E6E1B2}"/>
    <cellStyle name="Normal 4 7 8" xfId="4776" xr:uid="{00000000-0005-0000-0000-0000C8160000}"/>
    <cellStyle name="Normal 4 7 8 2" xfId="13226" xr:uid="{58B1AD90-AC55-449D-BAC9-8E383870AC1B}"/>
    <cellStyle name="Normal 4 7 9" xfId="9008" xr:uid="{D5EECC83-9C79-4795-BD13-D91D879F2ECA}"/>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786" xr:uid="{EDBEA581-DF7E-4FA0-B039-1B62F3531D05}"/>
    <cellStyle name="Normal 4 8 2 2 3" xfId="11568" xr:uid="{61794708-8D14-46BE-86A6-CEF718FC0954}"/>
    <cellStyle name="Normal 4 8 2 3" xfId="5191" xr:uid="{00000000-0005-0000-0000-0000CD160000}"/>
    <cellStyle name="Normal 4 8 2 3 2" xfId="13641" xr:uid="{02136ED9-E7A1-449B-B1C3-3D1D797207BC}"/>
    <cellStyle name="Normal 4 8 2 4" xfId="9423" xr:uid="{A407E475-7E05-4B88-A45B-5A14EF2DF18A}"/>
    <cellStyle name="Normal 4 8 3" xfId="1297" xr:uid="{00000000-0005-0000-0000-0000CE160000}"/>
    <cellStyle name="Normal 4 8 3 2" xfId="3527" xr:uid="{00000000-0005-0000-0000-0000CF160000}"/>
    <cellStyle name="Normal 4 8 3 2 2" xfId="7749" xr:uid="{00000000-0005-0000-0000-0000D0160000}"/>
    <cellStyle name="Normal 4 8 3 2 2 2" xfId="16199" xr:uid="{3D0EA929-D66E-4444-9EAA-11F435F9D8F0}"/>
    <cellStyle name="Normal 4 8 3 2 3" xfId="11981" xr:uid="{8492BB4F-6018-4A5F-95FF-3CA39A10AF9C}"/>
    <cellStyle name="Normal 4 8 3 3" xfId="5604" xr:uid="{00000000-0005-0000-0000-0000D1160000}"/>
    <cellStyle name="Normal 4 8 3 3 2" xfId="14054" xr:uid="{CB43B8DC-CB6E-4C8D-B58B-DA1797D5F539}"/>
    <cellStyle name="Normal 4 8 3 4" xfId="9836" xr:uid="{038CC6D7-7A59-40D7-8907-C9D59334747D}"/>
    <cellStyle name="Normal 4 8 4" xfId="1710" xr:uid="{00000000-0005-0000-0000-0000D2160000}"/>
    <cellStyle name="Normal 4 8 4 2" xfId="3940" xr:uid="{00000000-0005-0000-0000-0000D3160000}"/>
    <cellStyle name="Normal 4 8 4 2 2" xfId="8162" xr:uid="{00000000-0005-0000-0000-0000D4160000}"/>
    <cellStyle name="Normal 4 8 4 2 2 2" xfId="16612" xr:uid="{0F46A817-205E-4F4C-B955-169946344BBB}"/>
    <cellStyle name="Normal 4 8 4 2 3" xfId="12394" xr:uid="{3BF7CDB7-E55B-4E3F-BA1C-A4E6CE60CD87}"/>
    <cellStyle name="Normal 4 8 4 3" xfId="6017" xr:uid="{00000000-0005-0000-0000-0000D5160000}"/>
    <cellStyle name="Normal 4 8 4 3 2" xfId="14467" xr:uid="{0A5A873D-72D2-4D1E-84B1-C0040C203423}"/>
    <cellStyle name="Normal 4 8 4 4" xfId="10249" xr:uid="{9F5EC604-2EC2-4138-837E-BFC9A54EF8AA}"/>
    <cellStyle name="Normal 4 8 5" xfId="2124" xr:uid="{00000000-0005-0000-0000-0000D6160000}"/>
    <cellStyle name="Normal 4 8 5 2" xfId="4353" xr:uid="{00000000-0005-0000-0000-0000D7160000}"/>
    <cellStyle name="Normal 4 8 5 2 2" xfId="8575" xr:uid="{00000000-0005-0000-0000-0000D8160000}"/>
    <cellStyle name="Normal 4 8 5 2 2 2" xfId="17025" xr:uid="{D954EBD5-3993-404D-845C-D255DE50153F}"/>
    <cellStyle name="Normal 4 8 5 2 3" xfId="12807" xr:uid="{C1968F96-0504-48F9-BF32-10919792046E}"/>
    <cellStyle name="Normal 4 8 5 3" xfId="6430" xr:uid="{00000000-0005-0000-0000-0000D9160000}"/>
    <cellStyle name="Normal 4 8 5 3 2" xfId="14880" xr:uid="{43AF1AC5-21F7-46E9-901E-D8B42C6B7045}"/>
    <cellStyle name="Normal 4 8 5 4" xfId="10662" xr:uid="{6A1D1E05-85AD-4E17-8883-46A91BCE3F51}"/>
    <cellStyle name="Normal 4 8 6" xfId="2560" xr:uid="{00000000-0005-0000-0000-0000DA160000}"/>
    <cellStyle name="Normal 4 8 6 2" xfId="6843" xr:uid="{00000000-0005-0000-0000-0000DB160000}"/>
    <cellStyle name="Normal 4 8 6 2 2" xfId="15293" xr:uid="{CDF555FF-0EAC-43D6-B12F-54315AFF8C27}"/>
    <cellStyle name="Normal 4 8 6 3" xfId="11075" xr:uid="{0EBC309D-5043-42B7-A652-D8BC8DB12BE8}"/>
    <cellStyle name="Normal 4 8 7" xfId="4778" xr:uid="{00000000-0005-0000-0000-0000DC160000}"/>
    <cellStyle name="Normal 4 8 7 2" xfId="13228" xr:uid="{AADC4BEE-B0D3-42CD-83FB-D3DCAE8086F5}"/>
    <cellStyle name="Normal 4 8 8" xfId="9010" xr:uid="{8F75937B-551F-44C3-927C-14A1AA6C987C}"/>
    <cellStyle name="Normal 4 9" xfId="4715" xr:uid="{00000000-0005-0000-0000-0000DD160000}"/>
    <cellStyle name="Normal 4 9 2" xfId="13165" xr:uid="{88B50343-A08F-4E45-90DF-CDA77C19FCD7}"/>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5DEC4D66-8623-4336-B79B-4C9FDADCAD3D}"/>
    <cellStyle name="Normal 5 10 2 3" xfId="12395" xr:uid="{0A353F28-E851-4F74-87CC-B4B6F3118FEB}"/>
    <cellStyle name="Normal 5 10 3" xfId="6018" xr:uid="{00000000-0005-0000-0000-0000E2160000}"/>
    <cellStyle name="Normal 5 10 3 2" xfId="14468" xr:uid="{F38C18A6-B1BE-45E9-B757-01D3A7460CAA}"/>
    <cellStyle name="Normal 5 10 4" xfId="10250" xr:uid="{886F45C5-E717-4443-BBD2-E53EA1F97BD9}"/>
    <cellStyle name="Normal 5 11" xfId="2125" xr:uid="{00000000-0005-0000-0000-0000E3160000}"/>
    <cellStyle name="Normal 5 11 2" xfId="4354" xr:uid="{00000000-0005-0000-0000-0000E4160000}"/>
    <cellStyle name="Normal 5 11 2 2" xfId="8576" xr:uid="{00000000-0005-0000-0000-0000E5160000}"/>
    <cellStyle name="Normal 5 11 2 2 2" xfId="17026" xr:uid="{77A2E686-5A3E-42FA-8EF6-E9B8F7A9771D}"/>
    <cellStyle name="Normal 5 11 2 3" xfId="12808" xr:uid="{8388E8D3-C14B-4DB8-8C68-61841151CDF5}"/>
    <cellStyle name="Normal 5 11 3" xfId="6431" xr:uid="{00000000-0005-0000-0000-0000E6160000}"/>
    <cellStyle name="Normal 5 11 3 2" xfId="14881" xr:uid="{B4B12FA2-7A09-467E-912A-2D88D3548670}"/>
    <cellStyle name="Normal 5 11 4" xfId="10663" xr:uid="{D3CC1F34-5A05-4C5F-8E9F-39F2D101EADE}"/>
    <cellStyle name="Normal 5 12" xfId="2561" xr:uid="{00000000-0005-0000-0000-0000E7160000}"/>
    <cellStyle name="Normal 5 12 2" xfId="6844" xr:uid="{00000000-0005-0000-0000-0000E8160000}"/>
    <cellStyle name="Normal 5 12 2 2" xfId="15294" xr:uid="{E2D641BA-2908-49A6-9A16-9C8A11BC5A8C}"/>
    <cellStyle name="Normal 5 12 3" xfId="11076" xr:uid="{53A0E314-F45B-403E-83E6-BD9D33BE80EB}"/>
    <cellStyle name="Normal 5 13" xfId="4779" xr:uid="{00000000-0005-0000-0000-0000E9160000}"/>
    <cellStyle name="Normal 5 13 2" xfId="13229" xr:uid="{B49F37D0-491E-45BB-B322-60A33C827EE6}"/>
    <cellStyle name="Normal 5 14" xfId="9011" xr:uid="{3520C98B-8AB2-40AF-A21F-9BD3FB4ED987}"/>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176516B2-722C-43F6-A4D4-6A3B08447FAB}"/>
    <cellStyle name="Normal 5 2 10 2 3" xfId="12809" xr:uid="{E74AEF9A-3BB0-40AC-A899-1001D74035A8}"/>
    <cellStyle name="Normal 5 2 10 3" xfId="6432" xr:uid="{00000000-0005-0000-0000-0000EE160000}"/>
    <cellStyle name="Normal 5 2 10 3 2" xfId="14882" xr:uid="{69EDDAFE-B138-4899-90D7-AE5C694ABC57}"/>
    <cellStyle name="Normal 5 2 10 4" xfId="10664" xr:uid="{9845C236-50EB-4B81-9677-5A158D292E29}"/>
    <cellStyle name="Normal 5 2 11" xfId="2562" xr:uid="{00000000-0005-0000-0000-0000EF160000}"/>
    <cellStyle name="Normal 5 2 11 2" xfId="6845" xr:uid="{00000000-0005-0000-0000-0000F0160000}"/>
    <cellStyle name="Normal 5 2 11 2 2" xfId="15295" xr:uid="{D8EEAD70-0217-4411-B40A-A11A3D8F39BA}"/>
    <cellStyle name="Normal 5 2 11 3" xfId="11077" xr:uid="{0ECD84F8-F452-4FCE-A016-B77F320BA211}"/>
    <cellStyle name="Normal 5 2 12" xfId="4780" xr:uid="{00000000-0005-0000-0000-0000F1160000}"/>
    <cellStyle name="Normal 5 2 12 2" xfId="13230" xr:uid="{BB9118F0-507A-4CD7-BFDA-712B6A24F52B}"/>
    <cellStyle name="Normal 5 2 13" xfId="9012" xr:uid="{585CF7ED-A8D4-42F3-8A96-C3BA78BA2BBF}"/>
    <cellStyle name="Normal 5 2 2" xfId="408" xr:uid="{00000000-0005-0000-0000-0000F2160000}"/>
    <cellStyle name="Normal 5 2 2 10" xfId="2563" xr:uid="{00000000-0005-0000-0000-0000F3160000}"/>
    <cellStyle name="Normal 5 2 2 10 2" xfId="6846" xr:uid="{00000000-0005-0000-0000-0000F4160000}"/>
    <cellStyle name="Normal 5 2 2 10 2 2" xfId="15296" xr:uid="{987FAD9F-A1D9-42A4-8296-0993A166C0B7}"/>
    <cellStyle name="Normal 5 2 2 10 3" xfId="11078" xr:uid="{A6387FAB-F14E-445D-9DC9-32AD3491876A}"/>
    <cellStyle name="Normal 5 2 2 11" xfId="4781" xr:uid="{00000000-0005-0000-0000-0000F5160000}"/>
    <cellStyle name="Normal 5 2 2 11 2" xfId="13231" xr:uid="{2BCCB8A7-CE29-4CAC-A3D4-650AFBB24697}"/>
    <cellStyle name="Normal 5 2 2 12" xfId="9013" xr:uid="{26840664-1AAE-4910-B8BF-69026CAF0008}"/>
    <cellStyle name="Normal 5 2 2 2" xfId="409" xr:uid="{00000000-0005-0000-0000-0000F6160000}"/>
    <cellStyle name="Normal 5 2 2 2 10" xfId="4782" xr:uid="{00000000-0005-0000-0000-0000F7160000}"/>
    <cellStyle name="Normal 5 2 2 2 10 2" xfId="13232" xr:uid="{6B3E8024-980D-45DC-AF3C-E7596C3F3952}"/>
    <cellStyle name="Normal 5 2 2 2 11" xfId="9014" xr:uid="{DAF55C7A-DDB7-4698-B648-1FA009A0CC81}"/>
    <cellStyle name="Normal 5 2 2 2 2" xfId="410" xr:uid="{00000000-0005-0000-0000-0000F8160000}"/>
    <cellStyle name="Normal 5 2 2 2 2 10" xfId="9015" xr:uid="{8CC3BFE1-D766-4DE7-AB27-1FBD0F375279}"/>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F343A788-AEDE-404F-AC0A-0551D53DB183}"/>
    <cellStyle name="Normal 5 2 2 2 2 2 2 2 2 3" xfId="11575" xr:uid="{82E186C1-3944-4397-A785-1EC1340392BB}"/>
    <cellStyle name="Normal 5 2 2 2 2 2 2 2 3" xfId="5198" xr:uid="{00000000-0005-0000-0000-0000FE160000}"/>
    <cellStyle name="Normal 5 2 2 2 2 2 2 2 3 2" xfId="13648" xr:uid="{6D6D9D75-3E60-4C61-9108-B69CF1ADE173}"/>
    <cellStyle name="Normal 5 2 2 2 2 2 2 2 4" xfId="9430" xr:uid="{85D75103-E132-4B34-818A-CDDFA5F4686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AD68710B-E773-44F2-97A6-B577EA890E6F}"/>
    <cellStyle name="Normal 5 2 2 2 2 2 2 3 2 3" xfId="11988" xr:uid="{85D7A0D8-499C-4941-A514-438D5E97AB77}"/>
    <cellStyle name="Normal 5 2 2 2 2 2 2 3 3" xfId="5611" xr:uid="{00000000-0005-0000-0000-000002170000}"/>
    <cellStyle name="Normal 5 2 2 2 2 2 2 3 3 2" xfId="14061" xr:uid="{6C8A5DAB-374B-46A3-8578-2AA13CD87F18}"/>
    <cellStyle name="Normal 5 2 2 2 2 2 2 3 4" xfId="9843" xr:uid="{9DEF42B9-2A57-4FA6-92CF-598D41CF1B55}"/>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56E7FF06-5FF1-470B-A719-99FB48FDFCB7}"/>
    <cellStyle name="Normal 5 2 2 2 2 2 2 4 2 3" xfId="12401" xr:uid="{5A74C5FF-03A5-48D4-AED8-4A806C09C026}"/>
    <cellStyle name="Normal 5 2 2 2 2 2 2 4 3" xfId="6024" xr:uid="{00000000-0005-0000-0000-000006170000}"/>
    <cellStyle name="Normal 5 2 2 2 2 2 2 4 3 2" xfId="14474" xr:uid="{58E95DBD-D67A-4C71-B85B-B7B9EDD61D16}"/>
    <cellStyle name="Normal 5 2 2 2 2 2 2 4 4" xfId="10256" xr:uid="{6D95EBE0-D508-4043-8BB9-CFDCB597FA6D}"/>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25D8D49E-EC43-449C-BC22-04DC0CA7BBC9}"/>
    <cellStyle name="Normal 5 2 2 2 2 2 2 5 2 3" xfId="12814" xr:uid="{DC288831-E96A-4D2E-B872-B04DEA066FD1}"/>
    <cellStyle name="Normal 5 2 2 2 2 2 2 5 3" xfId="6437" xr:uid="{00000000-0005-0000-0000-00000A170000}"/>
    <cellStyle name="Normal 5 2 2 2 2 2 2 5 3 2" xfId="14887" xr:uid="{EEB78341-20C8-411E-A01B-9F52BBDEC488}"/>
    <cellStyle name="Normal 5 2 2 2 2 2 2 5 4" xfId="10669" xr:uid="{42D98124-96C6-4E1D-AF40-563143882110}"/>
    <cellStyle name="Normal 5 2 2 2 2 2 2 6" xfId="2567" xr:uid="{00000000-0005-0000-0000-00000B170000}"/>
    <cellStyle name="Normal 5 2 2 2 2 2 2 6 2" xfId="6850" xr:uid="{00000000-0005-0000-0000-00000C170000}"/>
    <cellStyle name="Normal 5 2 2 2 2 2 2 6 2 2" xfId="15300" xr:uid="{7D1884BF-0AD1-4EA0-A169-C248D5E33FB0}"/>
    <cellStyle name="Normal 5 2 2 2 2 2 2 6 3" xfId="11082" xr:uid="{8639AC82-EC04-4677-99D2-CC0805AD3203}"/>
    <cellStyle name="Normal 5 2 2 2 2 2 2 7" xfId="4785" xr:uid="{00000000-0005-0000-0000-00000D170000}"/>
    <cellStyle name="Normal 5 2 2 2 2 2 2 7 2" xfId="13235" xr:uid="{F8D1427F-F6CA-49BC-9A08-CED629E60EE7}"/>
    <cellStyle name="Normal 5 2 2 2 2 2 2 8" xfId="9017" xr:uid="{D579F128-72EE-4AD9-9B21-376690C658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1B95234F-CFA0-49AC-8DCC-B53551825760}"/>
    <cellStyle name="Normal 5 2 2 2 2 2 3 2 3" xfId="11574" xr:uid="{14F2F9E2-401A-493E-A44A-1C9481429A18}"/>
    <cellStyle name="Normal 5 2 2 2 2 2 3 3" xfId="5197" xr:uid="{00000000-0005-0000-0000-000011170000}"/>
    <cellStyle name="Normal 5 2 2 2 2 2 3 3 2" xfId="13647" xr:uid="{39532CD6-4718-417E-9AB9-6639286D7591}"/>
    <cellStyle name="Normal 5 2 2 2 2 2 3 4" xfId="9429" xr:uid="{41FB9611-7329-4DBD-9099-2D041F9D4C13}"/>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DDC314E4-EB1F-4C0D-BA3F-F11C7D8700BA}"/>
    <cellStyle name="Normal 5 2 2 2 2 2 4 2 3" xfId="11987" xr:uid="{59C77B23-0D4C-4C5B-8798-26FBC7B6BC2E}"/>
    <cellStyle name="Normal 5 2 2 2 2 2 4 3" xfId="5610" xr:uid="{00000000-0005-0000-0000-000015170000}"/>
    <cellStyle name="Normal 5 2 2 2 2 2 4 3 2" xfId="14060" xr:uid="{1504C36C-5444-48BB-B9E4-463E4B7D1B93}"/>
    <cellStyle name="Normal 5 2 2 2 2 2 4 4" xfId="9842" xr:uid="{F095F3D1-0DE5-45FE-AB53-44A09F3CF36A}"/>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53A6243A-26DB-4715-8A34-8B8C9DA0AF5F}"/>
    <cellStyle name="Normal 5 2 2 2 2 2 5 2 3" xfId="12400" xr:uid="{0B17B12D-BE39-4D44-9EA5-099A9234DDAE}"/>
    <cellStyle name="Normal 5 2 2 2 2 2 5 3" xfId="6023" xr:uid="{00000000-0005-0000-0000-000019170000}"/>
    <cellStyle name="Normal 5 2 2 2 2 2 5 3 2" xfId="14473" xr:uid="{A8FC2D92-3CC6-496A-A1EC-1089611826DB}"/>
    <cellStyle name="Normal 5 2 2 2 2 2 5 4" xfId="10255" xr:uid="{95EF8201-23ED-4881-A1C5-E778539143E5}"/>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377D32E1-C1D2-41FB-8347-8852141811DB}"/>
    <cellStyle name="Normal 5 2 2 2 2 2 6 2 3" xfId="12813" xr:uid="{F4F3D88F-3FD4-4D38-ACFE-592F44E7C8F7}"/>
    <cellStyle name="Normal 5 2 2 2 2 2 6 3" xfId="6436" xr:uid="{00000000-0005-0000-0000-00001D170000}"/>
    <cellStyle name="Normal 5 2 2 2 2 2 6 3 2" xfId="14886" xr:uid="{4B9676F7-24D3-4781-B07B-7608E5B77BF1}"/>
    <cellStyle name="Normal 5 2 2 2 2 2 6 4" xfId="10668" xr:uid="{DA0468CB-D54A-4CF5-8358-9D95EEF7EBFA}"/>
    <cellStyle name="Normal 5 2 2 2 2 2 7" xfId="2566" xr:uid="{00000000-0005-0000-0000-00001E170000}"/>
    <cellStyle name="Normal 5 2 2 2 2 2 7 2" xfId="6849" xr:uid="{00000000-0005-0000-0000-00001F170000}"/>
    <cellStyle name="Normal 5 2 2 2 2 2 7 2 2" xfId="15299" xr:uid="{1027FF4F-F4E2-48F8-A45B-D015511B1AA7}"/>
    <cellStyle name="Normal 5 2 2 2 2 2 7 3" xfId="11081" xr:uid="{64DB865F-E102-4EF1-8CBE-E60EE1ABEA98}"/>
    <cellStyle name="Normal 5 2 2 2 2 2 8" xfId="4784" xr:uid="{00000000-0005-0000-0000-000020170000}"/>
    <cellStyle name="Normal 5 2 2 2 2 2 8 2" xfId="13234" xr:uid="{4444742F-1D26-4EF3-BD71-5BCB7439263C}"/>
    <cellStyle name="Normal 5 2 2 2 2 2 9" xfId="9016" xr:uid="{7F95ED77-937D-4C4F-AB87-0FD79F616D1F}"/>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3C78C273-8D3D-4DEB-B6F5-977B8943AE71}"/>
    <cellStyle name="Normal 5 2 2 2 2 3 2 2 3" xfId="11576" xr:uid="{F9EE77F0-ED49-4CB0-8897-6B2DD901B627}"/>
    <cellStyle name="Normal 5 2 2 2 2 3 2 3" xfId="5199" xr:uid="{00000000-0005-0000-0000-000025170000}"/>
    <cellStyle name="Normal 5 2 2 2 2 3 2 3 2" xfId="13649" xr:uid="{E8E47667-FEA9-4D68-B626-B777EEF3CF4B}"/>
    <cellStyle name="Normal 5 2 2 2 2 3 2 4" xfId="9431" xr:uid="{84006EC7-7F8F-4EFF-BCEB-34DC22DF392B}"/>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EF64C4A6-2C19-4DA2-8ADE-77C4335D3E76}"/>
    <cellStyle name="Normal 5 2 2 2 2 3 3 2 3" xfId="11989" xr:uid="{E77CEB39-8718-492B-88B6-A7720DEB3AAE}"/>
    <cellStyle name="Normal 5 2 2 2 2 3 3 3" xfId="5612" xr:uid="{00000000-0005-0000-0000-000029170000}"/>
    <cellStyle name="Normal 5 2 2 2 2 3 3 3 2" xfId="14062" xr:uid="{22B8FCEB-8881-4C62-8CD2-CF41334D142D}"/>
    <cellStyle name="Normal 5 2 2 2 2 3 3 4" xfId="9844" xr:uid="{C8CDAEA5-CEDA-483E-A76F-6A1135802872}"/>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F579A4F6-849A-4680-B93A-35A5877AA723}"/>
    <cellStyle name="Normal 5 2 2 2 2 3 4 2 3" xfId="12402" xr:uid="{25E835BC-75F2-454A-A844-7D97440BDE5A}"/>
    <cellStyle name="Normal 5 2 2 2 2 3 4 3" xfId="6025" xr:uid="{00000000-0005-0000-0000-00002D170000}"/>
    <cellStyle name="Normal 5 2 2 2 2 3 4 3 2" xfId="14475" xr:uid="{E7BB0EB8-9780-439E-AB67-8DCE7ABB6A2C}"/>
    <cellStyle name="Normal 5 2 2 2 2 3 4 4" xfId="10257" xr:uid="{5845D6D3-DF18-495B-A968-E6BDE9D29E0A}"/>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56BB9D18-1806-44AC-AD05-2CA0C02999B1}"/>
    <cellStyle name="Normal 5 2 2 2 2 3 5 2 3" xfId="12815" xr:uid="{1FD53FA9-70C8-4B3A-8ED6-0F1D66BDDBF7}"/>
    <cellStyle name="Normal 5 2 2 2 2 3 5 3" xfId="6438" xr:uid="{00000000-0005-0000-0000-000031170000}"/>
    <cellStyle name="Normal 5 2 2 2 2 3 5 3 2" xfId="14888" xr:uid="{F2D5B289-DF55-43EE-AA50-4D6EFDA524CA}"/>
    <cellStyle name="Normal 5 2 2 2 2 3 5 4" xfId="10670" xr:uid="{504BA633-164F-49BA-BE08-7D28732D727A}"/>
    <cellStyle name="Normal 5 2 2 2 2 3 6" xfId="2568" xr:uid="{00000000-0005-0000-0000-000032170000}"/>
    <cellStyle name="Normal 5 2 2 2 2 3 6 2" xfId="6851" xr:uid="{00000000-0005-0000-0000-000033170000}"/>
    <cellStyle name="Normal 5 2 2 2 2 3 6 2 2" xfId="15301" xr:uid="{9FE34CFD-33FE-42CD-ACCE-9EE793B145D0}"/>
    <cellStyle name="Normal 5 2 2 2 2 3 6 3" xfId="11083" xr:uid="{1D76DF1F-64A4-435C-87DE-4C81331BACFF}"/>
    <cellStyle name="Normal 5 2 2 2 2 3 7" xfId="4786" xr:uid="{00000000-0005-0000-0000-000034170000}"/>
    <cellStyle name="Normal 5 2 2 2 2 3 7 2" xfId="13236" xr:uid="{0ECF8F82-C3BA-4423-B29B-0A1C0340D7C7}"/>
    <cellStyle name="Normal 5 2 2 2 2 3 8" xfId="9018" xr:uid="{1097C19B-05D7-4F63-A604-38F009E8F753}"/>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59A4CDAB-F8F1-4350-91D7-A4ED966AA624}"/>
    <cellStyle name="Normal 5 2 2 2 2 4 2 3" xfId="11573" xr:uid="{C853633E-71B5-46F5-96C6-31758CDFFCE8}"/>
    <cellStyle name="Normal 5 2 2 2 2 4 3" xfId="5196" xr:uid="{00000000-0005-0000-0000-000038170000}"/>
    <cellStyle name="Normal 5 2 2 2 2 4 3 2" xfId="13646" xr:uid="{C4EF4887-9F12-4291-9A8B-456690007408}"/>
    <cellStyle name="Normal 5 2 2 2 2 4 4" xfId="9428" xr:uid="{E15F59DC-8FF4-42AD-97ED-DAA3E5FB2D0C}"/>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5EBB95C9-B3AB-49F6-BF87-C8DF98DD4AE0}"/>
    <cellStyle name="Normal 5 2 2 2 2 5 2 3" xfId="11986" xr:uid="{4403E837-CCE1-463B-939D-BA7A93A10A6C}"/>
    <cellStyle name="Normal 5 2 2 2 2 5 3" xfId="5609" xr:uid="{00000000-0005-0000-0000-00003C170000}"/>
    <cellStyle name="Normal 5 2 2 2 2 5 3 2" xfId="14059" xr:uid="{2A5CC720-6DF5-4A26-B55A-5EBA9100A046}"/>
    <cellStyle name="Normal 5 2 2 2 2 5 4" xfId="9841" xr:uid="{743598EA-EB26-4883-B32F-2E64674B6D5F}"/>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50FC2DB2-C45E-4F3C-B181-1FCBED1D75BF}"/>
    <cellStyle name="Normal 5 2 2 2 2 6 2 3" xfId="12399" xr:uid="{333D96E5-5675-42E1-BC3B-AA556C2D4706}"/>
    <cellStyle name="Normal 5 2 2 2 2 6 3" xfId="6022" xr:uid="{00000000-0005-0000-0000-000040170000}"/>
    <cellStyle name="Normal 5 2 2 2 2 6 3 2" xfId="14472" xr:uid="{CD0B6EE2-F9DF-49AB-AAE9-463482BA3257}"/>
    <cellStyle name="Normal 5 2 2 2 2 6 4" xfId="10254" xr:uid="{A01DA728-1A3E-4D57-B61E-D16B3BA77EDC}"/>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E03F3257-FE3B-48F8-9C0A-378EE4112C55}"/>
    <cellStyle name="Normal 5 2 2 2 2 7 2 3" xfId="12812" xr:uid="{FE359F08-8C14-4BCA-B19A-8ACA664A5E8D}"/>
    <cellStyle name="Normal 5 2 2 2 2 7 3" xfId="6435" xr:uid="{00000000-0005-0000-0000-000044170000}"/>
    <cellStyle name="Normal 5 2 2 2 2 7 3 2" xfId="14885" xr:uid="{213312DA-54CC-41AC-AA73-CD5A23EF9F14}"/>
    <cellStyle name="Normal 5 2 2 2 2 7 4" xfId="10667" xr:uid="{1AA6A2AE-7A71-403B-BC99-9C2A93D1DF51}"/>
    <cellStyle name="Normal 5 2 2 2 2 8" xfId="2565" xr:uid="{00000000-0005-0000-0000-000045170000}"/>
    <cellStyle name="Normal 5 2 2 2 2 8 2" xfId="6848" xr:uid="{00000000-0005-0000-0000-000046170000}"/>
    <cellStyle name="Normal 5 2 2 2 2 8 2 2" xfId="15298" xr:uid="{B8D87246-F9F8-41FA-B2B7-C422FE71CD3C}"/>
    <cellStyle name="Normal 5 2 2 2 2 8 3" xfId="11080" xr:uid="{E4149BB6-E629-49F8-B541-FD6D45B50409}"/>
    <cellStyle name="Normal 5 2 2 2 2 9" xfId="4783" xr:uid="{00000000-0005-0000-0000-000047170000}"/>
    <cellStyle name="Normal 5 2 2 2 2 9 2" xfId="13233" xr:uid="{3107CE81-18AC-4656-876F-29F9578A8B45}"/>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D5BF49FA-C55B-485A-A90E-A52A9E6FE234}"/>
    <cellStyle name="Normal 5 2 2 2 3 2 2 2 3" xfId="11578" xr:uid="{09A8A6FF-F218-4FB9-9F84-1DF27CE9E6B3}"/>
    <cellStyle name="Normal 5 2 2 2 3 2 2 3" xfId="5201" xr:uid="{00000000-0005-0000-0000-00004D170000}"/>
    <cellStyle name="Normal 5 2 2 2 3 2 2 3 2" xfId="13651" xr:uid="{0C0B93E7-A615-4154-95E5-92D9B64BEED9}"/>
    <cellStyle name="Normal 5 2 2 2 3 2 2 4" xfId="9433" xr:uid="{31C8DA25-C0BB-42E0-B29D-4FD20C685B5B}"/>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34E376C3-6821-4F31-8D52-4112C9E1B496}"/>
    <cellStyle name="Normal 5 2 2 2 3 2 3 2 3" xfId="11991" xr:uid="{5ACC57C9-1D20-46F3-9A02-D9BC3439493F}"/>
    <cellStyle name="Normal 5 2 2 2 3 2 3 3" xfId="5614" xr:uid="{00000000-0005-0000-0000-000051170000}"/>
    <cellStyle name="Normal 5 2 2 2 3 2 3 3 2" xfId="14064" xr:uid="{478FF274-BD3C-4282-884F-679886DFCABE}"/>
    <cellStyle name="Normal 5 2 2 2 3 2 3 4" xfId="9846" xr:uid="{51B60678-7360-47A7-97E7-22C1944BF285}"/>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C26FAB15-0AD6-437F-83CA-C8267EA5C2F1}"/>
    <cellStyle name="Normal 5 2 2 2 3 2 4 2 3" xfId="12404" xr:uid="{54BBC1B0-7545-4093-B537-BE532B90B2DC}"/>
    <cellStyle name="Normal 5 2 2 2 3 2 4 3" xfId="6027" xr:uid="{00000000-0005-0000-0000-000055170000}"/>
    <cellStyle name="Normal 5 2 2 2 3 2 4 3 2" xfId="14477" xr:uid="{416CC906-C2EE-424C-B840-F12CE620E8CF}"/>
    <cellStyle name="Normal 5 2 2 2 3 2 4 4" xfId="10259" xr:uid="{FA8B5201-CF86-4571-B606-471417BD4E46}"/>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A228F8ED-B5DA-4C6D-BBCF-AD2AD2BB4F02}"/>
    <cellStyle name="Normal 5 2 2 2 3 2 5 2 3" xfId="12817" xr:uid="{81A66C11-BF86-48BB-85C2-19A3E5777715}"/>
    <cellStyle name="Normal 5 2 2 2 3 2 5 3" xfId="6440" xr:uid="{00000000-0005-0000-0000-000059170000}"/>
    <cellStyle name="Normal 5 2 2 2 3 2 5 3 2" xfId="14890" xr:uid="{77F8F8F8-F4C2-4EAB-82A7-6FD65DAA5195}"/>
    <cellStyle name="Normal 5 2 2 2 3 2 5 4" xfId="10672" xr:uid="{A1B649BF-4642-4CD8-A3F6-E5D8B2329B67}"/>
    <cellStyle name="Normal 5 2 2 2 3 2 6" xfId="2570" xr:uid="{00000000-0005-0000-0000-00005A170000}"/>
    <cellStyle name="Normal 5 2 2 2 3 2 6 2" xfId="6853" xr:uid="{00000000-0005-0000-0000-00005B170000}"/>
    <cellStyle name="Normal 5 2 2 2 3 2 6 2 2" xfId="15303" xr:uid="{D30D2A72-A7D4-45CF-8592-674AC935F88E}"/>
    <cellStyle name="Normal 5 2 2 2 3 2 6 3" xfId="11085" xr:uid="{24ED95B0-993B-4BA4-BD8B-1C127BAECFCF}"/>
    <cellStyle name="Normal 5 2 2 2 3 2 7" xfId="4788" xr:uid="{00000000-0005-0000-0000-00005C170000}"/>
    <cellStyle name="Normal 5 2 2 2 3 2 7 2" xfId="13238" xr:uid="{1C90CCC1-6831-423A-8857-9EBBE97C4BAA}"/>
    <cellStyle name="Normal 5 2 2 2 3 2 8" xfId="9020" xr:uid="{A65CE510-3FA1-4797-AD13-6CB250F5D752}"/>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7C584747-A65A-464F-8B0D-5CA4E034CEE4}"/>
    <cellStyle name="Normal 5 2 2 2 3 3 2 3" xfId="11577" xr:uid="{0A4F2B6D-F283-492A-9AA2-5B60032D6F47}"/>
    <cellStyle name="Normal 5 2 2 2 3 3 3" xfId="5200" xr:uid="{00000000-0005-0000-0000-000060170000}"/>
    <cellStyle name="Normal 5 2 2 2 3 3 3 2" xfId="13650" xr:uid="{BF4E6E64-6BA1-4180-AE06-BB3BC3FD0F4E}"/>
    <cellStyle name="Normal 5 2 2 2 3 3 4" xfId="9432" xr:uid="{8E3D80E6-F4E1-4795-B417-9FC83C868D8A}"/>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B94B60F0-C0FF-46BB-AB98-A559F24F579D}"/>
    <cellStyle name="Normal 5 2 2 2 3 4 2 3" xfId="11990" xr:uid="{031750BD-C3A9-4186-81E0-73E19FF13027}"/>
    <cellStyle name="Normal 5 2 2 2 3 4 3" xfId="5613" xr:uid="{00000000-0005-0000-0000-000064170000}"/>
    <cellStyle name="Normal 5 2 2 2 3 4 3 2" xfId="14063" xr:uid="{B3D816D2-D7B2-417E-AEBF-5DCC7FEA93E5}"/>
    <cellStyle name="Normal 5 2 2 2 3 4 4" xfId="9845" xr:uid="{11F2840F-3400-4B67-9E81-D583ABA7243B}"/>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288F4649-9016-4ED3-8E16-9EE989D5CDE6}"/>
    <cellStyle name="Normal 5 2 2 2 3 5 2 3" xfId="12403" xr:uid="{24059613-3385-447C-B122-CF36E1E2A418}"/>
    <cellStyle name="Normal 5 2 2 2 3 5 3" xfId="6026" xr:uid="{00000000-0005-0000-0000-000068170000}"/>
    <cellStyle name="Normal 5 2 2 2 3 5 3 2" xfId="14476" xr:uid="{CD7A7451-347D-464A-A1D6-A4097D90049B}"/>
    <cellStyle name="Normal 5 2 2 2 3 5 4" xfId="10258" xr:uid="{C19CBBAE-E383-4FD7-99DA-22ACFAFEF2A6}"/>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B84BDC2A-A512-4320-A2AF-685E270885CD}"/>
    <cellStyle name="Normal 5 2 2 2 3 6 2 3" xfId="12816" xr:uid="{D53B3F43-857B-4166-88D9-50ED8A0F36C1}"/>
    <cellStyle name="Normal 5 2 2 2 3 6 3" xfId="6439" xr:uid="{00000000-0005-0000-0000-00006C170000}"/>
    <cellStyle name="Normal 5 2 2 2 3 6 3 2" xfId="14889" xr:uid="{C5303405-600F-46D1-8246-86A4B240B2DE}"/>
    <cellStyle name="Normal 5 2 2 2 3 6 4" xfId="10671" xr:uid="{C5A7C9FC-16AF-4428-94FA-A4851C3645BA}"/>
    <cellStyle name="Normal 5 2 2 2 3 7" xfId="2569" xr:uid="{00000000-0005-0000-0000-00006D170000}"/>
    <cellStyle name="Normal 5 2 2 2 3 7 2" xfId="6852" xr:uid="{00000000-0005-0000-0000-00006E170000}"/>
    <cellStyle name="Normal 5 2 2 2 3 7 2 2" xfId="15302" xr:uid="{E3E7D222-3B25-44F3-9E0B-FB1B91FC9B8C}"/>
    <cellStyle name="Normal 5 2 2 2 3 7 3" xfId="11084" xr:uid="{F8157185-63B5-4897-BDA0-27ADCE1A4E5A}"/>
    <cellStyle name="Normal 5 2 2 2 3 8" xfId="4787" xr:uid="{00000000-0005-0000-0000-00006F170000}"/>
    <cellStyle name="Normal 5 2 2 2 3 8 2" xfId="13237" xr:uid="{BA2498B0-D8FF-4D39-B121-34D1A9009E82}"/>
    <cellStyle name="Normal 5 2 2 2 3 9" xfId="9019" xr:uid="{6F7DA63D-E1F0-4D7E-9D79-0AC6D0FCA445}"/>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61C55488-130D-4735-9807-F2A431C141AC}"/>
    <cellStyle name="Normal 5 2 2 2 4 2 2 3" xfId="11579" xr:uid="{17DE5436-DBA9-4BFE-8137-399C1E417437}"/>
    <cellStyle name="Normal 5 2 2 2 4 2 3" xfId="5202" xr:uid="{00000000-0005-0000-0000-000074170000}"/>
    <cellStyle name="Normal 5 2 2 2 4 2 3 2" xfId="13652" xr:uid="{2B782A0C-649F-4EBF-AC88-371219FCA811}"/>
    <cellStyle name="Normal 5 2 2 2 4 2 4" xfId="9434" xr:uid="{41E28BAF-53DC-47FA-AE40-41B6791F3E84}"/>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8E3B4099-9C23-4DC0-8C0A-87A26B10E524}"/>
    <cellStyle name="Normal 5 2 2 2 4 3 2 3" xfId="11992" xr:uid="{57BC2E53-4CAE-457A-A2AA-86A466FAC7E9}"/>
    <cellStyle name="Normal 5 2 2 2 4 3 3" xfId="5615" xr:uid="{00000000-0005-0000-0000-000078170000}"/>
    <cellStyle name="Normal 5 2 2 2 4 3 3 2" xfId="14065" xr:uid="{066A326F-2C62-43CF-8A0D-CD9576A50747}"/>
    <cellStyle name="Normal 5 2 2 2 4 3 4" xfId="9847" xr:uid="{952B9CBD-D358-417F-BD83-BB1AAD896416}"/>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009C8D18-DCB9-4E59-A288-266D82515B54}"/>
    <cellStyle name="Normal 5 2 2 2 4 4 2 3" xfId="12405" xr:uid="{02E9A289-95AD-4237-BE47-4ABB67401001}"/>
    <cellStyle name="Normal 5 2 2 2 4 4 3" xfId="6028" xr:uid="{00000000-0005-0000-0000-00007C170000}"/>
    <cellStyle name="Normal 5 2 2 2 4 4 3 2" xfId="14478" xr:uid="{A3E4FC6B-BDDC-49F5-AA63-3F8F6B130148}"/>
    <cellStyle name="Normal 5 2 2 2 4 4 4" xfId="10260" xr:uid="{26356D8D-475B-4E4C-839D-AEF3BC0E05DD}"/>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C8544FB2-E0E6-4672-9F1E-8E6351611F30}"/>
    <cellStyle name="Normal 5 2 2 2 4 5 2 3" xfId="12818" xr:uid="{0C4C680F-7ADC-4C82-841F-6D180431B0C3}"/>
    <cellStyle name="Normal 5 2 2 2 4 5 3" xfId="6441" xr:uid="{00000000-0005-0000-0000-000080170000}"/>
    <cellStyle name="Normal 5 2 2 2 4 5 3 2" xfId="14891" xr:uid="{9CDBA58D-7C0A-4F72-9EE6-960E258D064A}"/>
    <cellStyle name="Normal 5 2 2 2 4 5 4" xfId="10673" xr:uid="{A4DAC8AE-7B95-46B3-9481-50F623B86B1C}"/>
    <cellStyle name="Normal 5 2 2 2 4 6" xfId="2571" xr:uid="{00000000-0005-0000-0000-000081170000}"/>
    <cellStyle name="Normal 5 2 2 2 4 6 2" xfId="6854" xr:uid="{00000000-0005-0000-0000-000082170000}"/>
    <cellStyle name="Normal 5 2 2 2 4 6 2 2" xfId="15304" xr:uid="{CE631F85-78B3-424F-99BC-1B1CDE256803}"/>
    <cellStyle name="Normal 5 2 2 2 4 6 3" xfId="11086" xr:uid="{0A92357B-0E66-4B0B-BE9E-4EC97C18B181}"/>
    <cellStyle name="Normal 5 2 2 2 4 7" xfId="4789" xr:uid="{00000000-0005-0000-0000-000083170000}"/>
    <cellStyle name="Normal 5 2 2 2 4 7 2" xfId="13239" xr:uid="{13245345-C50F-4736-BF4D-812BF9F50DD8}"/>
    <cellStyle name="Normal 5 2 2 2 4 8" xfId="9021" xr:uid="{64F1F3BC-2267-4068-A57B-F632080BB130}"/>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999F6256-618C-4298-A986-3EFCB07AED2C}"/>
    <cellStyle name="Normal 5 2 2 2 5 2 3" xfId="11572" xr:uid="{FE80FF21-17FB-4B09-A981-FC8F57600A8B}"/>
    <cellStyle name="Normal 5 2 2 2 5 3" xfId="5195" xr:uid="{00000000-0005-0000-0000-000087170000}"/>
    <cellStyle name="Normal 5 2 2 2 5 3 2" xfId="13645" xr:uid="{7C3151EB-6A82-4BED-9BB3-732C5F7D4ADA}"/>
    <cellStyle name="Normal 5 2 2 2 5 4" xfId="9427" xr:uid="{366C9E07-E62F-4830-869D-477917AA5069}"/>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A16B0C80-86B1-44DF-A2D4-C45C17C586CA}"/>
    <cellStyle name="Normal 5 2 2 2 6 2 3" xfId="11985" xr:uid="{842D2753-D360-44CF-B14E-21833674EAA3}"/>
    <cellStyle name="Normal 5 2 2 2 6 3" xfId="5608" xr:uid="{00000000-0005-0000-0000-00008B170000}"/>
    <cellStyle name="Normal 5 2 2 2 6 3 2" xfId="14058" xr:uid="{C6DE1524-670E-4F09-A227-7245FBAC049C}"/>
    <cellStyle name="Normal 5 2 2 2 6 4" xfId="9840" xr:uid="{9D8F5C42-84C0-4B22-A7AE-32A1E2A39A60}"/>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05446903-1A59-4976-AE78-EF6E3E488CB5}"/>
    <cellStyle name="Normal 5 2 2 2 7 2 3" xfId="12398" xr:uid="{22BFCA97-E2FB-4B71-B237-81F90389ED86}"/>
    <cellStyle name="Normal 5 2 2 2 7 3" xfId="6021" xr:uid="{00000000-0005-0000-0000-00008F170000}"/>
    <cellStyle name="Normal 5 2 2 2 7 3 2" xfId="14471" xr:uid="{6EAE53D4-94A9-4258-92F2-D38E7DEC0006}"/>
    <cellStyle name="Normal 5 2 2 2 7 4" xfId="10253" xr:uid="{607F5ADD-E225-47C0-98FE-1A9BEF6FBB97}"/>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99E81CC4-AF37-4A61-8C8D-FF764F3BFFD6}"/>
    <cellStyle name="Normal 5 2 2 2 8 2 3" xfId="12811" xr:uid="{CE9B2CA1-2396-449E-8E24-D57F94D12183}"/>
    <cellStyle name="Normal 5 2 2 2 8 3" xfId="6434" xr:uid="{00000000-0005-0000-0000-000093170000}"/>
    <cellStyle name="Normal 5 2 2 2 8 3 2" xfId="14884" xr:uid="{0C0D07EE-5739-4094-870C-40B60CDC29B6}"/>
    <cellStyle name="Normal 5 2 2 2 8 4" xfId="10666" xr:uid="{8A4FFF4D-4C36-4928-9E77-A2895341DA9F}"/>
    <cellStyle name="Normal 5 2 2 2 9" xfId="2564" xr:uid="{00000000-0005-0000-0000-000094170000}"/>
    <cellStyle name="Normal 5 2 2 2 9 2" xfId="6847" xr:uid="{00000000-0005-0000-0000-000095170000}"/>
    <cellStyle name="Normal 5 2 2 2 9 2 2" xfId="15297" xr:uid="{F542E31A-C545-4421-B100-365DC5A7A27A}"/>
    <cellStyle name="Normal 5 2 2 2 9 3" xfId="11079" xr:uid="{245F2891-4F86-4494-829D-187ADBE80EED}"/>
    <cellStyle name="Normal 5 2 2 3" xfId="417" xr:uid="{00000000-0005-0000-0000-000096170000}"/>
    <cellStyle name="Normal 5 2 2 3 10" xfId="9022" xr:uid="{B755DAEB-2B3F-4126-8097-78A4AE31BCB8}"/>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D74A1BD5-7FE2-464E-93FF-48D27D6FB4B3}"/>
    <cellStyle name="Normal 5 2 2 3 2 2 2 2 3" xfId="11582" xr:uid="{12050D7D-4B14-4C93-B2F7-291BE77AD60B}"/>
    <cellStyle name="Normal 5 2 2 3 2 2 2 3" xfId="5205" xr:uid="{00000000-0005-0000-0000-00009C170000}"/>
    <cellStyle name="Normal 5 2 2 3 2 2 2 3 2" xfId="13655" xr:uid="{1E1B33D3-EBD0-4A0E-83A2-4E32284A64C9}"/>
    <cellStyle name="Normal 5 2 2 3 2 2 2 4" xfId="9437" xr:uid="{E45B72F0-54E1-4698-8212-1FFA19612C79}"/>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09631F5C-1D1E-465A-BF3F-3D70385A6610}"/>
    <cellStyle name="Normal 5 2 2 3 2 2 3 2 3" xfId="11995" xr:uid="{E23A7184-83B0-4C8B-B8B0-7A64F5E1EB12}"/>
    <cellStyle name="Normal 5 2 2 3 2 2 3 3" xfId="5618" xr:uid="{00000000-0005-0000-0000-0000A0170000}"/>
    <cellStyle name="Normal 5 2 2 3 2 2 3 3 2" xfId="14068" xr:uid="{94FE8D47-915C-4E7D-8B94-814472494252}"/>
    <cellStyle name="Normal 5 2 2 3 2 2 3 4" xfId="9850" xr:uid="{9BFEA3AE-4B01-4401-8573-BEF09CC57A52}"/>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0241069A-AAEB-4C93-886F-8681C91B3A6E}"/>
    <cellStyle name="Normal 5 2 2 3 2 2 4 2 3" xfId="12408" xr:uid="{93059051-4910-45D7-AC79-F8B9D7A59460}"/>
    <cellStyle name="Normal 5 2 2 3 2 2 4 3" xfId="6031" xr:uid="{00000000-0005-0000-0000-0000A4170000}"/>
    <cellStyle name="Normal 5 2 2 3 2 2 4 3 2" xfId="14481" xr:uid="{A761A79E-B37C-440A-9313-6A2AB9D123BE}"/>
    <cellStyle name="Normal 5 2 2 3 2 2 4 4" xfId="10263" xr:uid="{22A73FFC-EA1C-42C3-B132-354F47B50E8C}"/>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AD272986-E1C5-4A3D-BEDA-C96948DD07CE}"/>
    <cellStyle name="Normal 5 2 2 3 2 2 5 2 3" xfId="12821" xr:uid="{1A8F6750-4A18-4224-9D13-727AAE7763F5}"/>
    <cellStyle name="Normal 5 2 2 3 2 2 5 3" xfId="6444" xr:uid="{00000000-0005-0000-0000-0000A8170000}"/>
    <cellStyle name="Normal 5 2 2 3 2 2 5 3 2" xfId="14894" xr:uid="{500CCB42-B661-458E-A1AA-AAD517AE50E3}"/>
    <cellStyle name="Normal 5 2 2 3 2 2 5 4" xfId="10676" xr:uid="{D2958060-C370-4401-AE83-F788C6207868}"/>
    <cellStyle name="Normal 5 2 2 3 2 2 6" xfId="2574" xr:uid="{00000000-0005-0000-0000-0000A9170000}"/>
    <cellStyle name="Normal 5 2 2 3 2 2 6 2" xfId="6857" xr:uid="{00000000-0005-0000-0000-0000AA170000}"/>
    <cellStyle name="Normal 5 2 2 3 2 2 6 2 2" xfId="15307" xr:uid="{2587EC5A-3070-462F-B21A-32DE530BA3B5}"/>
    <cellStyle name="Normal 5 2 2 3 2 2 6 3" xfId="11089" xr:uid="{38266BE9-A112-4014-9837-AB9B1D7370E3}"/>
    <cellStyle name="Normal 5 2 2 3 2 2 7" xfId="4792" xr:uid="{00000000-0005-0000-0000-0000AB170000}"/>
    <cellStyle name="Normal 5 2 2 3 2 2 7 2" xfId="13242" xr:uid="{B1040F32-4211-425A-806D-8F597B297FD5}"/>
    <cellStyle name="Normal 5 2 2 3 2 2 8" xfId="9024" xr:uid="{6CED1C8D-58FF-4AFF-B85C-A3860AA4B972}"/>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0AFEEB11-6D2C-4A76-9A4D-182B6BD3E1F0}"/>
    <cellStyle name="Normal 5 2 2 3 2 3 2 3" xfId="11581" xr:uid="{DD985F59-A42B-44F7-886E-5DE6EA5B9A34}"/>
    <cellStyle name="Normal 5 2 2 3 2 3 3" xfId="5204" xr:uid="{00000000-0005-0000-0000-0000AF170000}"/>
    <cellStyle name="Normal 5 2 2 3 2 3 3 2" xfId="13654" xr:uid="{9CD353EC-DB41-41D6-93C1-CD2A1F73AAE6}"/>
    <cellStyle name="Normal 5 2 2 3 2 3 4" xfId="9436" xr:uid="{51268D07-95F3-4D64-8558-6795D3AD1D23}"/>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F231608B-DFD5-4EBA-8A88-CA332283A88B}"/>
    <cellStyle name="Normal 5 2 2 3 2 4 2 3" xfId="11994" xr:uid="{609A87B5-99B0-49EE-92DF-A4FA6933978F}"/>
    <cellStyle name="Normal 5 2 2 3 2 4 3" xfId="5617" xr:uid="{00000000-0005-0000-0000-0000B3170000}"/>
    <cellStyle name="Normal 5 2 2 3 2 4 3 2" xfId="14067" xr:uid="{D8423BCB-0A16-4A04-A277-E5072F0D192C}"/>
    <cellStyle name="Normal 5 2 2 3 2 4 4" xfId="9849" xr:uid="{58C2A70C-1D95-4F29-AA14-B5B2CFE165F3}"/>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922D1ED8-57A7-4086-8909-832BBFD6F73E}"/>
    <cellStyle name="Normal 5 2 2 3 2 5 2 3" xfId="12407" xr:uid="{EAF15E17-AE09-4E53-A6CA-D800CA9E4751}"/>
    <cellStyle name="Normal 5 2 2 3 2 5 3" xfId="6030" xr:uid="{00000000-0005-0000-0000-0000B7170000}"/>
    <cellStyle name="Normal 5 2 2 3 2 5 3 2" xfId="14480" xr:uid="{6B8486B6-A4DC-4C66-A12B-211EC87F5A9A}"/>
    <cellStyle name="Normal 5 2 2 3 2 5 4" xfId="10262" xr:uid="{096E005D-29E3-4F8E-AE2E-5272B52BEA83}"/>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FFF0CBAB-2EAA-46DB-83D7-369F688D3B80}"/>
    <cellStyle name="Normal 5 2 2 3 2 6 2 3" xfId="12820" xr:uid="{C6573CA3-3B06-4B28-A5D5-8F1009FBC78F}"/>
    <cellStyle name="Normal 5 2 2 3 2 6 3" xfId="6443" xr:uid="{00000000-0005-0000-0000-0000BB170000}"/>
    <cellStyle name="Normal 5 2 2 3 2 6 3 2" xfId="14893" xr:uid="{BD0748D4-E59C-49A1-B0EA-3C2CD5758969}"/>
    <cellStyle name="Normal 5 2 2 3 2 6 4" xfId="10675" xr:uid="{81692F37-0925-4C80-A957-6CF662204650}"/>
    <cellStyle name="Normal 5 2 2 3 2 7" xfId="2573" xr:uid="{00000000-0005-0000-0000-0000BC170000}"/>
    <cellStyle name="Normal 5 2 2 3 2 7 2" xfId="6856" xr:uid="{00000000-0005-0000-0000-0000BD170000}"/>
    <cellStyle name="Normal 5 2 2 3 2 7 2 2" xfId="15306" xr:uid="{2B8DD68B-62A0-43F6-8BCC-FAD0556CACD1}"/>
    <cellStyle name="Normal 5 2 2 3 2 7 3" xfId="11088" xr:uid="{02299D9D-9628-4BC8-85A5-0FFF59B391FE}"/>
    <cellStyle name="Normal 5 2 2 3 2 8" xfId="4791" xr:uid="{00000000-0005-0000-0000-0000BE170000}"/>
    <cellStyle name="Normal 5 2 2 3 2 8 2" xfId="13241" xr:uid="{776300EE-051C-4C8E-B569-FE58E8599CA7}"/>
    <cellStyle name="Normal 5 2 2 3 2 9" xfId="9023" xr:uid="{D77F04A1-86F0-4793-A5D2-05B768538A0D}"/>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FDBF2087-0FAF-4724-AD01-AF3928AB66AA}"/>
    <cellStyle name="Normal 5 2 2 3 3 2 2 3" xfId="11583" xr:uid="{A5CFF3F2-AB8A-4A4E-8BB4-80AFA0188511}"/>
    <cellStyle name="Normal 5 2 2 3 3 2 3" xfId="5206" xr:uid="{00000000-0005-0000-0000-0000C3170000}"/>
    <cellStyle name="Normal 5 2 2 3 3 2 3 2" xfId="13656" xr:uid="{F678A343-A1B9-43A9-A101-880EA0F21E7F}"/>
    <cellStyle name="Normal 5 2 2 3 3 2 4" xfId="9438" xr:uid="{D036CD6F-4BB8-423D-A533-6C730D9322AF}"/>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B9611354-8017-4D4F-A3B6-F88E5E740AC5}"/>
    <cellStyle name="Normal 5 2 2 3 3 3 2 3" xfId="11996" xr:uid="{55E49F6D-1400-4580-9139-6FA78008139C}"/>
    <cellStyle name="Normal 5 2 2 3 3 3 3" xfId="5619" xr:uid="{00000000-0005-0000-0000-0000C7170000}"/>
    <cellStyle name="Normal 5 2 2 3 3 3 3 2" xfId="14069" xr:uid="{64601965-3F52-4352-9398-2C974EE233CC}"/>
    <cellStyle name="Normal 5 2 2 3 3 3 4" xfId="9851" xr:uid="{A3EC3887-540B-488C-BA7D-DBE80F269A96}"/>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643E96E4-1DB7-4823-BCBC-09D1D3ED7433}"/>
    <cellStyle name="Normal 5 2 2 3 3 4 2 3" xfId="12409" xr:uid="{69951A76-BEF1-4430-9FDE-E5011F748E71}"/>
    <cellStyle name="Normal 5 2 2 3 3 4 3" xfId="6032" xr:uid="{00000000-0005-0000-0000-0000CB170000}"/>
    <cellStyle name="Normal 5 2 2 3 3 4 3 2" xfId="14482" xr:uid="{6C55EA43-2106-4A5A-ADD3-EB70310A04D2}"/>
    <cellStyle name="Normal 5 2 2 3 3 4 4" xfId="10264" xr:uid="{A2FA48ED-CE89-4DE4-B04D-A58452794051}"/>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50DCEB73-6CD3-4878-9942-C496FF1BD0B0}"/>
    <cellStyle name="Normal 5 2 2 3 3 5 2 3" xfId="12822" xr:uid="{3CC63A00-DA22-45A9-95D4-3B25F21C57B5}"/>
    <cellStyle name="Normal 5 2 2 3 3 5 3" xfId="6445" xr:uid="{00000000-0005-0000-0000-0000CF170000}"/>
    <cellStyle name="Normal 5 2 2 3 3 5 3 2" xfId="14895" xr:uid="{D7EEC739-3D00-45E1-BA4C-D6D56CBF9489}"/>
    <cellStyle name="Normal 5 2 2 3 3 5 4" xfId="10677" xr:uid="{1658D2E7-6F4C-4B37-BA8E-B3164CBC5117}"/>
    <cellStyle name="Normal 5 2 2 3 3 6" xfId="2575" xr:uid="{00000000-0005-0000-0000-0000D0170000}"/>
    <cellStyle name="Normal 5 2 2 3 3 6 2" xfId="6858" xr:uid="{00000000-0005-0000-0000-0000D1170000}"/>
    <cellStyle name="Normal 5 2 2 3 3 6 2 2" xfId="15308" xr:uid="{66B06CC7-D57A-4B42-8E8E-B373416F2E70}"/>
    <cellStyle name="Normal 5 2 2 3 3 6 3" xfId="11090" xr:uid="{BD3EFD2D-4644-48F4-803B-1B9D6059526B}"/>
    <cellStyle name="Normal 5 2 2 3 3 7" xfId="4793" xr:uid="{00000000-0005-0000-0000-0000D2170000}"/>
    <cellStyle name="Normal 5 2 2 3 3 7 2" xfId="13243" xr:uid="{5E43029C-7438-436F-9900-B0E92436D942}"/>
    <cellStyle name="Normal 5 2 2 3 3 8" xfId="9025" xr:uid="{05F6BC06-64B6-4C6C-A7A5-E14D05BA8D11}"/>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FAD6D0C1-9FDF-438A-8359-57710D21102D}"/>
    <cellStyle name="Normal 5 2 2 3 4 2 3" xfId="11580" xr:uid="{A63E7485-7483-41C6-A63D-7816174C4FC1}"/>
    <cellStyle name="Normal 5 2 2 3 4 3" xfId="5203" xr:uid="{00000000-0005-0000-0000-0000D6170000}"/>
    <cellStyle name="Normal 5 2 2 3 4 3 2" xfId="13653" xr:uid="{9FA80792-5E62-4C02-9D64-42030B3334D8}"/>
    <cellStyle name="Normal 5 2 2 3 4 4" xfId="9435" xr:uid="{EC67700E-CA32-4591-B9D1-E803FB8F566E}"/>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A926B535-E2E4-441F-B101-31F41D8B104A}"/>
    <cellStyle name="Normal 5 2 2 3 5 2 3" xfId="11993" xr:uid="{DA224750-AE6B-4281-AF9D-B02D97F9CE95}"/>
    <cellStyle name="Normal 5 2 2 3 5 3" xfId="5616" xr:uid="{00000000-0005-0000-0000-0000DA170000}"/>
    <cellStyle name="Normal 5 2 2 3 5 3 2" xfId="14066" xr:uid="{751064E7-D563-41E5-A808-3E3FB73BF3A5}"/>
    <cellStyle name="Normal 5 2 2 3 5 4" xfId="9848" xr:uid="{C4D51A2F-A0E0-4216-A896-BEDC9C8AC54B}"/>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8FF130C0-1053-47A4-9106-439581CD839B}"/>
    <cellStyle name="Normal 5 2 2 3 6 2 3" xfId="12406" xr:uid="{B6AB8A24-2E76-4CAA-9018-F2E588B63874}"/>
    <cellStyle name="Normal 5 2 2 3 6 3" xfId="6029" xr:uid="{00000000-0005-0000-0000-0000DE170000}"/>
    <cellStyle name="Normal 5 2 2 3 6 3 2" xfId="14479" xr:uid="{AEDF62B8-6E3B-4CD3-B51B-9BDFDF877807}"/>
    <cellStyle name="Normal 5 2 2 3 6 4" xfId="10261" xr:uid="{3F300359-A9E1-47BB-B50F-9D091AB03654}"/>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9F9EE2B0-4768-44F7-BF20-FF943AC8A0B6}"/>
    <cellStyle name="Normal 5 2 2 3 7 2 3" xfId="12819" xr:uid="{70F6E6AB-66DB-441C-883C-73210EA9F808}"/>
    <cellStyle name="Normal 5 2 2 3 7 3" xfId="6442" xr:uid="{00000000-0005-0000-0000-0000E2170000}"/>
    <cellStyle name="Normal 5 2 2 3 7 3 2" xfId="14892" xr:uid="{4F5FE70F-1E5A-4095-BB0C-8D75C7D66633}"/>
    <cellStyle name="Normal 5 2 2 3 7 4" xfId="10674" xr:uid="{3398CF60-B1F2-4D35-9546-FE05DCA7F477}"/>
    <cellStyle name="Normal 5 2 2 3 8" xfId="2572" xr:uid="{00000000-0005-0000-0000-0000E3170000}"/>
    <cellStyle name="Normal 5 2 2 3 8 2" xfId="6855" xr:uid="{00000000-0005-0000-0000-0000E4170000}"/>
    <cellStyle name="Normal 5 2 2 3 8 2 2" xfId="15305" xr:uid="{E2808AAD-6AC6-457E-94AC-EB25D0B1FE7C}"/>
    <cellStyle name="Normal 5 2 2 3 8 3" xfId="11087" xr:uid="{7EEB3AE6-2392-4AE6-9896-FFD45C5EFF3A}"/>
    <cellStyle name="Normal 5 2 2 3 9" xfId="4790" xr:uid="{00000000-0005-0000-0000-0000E5170000}"/>
    <cellStyle name="Normal 5 2 2 3 9 2" xfId="13240" xr:uid="{0345C596-9CF0-4D4F-9E53-271A41CD1103}"/>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1F15EC69-6226-4E9B-8CC9-55501F04BCBC}"/>
    <cellStyle name="Normal 5 2 2 4 2 2 2 3" xfId="11585" xr:uid="{8E98EAD6-2CF4-4A26-95F5-809BE5F09C91}"/>
    <cellStyle name="Normal 5 2 2 4 2 2 3" xfId="5208" xr:uid="{00000000-0005-0000-0000-0000EB170000}"/>
    <cellStyle name="Normal 5 2 2 4 2 2 3 2" xfId="13658" xr:uid="{C7373667-9176-49F9-8B24-A9395BB76748}"/>
    <cellStyle name="Normal 5 2 2 4 2 2 4" xfId="9440" xr:uid="{576B6B52-4A2E-495C-AE72-A123526349A7}"/>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E5F9F2A0-0C2C-4F9E-B7F7-6A4DC7B6FCC0}"/>
    <cellStyle name="Normal 5 2 2 4 2 3 2 3" xfId="11998" xr:uid="{9E7CAC4E-C617-4255-85A3-B65022C1F6D8}"/>
    <cellStyle name="Normal 5 2 2 4 2 3 3" xfId="5621" xr:uid="{00000000-0005-0000-0000-0000EF170000}"/>
    <cellStyle name="Normal 5 2 2 4 2 3 3 2" xfId="14071" xr:uid="{60B0E72B-9C56-44AC-921E-8C4F20D616E9}"/>
    <cellStyle name="Normal 5 2 2 4 2 3 4" xfId="9853" xr:uid="{A0605BA2-88BC-4295-A90A-EAA784BBFAD9}"/>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9E40F9C5-CFC9-483F-AF7C-4D426BD4D5CD}"/>
    <cellStyle name="Normal 5 2 2 4 2 4 2 3" xfId="12411" xr:uid="{6FF070C9-94F6-4819-8E3B-EDBCBEEA412D}"/>
    <cellStyle name="Normal 5 2 2 4 2 4 3" xfId="6034" xr:uid="{00000000-0005-0000-0000-0000F3170000}"/>
    <cellStyle name="Normal 5 2 2 4 2 4 3 2" xfId="14484" xr:uid="{E292C0C8-0FEE-4897-A9FB-26F20F915221}"/>
    <cellStyle name="Normal 5 2 2 4 2 4 4" xfId="10266" xr:uid="{36B32E86-E981-408A-B1C7-ADCDCB690AEA}"/>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4DDFA9F9-C69D-45CB-A687-213EEE7D9B8E}"/>
    <cellStyle name="Normal 5 2 2 4 2 5 2 3" xfId="12824" xr:uid="{054B63BC-A0C0-431E-89AC-3F543BB96869}"/>
    <cellStyle name="Normal 5 2 2 4 2 5 3" xfId="6447" xr:uid="{00000000-0005-0000-0000-0000F7170000}"/>
    <cellStyle name="Normal 5 2 2 4 2 5 3 2" xfId="14897" xr:uid="{0852B7CA-F9DE-4E28-B516-B5A0C053971E}"/>
    <cellStyle name="Normal 5 2 2 4 2 5 4" xfId="10679" xr:uid="{F3F7213D-6FE0-480A-BFF9-9AD2F148E88A}"/>
    <cellStyle name="Normal 5 2 2 4 2 6" xfId="2577" xr:uid="{00000000-0005-0000-0000-0000F8170000}"/>
    <cellStyle name="Normal 5 2 2 4 2 6 2" xfId="6860" xr:uid="{00000000-0005-0000-0000-0000F9170000}"/>
    <cellStyle name="Normal 5 2 2 4 2 6 2 2" xfId="15310" xr:uid="{96E60FB0-31F1-48C8-934F-C4E13901F4A1}"/>
    <cellStyle name="Normal 5 2 2 4 2 6 3" xfId="11092" xr:uid="{EEB25C1E-27FC-4ABC-A10D-CB924F79B647}"/>
    <cellStyle name="Normal 5 2 2 4 2 7" xfId="4795" xr:uid="{00000000-0005-0000-0000-0000FA170000}"/>
    <cellStyle name="Normal 5 2 2 4 2 7 2" xfId="13245" xr:uid="{E20CD346-665F-4242-BF00-2851BD467098}"/>
    <cellStyle name="Normal 5 2 2 4 2 8" xfId="9027" xr:uid="{3C6B7A1B-40C2-4618-BE3A-E5269623B247}"/>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18F49D8B-538A-4F13-9018-516D7FC6EFDF}"/>
    <cellStyle name="Normal 5 2 2 4 3 2 3" xfId="11584" xr:uid="{9FD40671-EB92-4D68-A215-DF422402A028}"/>
    <cellStyle name="Normal 5 2 2 4 3 3" xfId="5207" xr:uid="{00000000-0005-0000-0000-0000FE170000}"/>
    <cellStyle name="Normal 5 2 2 4 3 3 2" xfId="13657" xr:uid="{0CC9D750-1A1A-425A-948C-D76FC8926148}"/>
    <cellStyle name="Normal 5 2 2 4 3 4" xfId="9439" xr:uid="{C38EBC5B-22E9-4A72-A6CF-6082391E1F0D}"/>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CE202A72-1E37-462B-A790-C1BE2A43A827}"/>
    <cellStyle name="Normal 5 2 2 4 4 2 3" xfId="11997" xr:uid="{7A2D95B0-D45E-4874-B0F5-38EA6D203437}"/>
    <cellStyle name="Normal 5 2 2 4 4 3" xfId="5620" xr:uid="{00000000-0005-0000-0000-000002180000}"/>
    <cellStyle name="Normal 5 2 2 4 4 3 2" xfId="14070" xr:uid="{86CE8E68-1F56-413E-922F-A4D14764F66D}"/>
    <cellStyle name="Normal 5 2 2 4 4 4" xfId="9852" xr:uid="{4CC60DA1-79E0-4EF1-BD92-2234D160E2C6}"/>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198AC1E0-032D-4646-947B-EFB2FD837ED6}"/>
    <cellStyle name="Normal 5 2 2 4 5 2 3" xfId="12410" xr:uid="{78080C6B-77E5-4DF9-B3C2-51CC8F96CBD7}"/>
    <cellStyle name="Normal 5 2 2 4 5 3" xfId="6033" xr:uid="{00000000-0005-0000-0000-000006180000}"/>
    <cellStyle name="Normal 5 2 2 4 5 3 2" xfId="14483" xr:uid="{AA9C5450-86EE-467C-A926-206E22D46A99}"/>
    <cellStyle name="Normal 5 2 2 4 5 4" xfId="10265" xr:uid="{1E26461E-E8CB-410F-8EFF-9833AFBA2126}"/>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A22A8192-107B-4D27-B5FE-FF5D2E38A042}"/>
    <cellStyle name="Normal 5 2 2 4 6 2 3" xfId="12823" xr:uid="{46108137-71E2-4AE9-B660-AE492F49A447}"/>
    <cellStyle name="Normal 5 2 2 4 6 3" xfId="6446" xr:uid="{00000000-0005-0000-0000-00000A180000}"/>
    <cellStyle name="Normal 5 2 2 4 6 3 2" xfId="14896" xr:uid="{61ADD791-5102-4C79-8733-3431CDCC1F4C}"/>
    <cellStyle name="Normal 5 2 2 4 6 4" xfId="10678" xr:uid="{9D86A346-9E5C-483D-81A5-78FE9F904D44}"/>
    <cellStyle name="Normal 5 2 2 4 7" xfId="2576" xr:uid="{00000000-0005-0000-0000-00000B180000}"/>
    <cellStyle name="Normal 5 2 2 4 7 2" xfId="6859" xr:uid="{00000000-0005-0000-0000-00000C180000}"/>
    <cellStyle name="Normal 5 2 2 4 7 2 2" xfId="15309" xr:uid="{62BF3E2D-4698-4CC7-9D79-C14703E1435F}"/>
    <cellStyle name="Normal 5 2 2 4 7 3" xfId="11091" xr:uid="{D07FED25-124A-4CA8-B9B7-274D2AD0C31E}"/>
    <cellStyle name="Normal 5 2 2 4 8" xfId="4794" xr:uid="{00000000-0005-0000-0000-00000D180000}"/>
    <cellStyle name="Normal 5 2 2 4 8 2" xfId="13244" xr:uid="{E9395297-87C0-41B7-965B-4FCBF9311269}"/>
    <cellStyle name="Normal 5 2 2 4 9" xfId="9026" xr:uid="{EB1EDEEC-CEB3-4A2D-AE92-EA531BAA673C}"/>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293A9B0F-3E50-46BB-B5CA-A07ECB7953A6}"/>
    <cellStyle name="Normal 5 2 2 5 2 2 3" xfId="11586" xr:uid="{4EB6851E-8289-44C7-9BFC-45BA77014B95}"/>
    <cellStyle name="Normal 5 2 2 5 2 3" xfId="5209" xr:uid="{00000000-0005-0000-0000-000012180000}"/>
    <cellStyle name="Normal 5 2 2 5 2 3 2" xfId="13659" xr:uid="{407653E5-B235-4E95-A36E-C989E46329B9}"/>
    <cellStyle name="Normal 5 2 2 5 2 4" xfId="9441" xr:uid="{BF1A10D6-6217-46EB-A933-27C91AADFD2E}"/>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7CB718A4-57C8-4108-9322-A8B99D5AF526}"/>
    <cellStyle name="Normal 5 2 2 5 3 2 3" xfId="11999" xr:uid="{80810E39-B2DE-4830-8501-4261461FCFCA}"/>
    <cellStyle name="Normal 5 2 2 5 3 3" xfId="5622" xr:uid="{00000000-0005-0000-0000-000016180000}"/>
    <cellStyle name="Normal 5 2 2 5 3 3 2" xfId="14072" xr:uid="{A45356E2-7BA2-4067-AA17-F927170C3E2A}"/>
    <cellStyle name="Normal 5 2 2 5 3 4" xfId="9854" xr:uid="{C12605DD-C0E9-4658-A86C-BC3FAF7D7F6D}"/>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5F789D80-67BB-495B-B441-7E4A3D73D052}"/>
    <cellStyle name="Normal 5 2 2 5 4 2 3" xfId="12412" xr:uid="{B2BDE748-D258-426B-9295-2CA82A8C5875}"/>
    <cellStyle name="Normal 5 2 2 5 4 3" xfId="6035" xr:uid="{00000000-0005-0000-0000-00001A180000}"/>
    <cellStyle name="Normal 5 2 2 5 4 3 2" xfId="14485" xr:uid="{0AD0FB45-9780-44B4-83EF-63D847FBF89C}"/>
    <cellStyle name="Normal 5 2 2 5 4 4" xfId="10267" xr:uid="{00D62A9A-7547-41CC-8ECD-559750F51F2D}"/>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42E28352-B8B8-4BF7-BEFB-AEBDC2637E8B}"/>
    <cellStyle name="Normal 5 2 2 5 5 2 3" xfId="12825" xr:uid="{8D12F15E-344F-4CBD-8853-2B09E2675B41}"/>
    <cellStyle name="Normal 5 2 2 5 5 3" xfId="6448" xr:uid="{00000000-0005-0000-0000-00001E180000}"/>
    <cellStyle name="Normal 5 2 2 5 5 3 2" xfId="14898" xr:uid="{01B9FDF0-D36A-47FF-81FA-093A322FC43E}"/>
    <cellStyle name="Normal 5 2 2 5 5 4" xfId="10680" xr:uid="{1743C509-06F7-4050-999A-C194BF5203A3}"/>
    <cellStyle name="Normal 5 2 2 5 6" xfId="2578" xr:uid="{00000000-0005-0000-0000-00001F180000}"/>
    <cellStyle name="Normal 5 2 2 5 6 2" xfId="6861" xr:uid="{00000000-0005-0000-0000-000020180000}"/>
    <cellStyle name="Normal 5 2 2 5 6 2 2" xfId="15311" xr:uid="{228B343C-030C-4F60-A53C-FEF983F8F21A}"/>
    <cellStyle name="Normal 5 2 2 5 6 3" xfId="11093" xr:uid="{2B33CD3C-79F3-4EF9-AAA4-B5C554D5B121}"/>
    <cellStyle name="Normal 5 2 2 5 7" xfId="4796" xr:uid="{00000000-0005-0000-0000-000021180000}"/>
    <cellStyle name="Normal 5 2 2 5 7 2" xfId="13246" xr:uid="{25637B8C-70A1-4148-B293-4280EE77A03A}"/>
    <cellStyle name="Normal 5 2 2 5 8" xfId="9028" xr:uid="{513E5D24-3866-4EBD-9405-D8CB91E5D80F}"/>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E8472C36-F2AF-43A3-96CC-5CB0F974488A}"/>
    <cellStyle name="Normal 5 2 2 6 2 3" xfId="11571" xr:uid="{942B0362-4D2F-4B09-ACDF-578E3E4C1D8B}"/>
    <cellStyle name="Normal 5 2 2 6 3" xfId="5194" xr:uid="{00000000-0005-0000-0000-000025180000}"/>
    <cellStyle name="Normal 5 2 2 6 3 2" xfId="13644" xr:uid="{0C3A5E70-BE97-44A8-81C5-539321482B0F}"/>
    <cellStyle name="Normal 5 2 2 6 4" xfId="9426" xr:uid="{246A9E97-171F-4B2B-8B51-72E7DEAF590D}"/>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8800108B-91A0-45C4-9FEF-77E1D5282892}"/>
    <cellStyle name="Normal 5 2 2 7 2 3" xfId="11984" xr:uid="{A06DF18F-DBD5-4DDE-B64D-A1D24400F58B}"/>
    <cellStyle name="Normal 5 2 2 7 3" xfId="5607" xr:uid="{00000000-0005-0000-0000-000029180000}"/>
    <cellStyle name="Normal 5 2 2 7 3 2" xfId="14057" xr:uid="{1247ED3D-B333-47A0-B8A3-A372A02BFAC7}"/>
    <cellStyle name="Normal 5 2 2 7 4" xfId="9839" xr:uid="{A4953014-D7BE-49A3-9AC0-5A37CD89A7BF}"/>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42E8517D-15B6-42F1-9D02-556313B83160}"/>
    <cellStyle name="Normal 5 2 2 8 2 3" xfId="12397" xr:uid="{7191A81A-40A5-48B1-8143-C8DB7230E70F}"/>
    <cellStyle name="Normal 5 2 2 8 3" xfId="6020" xr:uid="{00000000-0005-0000-0000-00002D180000}"/>
    <cellStyle name="Normal 5 2 2 8 3 2" xfId="14470" xr:uid="{F3118B0E-8D07-4BE9-ABCE-13F749B703F2}"/>
    <cellStyle name="Normal 5 2 2 8 4" xfId="10252" xr:uid="{5A2C4610-7081-431D-9610-8478FCDAFA67}"/>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90F6908E-19DA-4372-BDEA-65A51A35FA89}"/>
    <cellStyle name="Normal 5 2 2 9 2 3" xfId="12810" xr:uid="{BFB3A10A-B974-4978-A9AC-A2DD87205AFA}"/>
    <cellStyle name="Normal 5 2 2 9 3" xfId="6433" xr:uid="{00000000-0005-0000-0000-000031180000}"/>
    <cellStyle name="Normal 5 2 2 9 3 2" xfId="14883" xr:uid="{3C3E0AAA-E5AC-4230-8384-91F021AC205E}"/>
    <cellStyle name="Normal 5 2 2 9 4" xfId="10665" xr:uid="{56B074B3-54E0-42F4-B958-3A173E6ACC93}"/>
    <cellStyle name="Normal 5 2 3" xfId="424" xr:uid="{00000000-0005-0000-0000-000032180000}"/>
    <cellStyle name="Normal 5 2 3 10" xfId="4797" xr:uid="{00000000-0005-0000-0000-000033180000}"/>
    <cellStyle name="Normal 5 2 3 10 2" xfId="13247" xr:uid="{A7AB6D83-1DB5-41D0-98FC-630E8AC05B54}"/>
    <cellStyle name="Normal 5 2 3 11" xfId="9029" xr:uid="{317FC10F-9AE4-4CEC-A407-60D7F1BC707C}"/>
    <cellStyle name="Normal 5 2 3 2" xfId="425" xr:uid="{00000000-0005-0000-0000-000034180000}"/>
    <cellStyle name="Normal 5 2 3 2 10" xfId="9030" xr:uid="{68BCB2E9-5FDA-4D91-A2A7-1600AED49629}"/>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A8B0EC2F-D650-4487-806E-F257531ECCF1}"/>
    <cellStyle name="Normal 5 2 3 2 2 2 2 2 3" xfId="11590" xr:uid="{3A1B67E9-C771-448A-8160-7D1506131309}"/>
    <cellStyle name="Normal 5 2 3 2 2 2 2 3" xfId="5213" xr:uid="{00000000-0005-0000-0000-00003A180000}"/>
    <cellStyle name="Normal 5 2 3 2 2 2 2 3 2" xfId="13663" xr:uid="{624EE103-ECC9-495F-B189-75EE4741EB43}"/>
    <cellStyle name="Normal 5 2 3 2 2 2 2 4" xfId="9445" xr:uid="{BE5C1FF0-3A04-4A1A-B8AB-B485F851FD99}"/>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514530A2-C687-4CAF-9201-6B25BF8D95E8}"/>
    <cellStyle name="Normal 5 2 3 2 2 2 3 2 3" xfId="12003" xr:uid="{FEE63F5E-00DE-4020-96F6-C9D3540C0D61}"/>
    <cellStyle name="Normal 5 2 3 2 2 2 3 3" xfId="5626" xr:uid="{00000000-0005-0000-0000-00003E180000}"/>
    <cellStyle name="Normal 5 2 3 2 2 2 3 3 2" xfId="14076" xr:uid="{FAE6A3B4-5294-47DC-907E-70A7CBB36410}"/>
    <cellStyle name="Normal 5 2 3 2 2 2 3 4" xfId="9858" xr:uid="{8B1A516B-8726-4B0D-887B-E5B78F8390CB}"/>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0ED7BCCA-853A-44F9-8D3C-EFE674E9CDA2}"/>
    <cellStyle name="Normal 5 2 3 2 2 2 4 2 3" xfId="12416" xr:uid="{33EB2B9A-0BA5-4492-BDE6-8E6FE6EA5B06}"/>
    <cellStyle name="Normal 5 2 3 2 2 2 4 3" xfId="6039" xr:uid="{00000000-0005-0000-0000-000042180000}"/>
    <cellStyle name="Normal 5 2 3 2 2 2 4 3 2" xfId="14489" xr:uid="{D55EF1A5-C0ED-4CEA-9EFB-D5EBD1E29014}"/>
    <cellStyle name="Normal 5 2 3 2 2 2 4 4" xfId="10271" xr:uid="{7124D534-73DD-4661-8AAE-1E58C02B013C}"/>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9C01A9FF-3C9F-45E1-BB4A-691E2D13037F}"/>
    <cellStyle name="Normal 5 2 3 2 2 2 5 2 3" xfId="12829" xr:uid="{0D5A8A39-9A08-4CE9-BFAD-BDE45D6B6BEF}"/>
    <cellStyle name="Normal 5 2 3 2 2 2 5 3" xfId="6452" xr:uid="{00000000-0005-0000-0000-000046180000}"/>
    <cellStyle name="Normal 5 2 3 2 2 2 5 3 2" xfId="14902" xr:uid="{0DD2BDE2-E513-4575-BDDF-6CE8168D15D9}"/>
    <cellStyle name="Normal 5 2 3 2 2 2 5 4" xfId="10684" xr:uid="{96D15E0C-3F7F-46A3-B472-D0037FD74C15}"/>
    <cellStyle name="Normal 5 2 3 2 2 2 6" xfId="2582" xr:uid="{00000000-0005-0000-0000-000047180000}"/>
    <cellStyle name="Normal 5 2 3 2 2 2 6 2" xfId="6865" xr:uid="{00000000-0005-0000-0000-000048180000}"/>
    <cellStyle name="Normal 5 2 3 2 2 2 6 2 2" xfId="15315" xr:uid="{6318D8CB-B9A9-4B95-BE0A-D86B65E98FC3}"/>
    <cellStyle name="Normal 5 2 3 2 2 2 6 3" xfId="11097" xr:uid="{7DA355E6-64C2-4B24-ABCC-24EB1C5FDFE5}"/>
    <cellStyle name="Normal 5 2 3 2 2 2 7" xfId="4800" xr:uid="{00000000-0005-0000-0000-000049180000}"/>
    <cellStyle name="Normal 5 2 3 2 2 2 7 2" xfId="13250" xr:uid="{CAE35851-413A-4357-BF0E-25C5A6C5179B}"/>
    <cellStyle name="Normal 5 2 3 2 2 2 8" xfId="9032" xr:uid="{CECFD2CA-9B76-4215-9B63-3609259C45D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89C9E1F6-E523-426E-8866-7D300F2BDC72}"/>
    <cellStyle name="Normal 5 2 3 2 2 3 2 3" xfId="11589" xr:uid="{637509A0-026F-413A-8FD0-7FA8F93C5284}"/>
    <cellStyle name="Normal 5 2 3 2 2 3 3" xfId="5212" xr:uid="{00000000-0005-0000-0000-00004D180000}"/>
    <cellStyle name="Normal 5 2 3 2 2 3 3 2" xfId="13662" xr:uid="{812FEF03-7B73-40EC-A118-A2D8D3039BF4}"/>
    <cellStyle name="Normal 5 2 3 2 2 3 4" xfId="9444" xr:uid="{30186578-4E65-403D-8484-9724BACF4973}"/>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B82DDF8E-BCBB-4487-B7A2-3DD644694640}"/>
    <cellStyle name="Normal 5 2 3 2 2 4 2 3" xfId="12002" xr:uid="{B3CDB33C-8A91-4885-B0AD-D28BD4CAD92B}"/>
    <cellStyle name="Normal 5 2 3 2 2 4 3" xfId="5625" xr:uid="{00000000-0005-0000-0000-000051180000}"/>
    <cellStyle name="Normal 5 2 3 2 2 4 3 2" xfId="14075" xr:uid="{6ED0A8E5-068B-4C48-A2AD-439E988D0C59}"/>
    <cellStyle name="Normal 5 2 3 2 2 4 4" xfId="9857" xr:uid="{EA51C69D-0E95-4813-9505-676D33D0F74C}"/>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B3AF33E2-3E24-4527-A2E0-23D3E63D09D3}"/>
    <cellStyle name="Normal 5 2 3 2 2 5 2 3" xfId="12415" xr:uid="{523848EB-D305-4FA5-BA8A-168DC1E962FC}"/>
    <cellStyle name="Normal 5 2 3 2 2 5 3" xfId="6038" xr:uid="{00000000-0005-0000-0000-000055180000}"/>
    <cellStyle name="Normal 5 2 3 2 2 5 3 2" xfId="14488" xr:uid="{8E1AF124-B02D-435A-8EB1-301EB34E5339}"/>
    <cellStyle name="Normal 5 2 3 2 2 5 4" xfId="10270" xr:uid="{FD74B9A4-DA00-47A6-A43F-1F3707ADE786}"/>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E8F8ECC3-E2BC-4179-942D-92AE1C429A46}"/>
    <cellStyle name="Normal 5 2 3 2 2 6 2 3" xfId="12828" xr:uid="{AC16C9AA-EE3E-40A7-A35A-5869E9DABA85}"/>
    <cellStyle name="Normal 5 2 3 2 2 6 3" xfId="6451" xr:uid="{00000000-0005-0000-0000-000059180000}"/>
    <cellStyle name="Normal 5 2 3 2 2 6 3 2" xfId="14901" xr:uid="{7610FD97-1ABD-49F0-A10E-343CE613BE44}"/>
    <cellStyle name="Normal 5 2 3 2 2 6 4" xfId="10683" xr:uid="{BBD80F05-A9BF-4540-927B-2F75689557B7}"/>
    <cellStyle name="Normal 5 2 3 2 2 7" xfId="2581" xr:uid="{00000000-0005-0000-0000-00005A180000}"/>
    <cellStyle name="Normal 5 2 3 2 2 7 2" xfId="6864" xr:uid="{00000000-0005-0000-0000-00005B180000}"/>
    <cellStyle name="Normal 5 2 3 2 2 7 2 2" xfId="15314" xr:uid="{CCB7C9C4-DA02-4834-AFB8-1D9E0D5798EE}"/>
    <cellStyle name="Normal 5 2 3 2 2 7 3" xfId="11096" xr:uid="{5F1A0CA7-0131-40A2-8F44-BF730737E50C}"/>
    <cellStyle name="Normal 5 2 3 2 2 8" xfId="4799" xr:uid="{00000000-0005-0000-0000-00005C180000}"/>
    <cellStyle name="Normal 5 2 3 2 2 8 2" xfId="13249" xr:uid="{BB3CF507-60AF-43A2-A514-D9975ABA3DE1}"/>
    <cellStyle name="Normal 5 2 3 2 2 9" xfId="9031" xr:uid="{8F0853BC-9DB3-4E8D-AC31-D1D19F093CBE}"/>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30CE38F6-DD3F-41D2-84E7-C5E18AEFF95D}"/>
    <cellStyle name="Normal 5 2 3 2 3 2 2 3" xfId="11591" xr:uid="{885B1D31-59C6-41B2-AF22-021EA92902EE}"/>
    <cellStyle name="Normal 5 2 3 2 3 2 3" xfId="5214" xr:uid="{00000000-0005-0000-0000-000061180000}"/>
    <cellStyle name="Normal 5 2 3 2 3 2 3 2" xfId="13664" xr:uid="{F00641B1-53FB-4CB3-9ED9-6176534C3B08}"/>
    <cellStyle name="Normal 5 2 3 2 3 2 4" xfId="9446" xr:uid="{E26CEC70-CAE5-499B-814F-ED6A3CA6460E}"/>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941EE40E-E132-4B3F-BF96-2EC6817E2A3C}"/>
    <cellStyle name="Normal 5 2 3 2 3 3 2 3" xfId="12004" xr:uid="{B8AE1842-BA6B-483B-AB26-564947BA86BC}"/>
    <cellStyle name="Normal 5 2 3 2 3 3 3" xfId="5627" xr:uid="{00000000-0005-0000-0000-000065180000}"/>
    <cellStyle name="Normal 5 2 3 2 3 3 3 2" xfId="14077" xr:uid="{BF4ECD45-C1E4-43E6-BB4B-FC7647CD76B7}"/>
    <cellStyle name="Normal 5 2 3 2 3 3 4" xfId="9859" xr:uid="{86C969E8-9CAB-4BC5-8C4B-DD6EA6FD32C9}"/>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BC2B296E-7B9F-4BA8-BF73-FB1998A88173}"/>
    <cellStyle name="Normal 5 2 3 2 3 4 2 3" xfId="12417" xr:uid="{CF54C40A-4791-4280-8804-FE675918F50F}"/>
    <cellStyle name="Normal 5 2 3 2 3 4 3" xfId="6040" xr:uid="{00000000-0005-0000-0000-000069180000}"/>
    <cellStyle name="Normal 5 2 3 2 3 4 3 2" xfId="14490" xr:uid="{32125101-2EEB-44A9-B553-8E5289A17004}"/>
    <cellStyle name="Normal 5 2 3 2 3 4 4" xfId="10272" xr:uid="{E2A763E9-53DB-45FF-A849-748ED4A3D21A}"/>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B4C74F60-746E-4083-82C0-CEB62BD52CB3}"/>
    <cellStyle name="Normal 5 2 3 2 3 5 2 3" xfId="12830" xr:uid="{F27A136B-BC35-47E5-BFDA-263AEB742B49}"/>
    <cellStyle name="Normal 5 2 3 2 3 5 3" xfId="6453" xr:uid="{00000000-0005-0000-0000-00006D180000}"/>
    <cellStyle name="Normal 5 2 3 2 3 5 3 2" xfId="14903" xr:uid="{D51C0397-07F4-4360-AE67-B82FE9219938}"/>
    <cellStyle name="Normal 5 2 3 2 3 5 4" xfId="10685" xr:uid="{B1FCAE33-9813-420F-9305-E9ABEBFDCA83}"/>
    <cellStyle name="Normal 5 2 3 2 3 6" xfId="2583" xr:uid="{00000000-0005-0000-0000-00006E180000}"/>
    <cellStyle name="Normal 5 2 3 2 3 6 2" xfId="6866" xr:uid="{00000000-0005-0000-0000-00006F180000}"/>
    <cellStyle name="Normal 5 2 3 2 3 6 2 2" xfId="15316" xr:uid="{6DB152EB-7E70-46B9-8448-2EEBB4533335}"/>
    <cellStyle name="Normal 5 2 3 2 3 6 3" xfId="11098" xr:uid="{0E94DF98-8FC1-40FA-9F18-D4A1719EDE18}"/>
    <cellStyle name="Normal 5 2 3 2 3 7" xfId="4801" xr:uid="{00000000-0005-0000-0000-000070180000}"/>
    <cellStyle name="Normal 5 2 3 2 3 7 2" xfId="13251" xr:uid="{A4CB560A-B6F7-4E11-8CC2-4BBDB24672DA}"/>
    <cellStyle name="Normal 5 2 3 2 3 8" xfId="9033" xr:uid="{0FF15495-7AFB-4385-A484-1EA5A0C41DC2}"/>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8F2B4343-7749-455C-BD18-74FA30BF3DF5}"/>
    <cellStyle name="Normal 5 2 3 2 4 2 3" xfId="11588" xr:uid="{6561FAA8-6161-484D-8991-289468437EB0}"/>
    <cellStyle name="Normal 5 2 3 2 4 3" xfId="5211" xr:uid="{00000000-0005-0000-0000-000074180000}"/>
    <cellStyle name="Normal 5 2 3 2 4 3 2" xfId="13661" xr:uid="{805D5671-FEA2-4379-8CFB-9E9C60150084}"/>
    <cellStyle name="Normal 5 2 3 2 4 4" xfId="9443" xr:uid="{17979281-20C3-49F8-9586-8D8034BBFCA8}"/>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DA889C0D-06AB-42EF-9956-C0A53FF2C94E}"/>
    <cellStyle name="Normal 5 2 3 2 5 2 3" xfId="12001" xr:uid="{115EC90A-4D2E-49FB-A218-779BC8211659}"/>
    <cellStyle name="Normal 5 2 3 2 5 3" xfId="5624" xr:uid="{00000000-0005-0000-0000-000078180000}"/>
    <cellStyle name="Normal 5 2 3 2 5 3 2" xfId="14074" xr:uid="{2D989CF3-98EA-4620-ACBF-67B671DC3327}"/>
    <cellStyle name="Normal 5 2 3 2 5 4" xfId="9856" xr:uid="{445DD43E-A0BE-4D15-A925-3F2E73B4923B}"/>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F2209EB0-B963-4652-8252-F44909617101}"/>
    <cellStyle name="Normal 5 2 3 2 6 2 3" xfId="12414" xr:uid="{13F8E374-9A75-4F07-A553-0CEB5A8A22F7}"/>
    <cellStyle name="Normal 5 2 3 2 6 3" xfId="6037" xr:uid="{00000000-0005-0000-0000-00007C180000}"/>
    <cellStyle name="Normal 5 2 3 2 6 3 2" xfId="14487" xr:uid="{50BFD07D-1582-436E-83D8-A61E08B3012B}"/>
    <cellStyle name="Normal 5 2 3 2 6 4" xfId="10269" xr:uid="{C7BEB029-99FF-4939-9236-DCB475CD4324}"/>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AE5DE147-327F-44AE-85B2-81F1F7926EC5}"/>
    <cellStyle name="Normal 5 2 3 2 7 2 3" xfId="12827" xr:uid="{8EF7AE6E-9608-43B2-B998-84DDC455716F}"/>
    <cellStyle name="Normal 5 2 3 2 7 3" xfId="6450" xr:uid="{00000000-0005-0000-0000-000080180000}"/>
    <cellStyle name="Normal 5 2 3 2 7 3 2" xfId="14900" xr:uid="{5C178B2C-F740-449D-A0F0-0EA79F24330A}"/>
    <cellStyle name="Normal 5 2 3 2 7 4" xfId="10682" xr:uid="{FD8B23E0-B996-485F-A4EB-41888A9CDC5F}"/>
    <cellStyle name="Normal 5 2 3 2 8" xfId="2580" xr:uid="{00000000-0005-0000-0000-000081180000}"/>
    <cellStyle name="Normal 5 2 3 2 8 2" xfId="6863" xr:uid="{00000000-0005-0000-0000-000082180000}"/>
    <cellStyle name="Normal 5 2 3 2 8 2 2" xfId="15313" xr:uid="{0275113C-F26D-4F45-A668-EAA6E8F91652}"/>
    <cellStyle name="Normal 5 2 3 2 8 3" xfId="11095" xr:uid="{FFD5C1A3-8B72-4202-B390-0FB63704833B}"/>
    <cellStyle name="Normal 5 2 3 2 9" xfId="4798" xr:uid="{00000000-0005-0000-0000-000083180000}"/>
    <cellStyle name="Normal 5 2 3 2 9 2" xfId="13248" xr:uid="{F1675EF2-E5BD-49CC-8F5F-8757A0BF4A4C}"/>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BA54EFAD-72C9-4835-8EEC-F3C5C6927692}"/>
    <cellStyle name="Normal 5 2 3 3 2 2 2 3" xfId="11593" xr:uid="{E18D7329-B05A-463A-B6DB-70D0699CD267}"/>
    <cellStyle name="Normal 5 2 3 3 2 2 3" xfId="5216" xr:uid="{00000000-0005-0000-0000-000089180000}"/>
    <cellStyle name="Normal 5 2 3 3 2 2 3 2" xfId="13666" xr:uid="{D035DB97-BE54-476B-864F-6C3432CB1AFD}"/>
    <cellStyle name="Normal 5 2 3 3 2 2 4" xfId="9448" xr:uid="{C3D5AF83-CAF2-4D25-B405-B06DA144E883}"/>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941719DC-B255-4110-93E0-982F03793583}"/>
    <cellStyle name="Normal 5 2 3 3 2 3 2 3" xfId="12006" xr:uid="{DF99788C-C55D-4870-B35C-C43FBE78E1A3}"/>
    <cellStyle name="Normal 5 2 3 3 2 3 3" xfId="5629" xr:uid="{00000000-0005-0000-0000-00008D180000}"/>
    <cellStyle name="Normal 5 2 3 3 2 3 3 2" xfId="14079" xr:uid="{93BF4672-D2EF-4DD9-924E-37FEE731029F}"/>
    <cellStyle name="Normal 5 2 3 3 2 3 4" xfId="9861" xr:uid="{455978AC-9863-4E91-B05A-4DA3E4D5D409}"/>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5ADF8AFB-3689-4133-A7E6-6D51BB114F5D}"/>
    <cellStyle name="Normal 5 2 3 3 2 4 2 3" xfId="12419" xr:uid="{AA47425E-5989-4204-8BB6-CDBC7DD3DDF5}"/>
    <cellStyle name="Normal 5 2 3 3 2 4 3" xfId="6042" xr:uid="{00000000-0005-0000-0000-000091180000}"/>
    <cellStyle name="Normal 5 2 3 3 2 4 3 2" xfId="14492" xr:uid="{05471202-736D-4C7E-8549-9DD6146D9D65}"/>
    <cellStyle name="Normal 5 2 3 3 2 4 4" xfId="10274" xr:uid="{B5A6323D-9088-4365-847B-6DBD36CAB834}"/>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754FF2DA-BFB3-4982-B646-641BAB3556AA}"/>
    <cellStyle name="Normal 5 2 3 3 2 5 2 3" xfId="12832" xr:uid="{5517593D-8BEC-4759-AE72-82DB879220E3}"/>
    <cellStyle name="Normal 5 2 3 3 2 5 3" xfId="6455" xr:uid="{00000000-0005-0000-0000-000095180000}"/>
    <cellStyle name="Normal 5 2 3 3 2 5 3 2" xfId="14905" xr:uid="{0551DFE3-3D4C-4475-AE29-9D23143F6B87}"/>
    <cellStyle name="Normal 5 2 3 3 2 5 4" xfId="10687" xr:uid="{3BF545EE-1508-447D-BC51-427A70AD3D90}"/>
    <cellStyle name="Normal 5 2 3 3 2 6" xfId="2585" xr:uid="{00000000-0005-0000-0000-000096180000}"/>
    <cellStyle name="Normal 5 2 3 3 2 6 2" xfId="6868" xr:uid="{00000000-0005-0000-0000-000097180000}"/>
    <cellStyle name="Normal 5 2 3 3 2 6 2 2" xfId="15318" xr:uid="{0F916C82-8550-4024-BE2F-B5703305A674}"/>
    <cellStyle name="Normal 5 2 3 3 2 6 3" xfId="11100" xr:uid="{FDE41F9B-2549-4B90-8A53-B31C875F144F}"/>
    <cellStyle name="Normal 5 2 3 3 2 7" xfId="4803" xr:uid="{00000000-0005-0000-0000-000098180000}"/>
    <cellStyle name="Normal 5 2 3 3 2 7 2" xfId="13253" xr:uid="{67EA2BAA-2FF8-4C36-95AA-F470EB4B2184}"/>
    <cellStyle name="Normal 5 2 3 3 2 8" xfId="9035" xr:uid="{2DD87B65-A062-41FE-9EB7-55AB612DEF85}"/>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05FD1710-EA72-4379-B8BA-86A181A4A65D}"/>
    <cellStyle name="Normal 5 2 3 3 3 2 3" xfId="11592" xr:uid="{AA966AA2-8852-42B1-9C5B-AD41581C4871}"/>
    <cellStyle name="Normal 5 2 3 3 3 3" xfId="5215" xr:uid="{00000000-0005-0000-0000-00009C180000}"/>
    <cellStyle name="Normal 5 2 3 3 3 3 2" xfId="13665" xr:uid="{8345F92F-598F-4E80-9BF2-AC1E5635A5B8}"/>
    <cellStyle name="Normal 5 2 3 3 3 4" xfId="9447" xr:uid="{32EBC395-F834-4AAD-AE87-926C09120692}"/>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11B25629-F595-47CB-8BA7-BA676F635362}"/>
    <cellStyle name="Normal 5 2 3 3 4 2 3" xfId="12005" xr:uid="{54F962E5-4460-4502-AA4F-0DAC19648885}"/>
    <cellStyle name="Normal 5 2 3 3 4 3" xfId="5628" xr:uid="{00000000-0005-0000-0000-0000A0180000}"/>
    <cellStyle name="Normal 5 2 3 3 4 3 2" xfId="14078" xr:uid="{03CCE6CF-46CA-4F78-8F57-8660B7C708D5}"/>
    <cellStyle name="Normal 5 2 3 3 4 4" xfId="9860" xr:uid="{8BFE9644-F531-477A-BFC4-689D6C591B3E}"/>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2ECAD3A5-BA17-4140-B96A-7B2D99D2047A}"/>
    <cellStyle name="Normal 5 2 3 3 5 2 3" xfId="12418" xr:uid="{AC402FEE-1C0C-4307-8FC8-F12CF0F86016}"/>
    <cellStyle name="Normal 5 2 3 3 5 3" xfId="6041" xr:uid="{00000000-0005-0000-0000-0000A4180000}"/>
    <cellStyle name="Normal 5 2 3 3 5 3 2" xfId="14491" xr:uid="{769DAA59-5982-4DA5-AD8D-396F070AE939}"/>
    <cellStyle name="Normal 5 2 3 3 5 4" xfId="10273" xr:uid="{0E6D3992-F7FA-46CE-8522-963B98DBA44D}"/>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B554A766-8245-434A-8A14-7B7008B0C49C}"/>
    <cellStyle name="Normal 5 2 3 3 6 2 3" xfId="12831" xr:uid="{97913C2D-8952-47E1-B609-3F32C763F65D}"/>
    <cellStyle name="Normal 5 2 3 3 6 3" xfId="6454" xr:uid="{00000000-0005-0000-0000-0000A8180000}"/>
    <cellStyle name="Normal 5 2 3 3 6 3 2" xfId="14904" xr:uid="{24AEBCAF-D9A3-464D-9D01-021E218D545E}"/>
    <cellStyle name="Normal 5 2 3 3 6 4" xfId="10686" xr:uid="{90C30453-4360-4644-9059-D9E6459EFD5C}"/>
    <cellStyle name="Normal 5 2 3 3 7" xfId="2584" xr:uid="{00000000-0005-0000-0000-0000A9180000}"/>
    <cellStyle name="Normal 5 2 3 3 7 2" xfId="6867" xr:uid="{00000000-0005-0000-0000-0000AA180000}"/>
    <cellStyle name="Normal 5 2 3 3 7 2 2" xfId="15317" xr:uid="{4EC03651-DFD0-4019-97C2-8FA003A9ECF5}"/>
    <cellStyle name="Normal 5 2 3 3 7 3" xfId="11099" xr:uid="{3E36DCDE-1F5D-41E4-B953-9E16066FE3F0}"/>
    <cellStyle name="Normal 5 2 3 3 8" xfId="4802" xr:uid="{00000000-0005-0000-0000-0000AB180000}"/>
    <cellStyle name="Normal 5 2 3 3 8 2" xfId="13252" xr:uid="{CB95ED5E-4128-48E2-8ECE-F956219BA43B}"/>
    <cellStyle name="Normal 5 2 3 3 9" xfId="9034" xr:uid="{97890921-AC2E-4027-B3A3-786797CD5E84}"/>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93790137-9F57-4308-B4D1-9840F176D431}"/>
    <cellStyle name="Normal 5 2 3 4 2 2 3" xfId="11594" xr:uid="{23C1C739-B8FD-4AFC-808D-4D42483A2951}"/>
    <cellStyle name="Normal 5 2 3 4 2 3" xfId="5217" xr:uid="{00000000-0005-0000-0000-0000B0180000}"/>
    <cellStyle name="Normal 5 2 3 4 2 3 2" xfId="13667" xr:uid="{39EBEC5B-266C-4D44-87B4-8F295EF76684}"/>
    <cellStyle name="Normal 5 2 3 4 2 4" xfId="9449" xr:uid="{D0D9A9B2-0D62-421F-9B37-A5561F58388E}"/>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AAD84766-4EF4-45D9-816B-31052C823F3F}"/>
    <cellStyle name="Normal 5 2 3 4 3 2 3" xfId="12007" xr:uid="{4392DEC0-9548-46F7-A6F4-CD8C00721FC7}"/>
    <cellStyle name="Normal 5 2 3 4 3 3" xfId="5630" xr:uid="{00000000-0005-0000-0000-0000B4180000}"/>
    <cellStyle name="Normal 5 2 3 4 3 3 2" xfId="14080" xr:uid="{39F39495-A188-4F83-BABA-4D1DE9CDA276}"/>
    <cellStyle name="Normal 5 2 3 4 3 4" xfId="9862" xr:uid="{084E3A57-994F-49D1-BA71-7FEFE88407B8}"/>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CDCE802C-17AC-4A63-9A1C-77324B34D0E4}"/>
    <cellStyle name="Normal 5 2 3 4 4 2 3" xfId="12420" xr:uid="{FABF8BC3-EF64-44C3-85A7-5E8C24420452}"/>
    <cellStyle name="Normal 5 2 3 4 4 3" xfId="6043" xr:uid="{00000000-0005-0000-0000-0000B8180000}"/>
    <cellStyle name="Normal 5 2 3 4 4 3 2" xfId="14493" xr:uid="{291D2155-0DFB-41E5-B53F-D7D88B4B1493}"/>
    <cellStyle name="Normal 5 2 3 4 4 4" xfId="10275" xr:uid="{4AED3362-D09B-4CDC-A9F5-526FE86C29FC}"/>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FB5854D5-C240-4E77-86E3-9D8D94CBBB4E}"/>
    <cellStyle name="Normal 5 2 3 4 5 2 3" xfId="12833" xr:uid="{91D32B54-AB27-4AA4-B0E7-3004C3C65B71}"/>
    <cellStyle name="Normal 5 2 3 4 5 3" xfId="6456" xr:uid="{00000000-0005-0000-0000-0000BC180000}"/>
    <cellStyle name="Normal 5 2 3 4 5 3 2" xfId="14906" xr:uid="{FA5ADFBC-9E56-4D88-93A3-0F77D7EA27C2}"/>
    <cellStyle name="Normal 5 2 3 4 5 4" xfId="10688" xr:uid="{AAAD4992-1C8F-4C22-870F-F103C9712166}"/>
    <cellStyle name="Normal 5 2 3 4 6" xfId="2586" xr:uid="{00000000-0005-0000-0000-0000BD180000}"/>
    <cellStyle name="Normal 5 2 3 4 6 2" xfId="6869" xr:uid="{00000000-0005-0000-0000-0000BE180000}"/>
    <cellStyle name="Normal 5 2 3 4 6 2 2" xfId="15319" xr:uid="{86B3C663-B3B9-45BC-856E-F33A5DC32669}"/>
    <cellStyle name="Normal 5 2 3 4 6 3" xfId="11101" xr:uid="{E83D69A5-20D8-4EA2-A7BA-B079B858966C}"/>
    <cellStyle name="Normal 5 2 3 4 7" xfId="4804" xr:uid="{00000000-0005-0000-0000-0000BF180000}"/>
    <cellStyle name="Normal 5 2 3 4 7 2" xfId="13254" xr:uid="{E8CCC7E7-CDF9-4BDC-892F-E3911618DFCE}"/>
    <cellStyle name="Normal 5 2 3 4 8" xfId="9036" xr:uid="{1AB4E4C6-A78C-44E6-981E-B358D7A33299}"/>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5273B954-C681-4F28-892F-49912A11E19E}"/>
    <cellStyle name="Normal 5 2 3 5 2 3" xfId="11587" xr:uid="{05B00170-336B-4288-B679-CF4B138DC8F1}"/>
    <cellStyle name="Normal 5 2 3 5 3" xfId="5210" xr:uid="{00000000-0005-0000-0000-0000C3180000}"/>
    <cellStyle name="Normal 5 2 3 5 3 2" xfId="13660" xr:uid="{B46322C0-06E0-4237-95C1-198EBD8B61D0}"/>
    <cellStyle name="Normal 5 2 3 5 4" xfId="9442" xr:uid="{51AD211A-9C02-4C93-8ADB-9AF7C98CCF08}"/>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14BFB556-BE9B-4A76-8CCD-60077F437FC5}"/>
    <cellStyle name="Normal 5 2 3 6 2 3" xfId="12000" xr:uid="{CBE44671-CEBD-49D7-BF32-E8CA465069F4}"/>
    <cellStyle name="Normal 5 2 3 6 3" xfId="5623" xr:uid="{00000000-0005-0000-0000-0000C7180000}"/>
    <cellStyle name="Normal 5 2 3 6 3 2" xfId="14073" xr:uid="{64C558D0-37BA-4CEF-9598-0A20974F7B0F}"/>
    <cellStyle name="Normal 5 2 3 6 4" xfId="9855" xr:uid="{709B2245-57D7-4DE4-825F-EDDD2DEDF47D}"/>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369DD1DF-6AF8-43A1-9179-E8B26682C97E}"/>
    <cellStyle name="Normal 5 2 3 7 2 3" xfId="12413" xr:uid="{3C9A26AE-E5B0-438E-86F8-25AE2E9B4AAB}"/>
    <cellStyle name="Normal 5 2 3 7 3" xfId="6036" xr:uid="{00000000-0005-0000-0000-0000CB180000}"/>
    <cellStyle name="Normal 5 2 3 7 3 2" xfId="14486" xr:uid="{A3514A1A-6392-4B24-84DB-0ADAE84063AF}"/>
    <cellStyle name="Normal 5 2 3 7 4" xfId="10268" xr:uid="{FA92EA8A-73FF-44D4-8192-9DEA87B985E4}"/>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2DB35529-10E1-4D46-B372-8A6B3B9EC591}"/>
    <cellStyle name="Normal 5 2 3 8 2 3" xfId="12826" xr:uid="{DCE6EE61-D150-462A-97C1-86E6E633C8A0}"/>
    <cellStyle name="Normal 5 2 3 8 3" xfId="6449" xr:uid="{00000000-0005-0000-0000-0000CF180000}"/>
    <cellStyle name="Normal 5 2 3 8 3 2" xfId="14899" xr:uid="{A42BE734-E295-4881-AE91-8EE7B0D3D047}"/>
    <cellStyle name="Normal 5 2 3 8 4" xfId="10681" xr:uid="{3A39BB5D-C4A5-4B66-BAD6-C0D308639796}"/>
    <cellStyle name="Normal 5 2 3 9" xfId="2579" xr:uid="{00000000-0005-0000-0000-0000D0180000}"/>
    <cellStyle name="Normal 5 2 3 9 2" xfId="6862" xr:uid="{00000000-0005-0000-0000-0000D1180000}"/>
    <cellStyle name="Normal 5 2 3 9 2 2" xfId="15312" xr:uid="{477032A0-AD11-4AD2-9547-29C97F2153B6}"/>
    <cellStyle name="Normal 5 2 3 9 3" xfId="11094" xr:uid="{1B217ED1-9217-4DD1-983A-FD098906C61B}"/>
    <cellStyle name="Normal 5 2 4" xfId="432" xr:uid="{00000000-0005-0000-0000-0000D2180000}"/>
    <cellStyle name="Normal 5 2 4 10" xfId="9037" xr:uid="{9BB5568B-2B87-4EBE-90CD-ABF0B59F9451}"/>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A3761886-0035-4DE5-ACC7-36101D40418A}"/>
    <cellStyle name="Normal 5 2 4 2 2 2 2 3" xfId="11597" xr:uid="{A1910128-73BD-43BE-8657-FDC5A0E36B59}"/>
    <cellStyle name="Normal 5 2 4 2 2 2 3" xfId="5220" xr:uid="{00000000-0005-0000-0000-0000D8180000}"/>
    <cellStyle name="Normal 5 2 4 2 2 2 3 2" xfId="13670" xr:uid="{3DFB943A-54CA-456A-9B1D-46BBAD2F3DD7}"/>
    <cellStyle name="Normal 5 2 4 2 2 2 4" xfId="9452" xr:uid="{7AA77CF4-AD2A-4206-82FF-0CB4C82AD4A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C4740118-C8CE-44A3-BEBB-FE1DE5B8D886}"/>
    <cellStyle name="Normal 5 2 4 2 2 3 2 3" xfId="12010" xr:uid="{894A2902-4179-4CA8-AA1C-B533B30C034B}"/>
    <cellStyle name="Normal 5 2 4 2 2 3 3" xfId="5633" xr:uid="{00000000-0005-0000-0000-0000DC180000}"/>
    <cellStyle name="Normal 5 2 4 2 2 3 3 2" xfId="14083" xr:uid="{C34E8BC8-A4A4-4425-8FB9-7E51F01E171A}"/>
    <cellStyle name="Normal 5 2 4 2 2 3 4" xfId="9865" xr:uid="{9629EA8B-A65E-4A84-AF54-18AAB000AB01}"/>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83FE397F-620A-405E-BADC-375FF93321A7}"/>
    <cellStyle name="Normal 5 2 4 2 2 4 2 3" xfId="12423" xr:uid="{D5A9DC60-D9F2-4C4F-89C5-14625231C647}"/>
    <cellStyle name="Normal 5 2 4 2 2 4 3" xfId="6046" xr:uid="{00000000-0005-0000-0000-0000E0180000}"/>
    <cellStyle name="Normal 5 2 4 2 2 4 3 2" xfId="14496" xr:uid="{0542FB06-A4A4-470F-BB29-F4056FCD6333}"/>
    <cellStyle name="Normal 5 2 4 2 2 4 4" xfId="10278" xr:uid="{DFDA7976-BCB4-4AEE-A15B-AEF6085B0CF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9262E0CF-D3A0-4224-A301-13F6CFD2FD11}"/>
    <cellStyle name="Normal 5 2 4 2 2 5 2 3" xfId="12836" xr:uid="{6ECC552C-7EFC-4316-9277-455C540B56B5}"/>
    <cellStyle name="Normal 5 2 4 2 2 5 3" xfId="6459" xr:uid="{00000000-0005-0000-0000-0000E4180000}"/>
    <cellStyle name="Normal 5 2 4 2 2 5 3 2" xfId="14909" xr:uid="{7D10B116-C2FD-447A-89DE-BDF2355DA78A}"/>
    <cellStyle name="Normal 5 2 4 2 2 5 4" xfId="10691" xr:uid="{458AE6EB-0B63-40C0-864C-632506702E5B}"/>
    <cellStyle name="Normal 5 2 4 2 2 6" xfId="2589" xr:uid="{00000000-0005-0000-0000-0000E5180000}"/>
    <cellStyle name="Normal 5 2 4 2 2 6 2" xfId="6872" xr:uid="{00000000-0005-0000-0000-0000E6180000}"/>
    <cellStyle name="Normal 5 2 4 2 2 6 2 2" xfId="15322" xr:uid="{19D397D8-B9A8-4A6A-BD6D-4387C7768CB7}"/>
    <cellStyle name="Normal 5 2 4 2 2 6 3" xfId="11104" xr:uid="{B482813A-4DF2-4199-AF60-432F657D1B41}"/>
    <cellStyle name="Normal 5 2 4 2 2 7" xfId="4807" xr:uid="{00000000-0005-0000-0000-0000E7180000}"/>
    <cellStyle name="Normal 5 2 4 2 2 7 2" xfId="13257" xr:uid="{E5639CBE-BF0B-4699-903B-10A4C97DD9B1}"/>
    <cellStyle name="Normal 5 2 4 2 2 8" xfId="9039" xr:uid="{2A0A8477-43E5-422C-992B-709BEABF3D78}"/>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844C2C65-5DA5-4A31-AD22-47BE7AE7B50C}"/>
    <cellStyle name="Normal 5 2 4 2 3 2 3" xfId="11596" xr:uid="{E40DACA2-CD96-46C0-8B10-C7CF1C4C0905}"/>
    <cellStyle name="Normal 5 2 4 2 3 3" xfId="5219" xr:uid="{00000000-0005-0000-0000-0000EB180000}"/>
    <cellStyle name="Normal 5 2 4 2 3 3 2" xfId="13669" xr:uid="{0E317C41-8DA4-4C4A-AA8E-AA0DF21FF925}"/>
    <cellStyle name="Normal 5 2 4 2 3 4" xfId="9451" xr:uid="{03ED3159-B913-4DD6-9058-C05712745A50}"/>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3F6E6CED-B487-4F1E-A38C-4468DE71B041}"/>
    <cellStyle name="Normal 5 2 4 2 4 2 3" xfId="12009" xr:uid="{EA1103C5-5720-4604-8B30-91EF6938F842}"/>
    <cellStyle name="Normal 5 2 4 2 4 3" xfId="5632" xr:uid="{00000000-0005-0000-0000-0000EF180000}"/>
    <cellStyle name="Normal 5 2 4 2 4 3 2" xfId="14082" xr:uid="{3AFEB659-CEB6-4891-B557-5F8243557864}"/>
    <cellStyle name="Normal 5 2 4 2 4 4" xfId="9864" xr:uid="{FBE44E93-DA03-4228-929F-792F948EB6EB}"/>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4EB1110E-AD64-448C-B42A-E5C9F4676754}"/>
    <cellStyle name="Normal 5 2 4 2 5 2 3" xfId="12422" xr:uid="{27EE0564-7D22-44E0-8EA0-B3E742E16282}"/>
    <cellStyle name="Normal 5 2 4 2 5 3" xfId="6045" xr:uid="{00000000-0005-0000-0000-0000F3180000}"/>
    <cellStyle name="Normal 5 2 4 2 5 3 2" xfId="14495" xr:uid="{02828391-43B2-4724-9AB6-4D113F40F687}"/>
    <cellStyle name="Normal 5 2 4 2 5 4" xfId="10277" xr:uid="{1DEC97B2-7629-46DA-A6BC-037732E8DFB7}"/>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7632C4B7-74F1-46C5-8BDC-43E6729C6209}"/>
    <cellStyle name="Normal 5 2 4 2 6 2 3" xfId="12835" xr:uid="{B956B1C7-7E53-4FD1-A5AD-C1A70EFE7BBB}"/>
    <cellStyle name="Normal 5 2 4 2 6 3" xfId="6458" xr:uid="{00000000-0005-0000-0000-0000F7180000}"/>
    <cellStyle name="Normal 5 2 4 2 6 3 2" xfId="14908" xr:uid="{8B48B33E-E511-4000-862A-81007869E48E}"/>
    <cellStyle name="Normal 5 2 4 2 6 4" xfId="10690" xr:uid="{C4538A03-575F-49E3-AE38-E261017EF044}"/>
    <cellStyle name="Normal 5 2 4 2 7" xfId="2588" xr:uid="{00000000-0005-0000-0000-0000F8180000}"/>
    <cellStyle name="Normal 5 2 4 2 7 2" xfId="6871" xr:uid="{00000000-0005-0000-0000-0000F9180000}"/>
    <cellStyle name="Normal 5 2 4 2 7 2 2" xfId="15321" xr:uid="{A20A0D8C-A76F-47F7-9606-F1A027AEF941}"/>
    <cellStyle name="Normal 5 2 4 2 7 3" xfId="11103" xr:uid="{FCAF8BFA-1C43-4870-B969-C52057814FB8}"/>
    <cellStyle name="Normal 5 2 4 2 8" xfId="4806" xr:uid="{00000000-0005-0000-0000-0000FA180000}"/>
    <cellStyle name="Normal 5 2 4 2 8 2" xfId="13256" xr:uid="{D0A5566F-44FE-44DF-938B-5162409C2FAB}"/>
    <cellStyle name="Normal 5 2 4 2 9" xfId="9038" xr:uid="{7D42A9F6-970C-4A45-981B-BC6D1D237F59}"/>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5BE40D5D-96FF-4586-8D76-FE0FE889E4F5}"/>
    <cellStyle name="Normal 5 2 4 3 2 2 3" xfId="11598" xr:uid="{5E0AA306-512B-4C4C-9815-B7BF17A9B58D}"/>
    <cellStyle name="Normal 5 2 4 3 2 3" xfId="5221" xr:uid="{00000000-0005-0000-0000-0000FF180000}"/>
    <cellStyle name="Normal 5 2 4 3 2 3 2" xfId="13671" xr:uid="{7C52C3E2-102B-4277-83C4-26995980F4C6}"/>
    <cellStyle name="Normal 5 2 4 3 2 4" xfId="9453" xr:uid="{D7E24D1B-B6B5-41F4-B2A4-0FFEB679F99D}"/>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00BC690F-0464-4C3C-8854-40BDFF77028D}"/>
    <cellStyle name="Normal 5 2 4 3 3 2 3" xfId="12011" xr:uid="{034A20F7-84AF-4A51-9B9E-1D1D8004091F}"/>
    <cellStyle name="Normal 5 2 4 3 3 3" xfId="5634" xr:uid="{00000000-0005-0000-0000-000003190000}"/>
    <cellStyle name="Normal 5 2 4 3 3 3 2" xfId="14084" xr:uid="{A788F238-F1FD-4BC3-A273-63FB51A8BD37}"/>
    <cellStyle name="Normal 5 2 4 3 3 4" xfId="9866" xr:uid="{63460319-9E67-480B-89C1-3132164669F0}"/>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4E64F2C7-ADAF-4A11-8548-45AF5D85FDA6}"/>
    <cellStyle name="Normal 5 2 4 3 4 2 3" xfId="12424" xr:uid="{03F3017D-44FA-4FBE-8369-348874A42934}"/>
    <cellStyle name="Normal 5 2 4 3 4 3" xfId="6047" xr:uid="{00000000-0005-0000-0000-000007190000}"/>
    <cellStyle name="Normal 5 2 4 3 4 3 2" xfId="14497" xr:uid="{EF443C4D-1996-4FF8-8D7F-8FD805A0BFA4}"/>
    <cellStyle name="Normal 5 2 4 3 4 4" xfId="10279" xr:uid="{143C800E-F20B-4583-822C-A5C549AE8BED}"/>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5B6ABE64-3C11-47FC-8E8E-8565703A85D4}"/>
    <cellStyle name="Normal 5 2 4 3 5 2 3" xfId="12837" xr:uid="{180C2F24-7320-4043-9233-11EA9F711D4D}"/>
    <cellStyle name="Normal 5 2 4 3 5 3" xfId="6460" xr:uid="{00000000-0005-0000-0000-00000B190000}"/>
    <cellStyle name="Normal 5 2 4 3 5 3 2" xfId="14910" xr:uid="{18120F47-183F-4600-9E46-D126FBDD5276}"/>
    <cellStyle name="Normal 5 2 4 3 5 4" xfId="10692" xr:uid="{04C9C997-1093-4571-98A8-E5950232551A}"/>
    <cellStyle name="Normal 5 2 4 3 6" xfId="2590" xr:uid="{00000000-0005-0000-0000-00000C190000}"/>
    <cellStyle name="Normal 5 2 4 3 6 2" xfId="6873" xr:uid="{00000000-0005-0000-0000-00000D190000}"/>
    <cellStyle name="Normal 5 2 4 3 6 2 2" xfId="15323" xr:uid="{890AD3E6-4957-4DA3-86BF-800A9B23B129}"/>
    <cellStyle name="Normal 5 2 4 3 6 3" xfId="11105" xr:uid="{95607B8F-CAD5-4845-8D36-0C24A9B77829}"/>
    <cellStyle name="Normal 5 2 4 3 7" xfId="4808" xr:uid="{00000000-0005-0000-0000-00000E190000}"/>
    <cellStyle name="Normal 5 2 4 3 7 2" xfId="13258" xr:uid="{9A7C5039-0141-48D0-B387-870CBD19A4A9}"/>
    <cellStyle name="Normal 5 2 4 3 8" xfId="9040" xr:uid="{2FD5523C-D75C-4D5C-A52D-F344E2C75C20}"/>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6E62C63A-4305-4DA2-BE53-B5477F2DB176}"/>
    <cellStyle name="Normal 5 2 4 4 2 3" xfId="11595" xr:uid="{ED12400C-34EB-4F23-9C46-F007E04A8546}"/>
    <cellStyle name="Normal 5 2 4 4 3" xfId="5218" xr:uid="{00000000-0005-0000-0000-000012190000}"/>
    <cellStyle name="Normal 5 2 4 4 3 2" xfId="13668" xr:uid="{C21365A9-C1A0-4A8B-84E2-C9985EBF66CB}"/>
    <cellStyle name="Normal 5 2 4 4 4" xfId="9450" xr:uid="{C0DDE5F1-4FC7-4180-817E-1F508105B5F1}"/>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A81F3827-5477-4352-99FD-32F573EC968C}"/>
    <cellStyle name="Normal 5 2 4 5 2 3" xfId="12008" xr:uid="{3B3EB5CA-D39D-4FF3-85F4-B78628696457}"/>
    <cellStyle name="Normal 5 2 4 5 3" xfId="5631" xr:uid="{00000000-0005-0000-0000-000016190000}"/>
    <cellStyle name="Normal 5 2 4 5 3 2" xfId="14081" xr:uid="{AAF898F5-5647-4EB9-A642-C178B3F4C62B}"/>
    <cellStyle name="Normal 5 2 4 5 4" xfId="9863" xr:uid="{09F01924-2C46-4F9C-A1AC-A389374D1D9B}"/>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E63FD1D4-628B-476A-90CC-EE5C3776802C}"/>
    <cellStyle name="Normal 5 2 4 6 2 3" xfId="12421" xr:uid="{348061CB-9A2B-442E-8599-1BBD947FFE02}"/>
    <cellStyle name="Normal 5 2 4 6 3" xfId="6044" xr:uid="{00000000-0005-0000-0000-00001A190000}"/>
    <cellStyle name="Normal 5 2 4 6 3 2" xfId="14494" xr:uid="{4A0053CC-2AA9-4BEE-ADE7-935964CD275F}"/>
    <cellStyle name="Normal 5 2 4 6 4" xfId="10276" xr:uid="{0CEA4EDB-80A8-430A-BDE1-351F781DE710}"/>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F374D62F-D9B3-4D48-8D13-9513F59C6C0B}"/>
    <cellStyle name="Normal 5 2 4 7 2 3" xfId="12834" xr:uid="{BBCF5FD1-B55D-41CC-BB1D-9FE4BA6CCD8B}"/>
    <cellStyle name="Normal 5 2 4 7 3" xfId="6457" xr:uid="{00000000-0005-0000-0000-00001E190000}"/>
    <cellStyle name="Normal 5 2 4 7 3 2" xfId="14907" xr:uid="{A8E7469B-4756-4C87-9F13-4E657EDD7663}"/>
    <cellStyle name="Normal 5 2 4 7 4" xfId="10689" xr:uid="{902F5A7D-0102-40D4-AC20-474C9C296F51}"/>
    <cellStyle name="Normal 5 2 4 8" xfId="2587" xr:uid="{00000000-0005-0000-0000-00001F190000}"/>
    <cellStyle name="Normal 5 2 4 8 2" xfId="6870" xr:uid="{00000000-0005-0000-0000-000020190000}"/>
    <cellStyle name="Normal 5 2 4 8 2 2" xfId="15320" xr:uid="{2DC6069D-7609-46C9-94BF-785400F6DBAF}"/>
    <cellStyle name="Normal 5 2 4 8 3" xfId="11102" xr:uid="{4E0C3063-6A79-4463-AD76-C130A4D17A14}"/>
    <cellStyle name="Normal 5 2 4 9" xfId="4805" xr:uid="{00000000-0005-0000-0000-000021190000}"/>
    <cellStyle name="Normal 5 2 4 9 2" xfId="13255" xr:uid="{F70B2991-0DC6-4107-8856-AF4158230ECE}"/>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AB1FD104-E5CB-4EC7-81C0-23609ADC53DC}"/>
    <cellStyle name="Normal 5 2 5 2 2 2 3" xfId="11600" xr:uid="{6ACD5CC5-2C4F-4CAB-AEAD-6047BF2CBCA0}"/>
    <cellStyle name="Normal 5 2 5 2 2 3" xfId="5223" xr:uid="{00000000-0005-0000-0000-000027190000}"/>
    <cellStyle name="Normal 5 2 5 2 2 3 2" xfId="13673" xr:uid="{914DE9EE-660A-4CB9-9F00-C0E16A7848EC}"/>
    <cellStyle name="Normal 5 2 5 2 2 4" xfId="9455" xr:uid="{5D7BA914-8DDA-4A2B-8C54-13A9A6AC9EDF}"/>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6C139887-D15B-48B6-96ED-BF76303BF15F}"/>
    <cellStyle name="Normal 5 2 5 2 3 2 3" xfId="12013" xr:uid="{5813ED20-560B-4DC2-9B53-97A829C0995A}"/>
    <cellStyle name="Normal 5 2 5 2 3 3" xfId="5636" xr:uid="{00000000-0005-0000-0000-00002B190000}"/>
    <cellStyle name="Normal 5 2 5 2 3 3 2" xfId="14086" xr:uid="{036D4011-13DE-4EDE-A8B1-52956ADEF80E}"/>
    <cellStyle name="Normal 5 2 5 2 3 4" xfId="9868" xr:uid="{01AEC3C4-D303-4E21-8F8D-4852624FF03A}"/>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561A3ECD-B36F-45FE-A6CE-BD4F13492232}"/>
    <cellStyle name="Normal 5 2 5 2 4 2 3" xfId="12426" xr:uid="{33D47FB2-1629-4F22-A4BC-A7DDE57B345F}"/>
    <cellStyle name="Normal 5 2 5 2 4 3" xfId="6049" xr:uid="{00000000-0005-0000-0000-00002F190000}"/>
    <cellStyle name="Normal 5 2 5 2 4 3 2" xfId="14499" xr:uid="{2AE843A4-E4AD-427A-9112-70AE507D3730}"/>
    <cellStyle name="Normal 5 2 5 2 4 4" xfId="10281" xr:uid="{DB97DD9B-E7CF-4959-8D8E-535FB582AD7F}"/>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A2930D08-9D57-4A93-A0E5-5427DBBD7F1F}"/>
    <cellStyle name="Normal 5 2 5 2 5 2 3" xfId="12839" xr:uid="{1959AAF9-820B-446C-A075-E192BB43A1C5}"/>
    <cellStyle name="Normal 5 2 5 2 5 3" xfId="6462" xr:uid="{00000000-0005-0000-0000-000033190000}"/>
    <cellStyle name="Normal 5 2 5 2 5 3 2" xfId="14912" xr:uid="{D92AB538-1288-4454-A47B-348B5D905E22}"/>
    <cellStyle name="Normal 5 2 5 2 5 4" xfId="10694" xr:uid="{9A6743DE-3126-4B9A-8D45-03458D2980D9}"/>
    <cellStyle name="Normal 5 2 5 2 6" xfId="2592" xr:uid="{00000000-0005-0000-0000-000034190000}"/>
    <cellStyle name="Normal 5 2 5 2 6 2" xfId="6875" xr:uid="{00000000-0005-0000-0000-000035190000}"/>
    <cellStyle name="Normal 5 2 5 2 6 2 2" xfId="15325" xr:uid="{159CE372-D949-409F-82FC-3AA1549F77A8}"/>
    <cellStyle name="Normal 5 2 5 2 6 3" xfId="11107" xr:uid="{7FDE84B4-2D90-4B0E-B828-3F62F958B331}"/>
    <cellStyle name="Normal 5 2 5 2 7" xfId="4810" xr:uid="{00000000-0005-0000-0000-000036190000}"/>
    <cellStyle name="Normal 5 2 5 2 7 2" xfId="13260" xr:uid="{2A47F994-9303-4038-9FE1-DE5B21CCA8E8}"/>
    <cellStyle name="Normal 5 2 5 2 8" xfId="9042" xr:uid="{C10C628C-ABB7-4BDB-B036-0863CFB69C5A}"/>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B6B38BF2-9F4E-4ADA-81E0-86BA95DE423F}"/>
    <cellStyle name="Normal 5 2 5 3 2 3" xfId="11599" xr:uid="{5FA56C08-9F6F-4F51-9B47-B20F568B1FF6}"/>
    <cellStyle name="Normal 5 2 5 3 3" xfId="5222" xr:uid="{00000000-0005-0000-0000-00003A190000}"/>
    <cellStyle name="Normal 5 2 5 3 3 2" xfId="13672" xr:uid="{1CDE4409-B7B7-4D02-A731-D6E421DBD538}"/>
    <cellStyle name="Normal 5 2 5 3 4" xfId="9454" xr:uid="{B5DAD129-5AB0-475A-963A-7038B7281E78}"/>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A5B606CA-7FE8-4C70-A270-BA4BDD38925B}"/>
    <cellStyle name="Normal 5 2 5 4 2 3" xfId="12012" xr:uid="{FD57D2C4-C9DD-48D7-AB92-16A1C32275B6}"/>
    <cellStyle name="Normal 5 2 5 4 3" xfId="5635" xr:uid="{00000000-0005-0000-0000-00003E190000}"/>
    <cellStyle name="Normal 5 2 5 4 3 2" xfId="14085" xr:uid="{1EAC3A1D-B822-4E43-A149-B26022B1A52C}"/>
    <cellStyle name="Normal 5 2 5 4 4" xfId="9867" xr:uid="{455D3828-EFE1-40D0-99AE-61B8B9F12588}"/>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85DC73B7-988C-499C-9EE6-CA2C7DF712E0}"/>
    <cellStyle name="Normal 5 2 5 5 2 3" xfId="12425" xr:uid="{5CEBA779-C2CF-4248-B23A-E0E649C0A163}"/>
    <cellStyle name="Normal 5 2 5 5 3" xfId="6048" xr:uid="{00000000-0005-0000-0000-000042190000}"/>
    <cellStyle name="Normal 5 2 5 5 3 2" xfId="14498" xr:uid="{CB5A345E-06A5-4327-9F15-657E0F78DCAE}"/>
    <cellStyle name="Normal 5 2 5 5 4" xfId="10280" xr:uid="{B869B389-7B2B-4C67-94FE-B6FD68628584}"/>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C52FB2F9-FC1E-4BAE-BD8B-824CFC3F80F4}"/>
    <cellStyle name="Normal 5 2 5 6 2 3" xfId="12838" xr:uid="{6EDD2D44-0674-457E-92CF-96C24B411255}"/>
    <cellStyle name="Normal 5 2 5 6 3" xfId="6461" xr:uid="{00000000-0005-0000-0000-000046190000}"/>
    <cellStyle name="Normal 5 2 5 6 3 2" xfId="14911" xr:uid="{9CEEBE9A-0BED-4729-816A-BE95AE42F4AB}"/>
    <cellStyle name="Normal 5 2 5 6 4" xfId="10693" xr:uid="{6B13DE4C-5D13-45AB-A8A0-6F23E6FB97FD}"/>
    <cellStyle name="Normal 5 2 5 7" xfId="2591" xr:uid="{00000000-0005-0000-0000-000047190000}"/>
    <cellStyle name="Normal 5 2 5 7 2" xfId="6874" xr:uid="{00000000-0005-0000-0000-000048190000}"/>
    <cellStyle name="Normal 5 2 5 7 2 2" xfId="15324" xr:uid="{B8AE8983-F3B5-41AD-9F89-A61440A6D318}"/>
    <cellStyle name="Normal 5 2 5 7 3" xfId="11106" xr:uid="{FC781A1B-C6C2-4AEB-8003-51A196BB87FF}"/>
    <cellStyle name="Normal 5 2 5 8" xfId="4809" xr:uid="{00000000-0005-0000-0000-000049190000}"/>
    <cellStyle name="Normal 5 2 5 8 2" xfId="13259" xr:uid="{9DDB4050-9324-4DD6-822B-064565AD84C8}"/>
    <cellStyle name="Normal 5 2 5 9" xfId="9041" xr:uid="{380E9146-6DF7-4263-AC71-6C2C3FBB7046}"/>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8A035D89-6216-4A6D-9439-BB4E4F022564}"/>
    <cellStyle name="Normal 5 2 6 2 2 3" xfId="11601" xr:uid="{03B5364E-1612-47A1-A42D-6A93377B32B3}"/>
    <cellStyle name="Normal 5 2 6 2 3" xfId="5224" xr:uid="{00000000-0005-0000-0000-00004E190000}"/>
    <cellStyle name="Normal 5 2 6 2 3 2" xfId="13674" xr:uid="{B7D6D52D-7F55-4DD5-8F32-2F1167B07B0F}"/>
    <cellStyle name="Normal 5 2 6 2 4" xfId="9456" xr:uid="{E60FF214-2FFE-455C-B78C-CC9338A7E609}"/>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B27A1DBC-9E84-4FA6-9759-759FCA2B2754}"/>
    <cellStyle name="Normal 5 2 6 3 2 3" xfId="12014" xr:uid="{9F1948E6-EC84-45FE-B6A7-B558BA21FEF8}"/>
    <cellStyle name="Normal 5 2 6 3 3" xfId="5637" xr:uid="{00000000-0005-0000-0000-000052190000}"/>
    <cellStyle name="Normal 5 2 6 3 3 2" xfId="14087" xr:uid="{21F36B31-BCAE-4444-B1A8-CEF8E044CED1}"/>
    <cellStyle name="Normal 5 2 6 3 4" xfId="9869" xr:uid="{FD92EA96-072E-4FF5-A9A1-73FEDCB20AFF}"/>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325D90FB-C87D-4567-9B39-B400DA4387DF}"/>
    <cellStyle name="Normal 5 2 6 4 2 3" xfId="12427" xr:uid="{A9B1B6C1-CD66-4A6D-A5C6-F96067737071}"/>
    <cellStyle name="Normal 5 2 6 4 3" xfId="6050" xr:uid="{00000000-0005-0000-0000-000056190000}"/>
    <cellStyle name="Normal 5 2 6 4 3 2" xfId="14500" xr:uid="{D4E9163E-B59C-48C1-9605-655386F95BE0}"/>
    <cellStyle name="Normal 5 2 6 4 4" xfId="10282" xr:uid="{AC7386E4-5415-4C6A-B6F9-4B33DC83AB99}"/>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C9B60062-897F-40E6-BAE1-6497054FCDD8}"/>
    <cellStyle name="Normal 5 2 6 5 2 3" xfId="12840" xr:uid="{BC4DE4FD-2713-4E78-A05F-CA1B8A364F4A}"/>
    <cellStyle name="Normal 5 2 6 5 3" xfId="6463" xr:uid="{00000000-0005-0000-0000-00005A190000}"/>
    <cellStyle name="Normal 5 2 6 5 3 2" xfId="14913" xr:uid="{A6AAEFE1-6A06-4D45-9DF9-E40FCA6C14B0}"/>
    <cellStyle name="Normal 5 2 6 5 4" xfId="10695" xr:uid="{99FE839C-AC57-4546-8DBE-D9F10C6E5E71}"/>
    <cellStyle name="Normal 5 2 6 6" xfId="2593" xr:uid="{00000000-0005-0000-0000-00005B190000}"/>
    <cellStyle name="Normal 5 2 6 6 2" xfId="6876" xr:uid="{00000000-0005-0000-0000-00005C190000}"/>
    <cellStyle name="Normal 5 2 6 6 2 2" xfId="15326" xr:uid="{806D9E32-F641-4CD4-8D00-3C071B3EE8A8}"/>
    <cellStyle name="Normal 5 2 6 6 3" xfId="11108" xr:uid="{2A846EFE-A8E3-4732-A9A8-EDC338DA5733}"/>
    <cellStyle name="Normal 5 2 6 7" xfId="4811" xr:uid="{00000000-0005-0000-0000-00005D190000}"/>
    <cellStyle name="Normal 5 2 6 7 2" xfId="13261" xr:uid="{706B7FCD-B165-4101-A48A-2D416C26CBF5}"/>
    <cellStyle name="Normal 5 2 6 8" xfId="9043" xr:uid="{990C88FB-9585-4FFB-81C0-2799D274EC88}"/>
    <cellStyle name="Normal 5 2 7" xfId="881" xr:uid="{00000000-0005-0000-0000-00005E190000}"/>
    <cellStyle name="Normal 5 2 7 2" xfId="3116" xr:uid="{00000000-0005-0000-0000-00005F190000}"/>
    <cellStyle name="Normal 5 2 7 2 2" xfId="7338" xr:uid="{00000000-0005-0000-0000-000060190000}"/>
    <cellStyle name="Normal 5 2 7 2 2 2" xfId="15788" xr:uid="{ECE91D7E-0060-4AD8-8BAD-6088C3F262FE}"/>
    <cellStyle name="Normal 5 2 7 2 3" xfId="11570" xr:uid="{C2564071-AEFA-4EFB-9207-21AC83ECF46E}"/>
    <cellStyle name="Normal 5 2 7 3" xfId="5193" xr:uid="{00000000-0005-0000-0000-000061190000}"/>
    <cellStyle name="Normal 5 2 7 3 2" xfId="13643" xr:uid="{B3EEA4DA-3232-456D-989C-0BE2D4C90EFD}"/>
    <cellStyle name="Normal 5 2 7 4" xfId="9425" xr:uid="{E7F5BD2A-9568-4D03-8F31-1BB7315F26D7}"/>
    <cellStyle name="Normal 5 2 8" xfId="1299" xr:uid="{00000000-0005-0000-0000-000062190000}"/>
    <cellStyle name="Normal 5 2 8 2" xfId="3529" xr:uid="{00000000-0005-0000-0000-000063190000}"/>
    <cellStyle name="Normal 5 2 8 2 2" xfId="7751" xr:uid="{00000000-0005-0000-0000-000064190000}"/>
    <cellStyle name="Normal 5 2 8 2 2 2" xfId="16201" xr:uid="{4F9EB5D0-7FAB-4653-B62B-C97BFAD61116}"/>
    <cellStyle name="Normal 5 2 8 2 3" xfId="11983" xr:uid="{C9FA3291-43B1-49EB-B403-9E080ED456C8}"/>
    <cellStyle name="Normal 5 2 8 3" xfId="5606" xr:uid="{00000000-0005-0000-0000-000065190000}"/>
    <cellStyle name="Normal 5 2 8 3 2" xfId="14056" xr:uid="{EF9F04D4-53EC-4E20-8D48-95BD9B059CF3}"/>
    <cellStyle name="Normal 5 2 8 4" xfId="9838" xr:uid="{76B5BDC7-E3A6-4B60-B041-DF93E58AD7C3}"/>
    <cellStyle name="Normal 5 2 9" xfId="1712" xr:uid="{00000000-0005-0000-0000-000066190000}"/>
    <cellStyle name="Normal 5 2 9 2" xfId="3942" xr:uid="{00000000-0005-0000-0000-000067190000}"/>
    <cellStyle name="Normal 5 2 9 2 2" xfId="8164" xr:uid="{00000000-0005-0000-0000-000068190000}"/>
    <cellStyle name="Normal 5 2 9 2 2 2" xfId="16614" xr:uid="{8880F195-294A-4374-BD31-4C257AAC2DDB}"/>
    <cellStyle name="Normal 5 2 9 2 3" xfId="12396" xr:uid="{A80C994C-AF31-4342-8EA3-F3DFC45A6EC7}"/>
    <cellStyle name="Normal 5 2 9 3" xfId="6019" xr:uid="{00000000-0005-0000-0000-000069190000}"/>
    <cellStyle name="Normal 5 2 9 3 2" xfId="14469" xr:uid="{997DAD6E-1613-4724-A73F-B76928AA4946}"/>
    <cellStyle name="Normal 5 2 9 4" xfId="10251" xr:uid="{918BCF82-B8A9-45CF-8440-C64C8106F2D2}"/>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8FEEF6B0-F993-4683-85C3-52AFDD27F516}"/>
    <cellStyle name="Normal 5 3 10 2 3" xfId="12841" xr:uid="{24E67533-6A70-4182-91D2-3DD8D992F3AC}"/>
    <cellStyle name="Normal 5 3 10 3" xfId="6464" xr:uid="{00000000-0005-0000-0000-00006E190000}"/>
    <cellStyle name="Normal 5 3 10 3 2" xfId="14914" xr:uid="{7011D60C-021D-4977-85BF-778303898877}"/>
    <cellStyle name="Normal 5 3 10 4" xfId="10696" xr:uid="{8F0EFD76-1D42-435B-AF56-29040A93E28A}"/>
    <cellStyle name="Normal 5 3 11" xfId="2594" xr:uid="{00000000-0005-0000-0000-00006F190000}"/>
    <cellStyle name="Normal 5 3 11 2" xfId="6877" xr:uid="{00000000-0005-0000-0000-000070190000}"/>
    <cellStyle name="Normal 5 3 11 2 2" xfId="15327" xr:uid="{E8162CEC-4C8B-451C-948B-68315E3820B6}"/>
    <cellStyle name="Normal 5 3 11 3" xfId="11109" xr:uid="{B1EC715A-4EE1-4EB8-B24D-44FFA76EF1CE}"/>
    <cellStyle name="Normal 5 3 12" xfId="4812" xr:uid="{00000000-0005-0000-0000-000071190000}"/>
    <cellStyle name="Normal 5 3 12 2" xfId="13262" xr:uid="{C5BEADB8-19B0-4B2D-A5B8-6B0BC993BD57}"/>
    <cellStyle name="Normal 5 3 13" xfId="9044" xr:uid="{6D6B611B-A13C-4041-8D80-40E1914BF808}"/>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2772AB20-5735-40FA-9BAE-3010B0AAB123}"/>
    <cellStyle name="Normal 5 3 3 11" xfId="9045" xr:uid="{F0E0E9E1-BDDB-478E-9395-7A7A77B76337}"/>
    <cellStyle name="Normal 5 3 3 2" xfId="442" xr:uid="{00000000-0005-0000-0000-000076190000}"/>
    <cellStyle name="Normal 5 3 3 2 10" xfId="9046" xr:uid="{6DA3A64C-178D-45A9-96AD-5B8A0E65F5A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8B493D9F-821C-4CBC-B88A-EEDDB9E8E388}"/>
    <cellStyle name="Normal 5 3 3 2 2 2 2 2 3" xfId="11606" xr:uid="{466D77E9-130C-4159-BBF5-D61F5517E46A}"/>
    <cellStyle name="Normal 5 3 3 2 2 2 2 3" xfId="5229" xr:uid="{00000000-0005-0000-0000-00007C190000}"/>
    <cellStyle name="Normal 5 3 3 2 2 2 2 3 2" xfId="13679" xr:uid="{CDBF317B-DE0D-49F4-A6F3-DAE3ABC46BF2}"/>
    <cellStyle name="Normal 5 3 3 2 2 2 2 4" xfId="9461" xr:uid="{BECFFC9E-77C2-44B6-AB7A-07F56D16FE93}"/>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49388A20-CD29-4D7E-B165-E8973639517C}"/>
    <cellStyle name="Normal 5 3 3 2 2 2 3 2 3" xfId="12019" xr:uid="{8A3B637B-2EEC-4DA2-822E-C54BD6AC23E4}"/>
    <cellStyle name="Normal 5 3 3 2 2 2 3 3" xfId="5642" xr:uid="{00000000-0005-0000-0000-000080190000}"/>
    <cellStyle name="Normal 5 3 3 2 2 2 3 3 2" xfId="14092" xr:uid="{0D8AE604-047E-4DFF-BE3A-57EBC9CBB694}"/>
    <cellStyle name="Normal 5 3 3 2 2 2 3 4" xfId="9874" xr:uid="{DBD5257A-226E-4442-BA16-FE7A2A8BEB3F}"/>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9761B842-39EB-4A89-83DB-9E7A8BB80353}"/>
    <cellStyle name="Normal 5 3 3 2 2 2 4 2 3" xfId="12432" xr:uid="{708C2647-CE83-4982-A1B8-3FD14B92724E}"/>
    <cellStyle name="Normal 5 3 3 2 2 2 4 3" xfId="6055" xr:uid="{00000000-0005-0000-0000-000084190000}"/>
    <cellStyle name="Normal 5 3 3 2 2 2 4 3 2" xfId="14505" xr:uid="{2435859A-9F6F-483B-93FB-74D14E9D6EAF}"/>
    <cellStyle name="Normal 5 3 3 2 2 2 4 4" xfId="10287" xr:uid="{BC97829F-E8DB-4AEC-90FD-3892DFA2FDE2}"/>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DE33DA16-4698-4122-BB3A-D62997F8BDDF}"/>
    <cellStyle name="Normal 5 3 3 2 2 2 5 2 3" xfId="12845" xr:uid="{94EB231D-02A0-4928-B943-D2BA26458E26}"/>
    <cellStyle name="Normal 5 3 3 2 2 2 5 3" xfId="6468" xr:uid="{00000000-0005-0000-0000-000088190000}"/>
    <cellStyle name="Normal 5 3 3 2 2 2 5 3 2" xfId="14918" xr:uid="{9305014A-2429-4B58-9610-B3BDD8088FB4}"/>
    <cellStyle name="Normal 5 3 3 2 2 2 5 4" xfId="10700" xr:uid="{7834A013-4C11-47A8-974D-FB0CDEF4E2C8}"/>
    <cellStyle name="Normal 5 3 3 2 2 2 6" xfId="2598" xr:uid="{00000000-0005-0000-0000-000089190000}"/>
    <cellStyle name="Normal 5 3 3 2 2 2 6 2" xfId="6881" xr:uid="{00000000-0005-0000-0000-00008A190000}"/>
    <cellStyle name="Normal 5 3 3 2 2 2 6 2 2" xfId="15331" xr:uid="{4542281C-716C-47C1-9910-647CF780DF73}"/>
    <cellStyle name="Normal 5 3 3 2 2 2 6 3" xfId="11113" xr:uid="{3DB429BE-D123-44DE-8434-E00EEDCB31C4}"/>
    <cellStyle name="Normal 5 3 3 2 2 2 7" xfId="4816" xr:uid="{00000000-0005-0000-0000-00008B190000}"/>
    <cellStyle name="Normal 5 3 3 2 2 2 7 2" xfId="13266" xr:uid="{F2B56E81-B37C-4F7B-AD5A-9E601B0E5728}"/>
    <cellStyle name="Normal 5 3 3 2 2 2 8" xfId="9048" xr:uid="{85D4BB30-35B3-4946-BCD5-4221B5364C6F}"/>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14ED9B2D-22A3-46A2-B44F-DFB74EEDA5EF}"/>
    <cellStyle name="Normal 5 3 3 2 2 3 2 3" xfId="11605" xr:uid="{E1B7AA06-4440-45A2-886E-2BB9F89EB87F}"/>
    <cellStyle name="Normal 5 3 3 2 2 3 3" xfId="5228" xr:uid="{00000000-0005-0000-0000-00008F190000}"/>
    <cellStyle name="Normal 5 3 3 2 2 3 3 2" xfId="13678" xr:uid="{B9B29532-0CEF-407B-A795-B3F641DF3A9B}"/>
    <cellStyle name="Normal 5 3 3 2 2 3 4" xfId="9460" xr:uid="{F3619B28-2E69-4297-B2DB-E30B4B751F03}"/>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ED7CAF02-13A2-4E9E-9584-05E5E7C978EA}"/>
    <cellStyle name="Normal 5 3 3 2 2 4 2 3" xfId="12018" xr:uid="{88B9DEDE-A13D-4AFF-B198-F88CE28923D3}"/>
    <cellStyle name="Normal 5 3 3 2 2 4 3" xfId="5641" xr:uid="{00000000-0005-0000-0000-000093190000}"/>
    <cellStyle name="Normal 5 3 3 2 2 4 3 2" xfId="14091" xr:uid="{56B8DAEE-393E-48B8-8B8E-B230D65C8C8A}"/>
    <cellStyle name="Normal 5 3 3 2 2 4 4" xfId="9873" xr:uid="{EE42DBCD-8A27-429B-8083-31FC8098A4E7}"/>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7E81163A-9E1C-4789-944F-73D3362E2D58}"/>
    <cellStyle name="Normal 5 3 3 2 2 5 2 3" xfId="12431" xr:uid="{FDC3A73C-C185-412B-90E8-9636DFBD6588}"/>
    <cellStyle name="Normal 5 3 3 2 2 5 3" xfId="6054" xr:uid="{00000000-0005-0000-0000-000097190000}"/>
    <cellStyle name="Normal 5 3 3 2 2 5 3 2" xfId="14504" xr:uid="{010940A5-F764-4A3A-9F84-E52110F0B6F4}"/>
    <cellStyle name="Normal 5 3 3 2 2 5 4" xfId="10286" xr:uid="{1327067D-0E37-4BE4-8992-98C9F85379EC}"/>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6CFA7127-BE86-4306-BF0B-F8B746F3432B}"/>
    <cellStyle name="Normal 5 3 3 2 2 6 2 3" xfId="12844" xr:uid="{143E0998-2C1E-4B05-AEE5-B9D188D79AA9}"/>
    <cellStyle name="Normal 5 3 3 2 2 6 3" xfId="6467" xr:uid="{00000000-0005-0000-0000-00009B190000}"/>
    <cellStyle name="Normal 5 3 3 2 2 6 3 2" xfId="14917" xr:uid="{3D6402FD-C16C-438F-A125-D90237153DB1}"/>
    <cellStyle name="Normal 5 3 3 2 2 6 4" xfId="10699" xr:uid="{03A78876-AAE4-47C7-91EE-0BAE9946D2F2}"/>
    <cellStyle name="Normal 5 3 3 2 2 7" xfId="2597" xr:uid="{00000000-0005-0000-0000-00009C190000}"/>
    <cellStyle name="Normal 5 3 3 2 2 7 2" xfId="6880" xr:uid="{00000000-0005-0000-0000-00009D190000}"/>
    <cellStyle name="Normal 5 3 3 2 2 7 2 2" xfId="15330" xr:uid="{0DE34B7C-06AE-462D-B8D3-873C948D1B0E}"/>
    <cellStyle name="Normal 5 3 3 2 2 7 3" xfId="11112" xr:uid="{1AF4C5AA-B00C-4A74-A7A6-FA42CBA26949}"/>
    <cellStyle name="Normal 5 3 3 2 2 8" xfId="4815" xr:uid="{00000000-0005-0000-0000-00009E190000}"/>
    <cellStyle name="Normal 5 3 3 2 2 8 2" xfId="13265" xr:uid="{E1615E48-A472-496B-8216-2C51B1557BDE}"/>
    <cellStyle name="Normal 5 3 3 2 2 9" xfId="9047" xr:uid="{717E28AA-1DA7-4F95-9D98-E159EB839237}"/>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9ABDF84B-BE74-44CB-AC47-DFF8B0832BF3}"/>
    <cellStyle name="Normal 5 3 3 2 3 2 2 3" xfId="11607" xr:uid="{17AD69FB-BFE4-456A-A6A8-769844770F44}"/>
    <cellStyle name="Normal 5 3 3 2 3 2 3" xfId="5230" xr:uid="{00000000-0005-0000-0000-0000A3190000}"/>
    <cellStyle name="Normal 5 3 3 2 3 2 3 2" xfId="13680" xr:uid="{32099161-0F21-417C-9A98-16B06A6E3A20}"/>
    <cellStyle name="Normal 5 3 3 2 3 2 4" xfId="9462" xr:uid="{94931269-D77C-4E82-83B4-9CD144FE6604}"/>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1DDFF6F7-A3CE-45C5-AB36-B8AC01788753}"/>
    <cellStyle name="Normal 5 3 3 2 3 3 2 3" xfId="12020" xr:uid="{C96E715B-FAAA-4C66-B837-AEAA45697EDF}"/>
    <cellStyle name="Normal 5 3 3 2 3 3 3" xfId="5643" xr:uid="{00000000-0005-0000-0000-0000A7190000}"/>
    <cellStyle name="Normal 5 3 3 2 3 3 3 2" xfId="14093" xr:uid="{4CE678C4-FC65-460E-9A27-D2904B91E474}"/>
    <cellStyle name="Normal 5 3 3 2 3 3 4" xfId="9875" xr:uid="{788862DF-D663-4DA0-88DD-E08572CB1523}"/>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D365C4EC-C3C0-4EE7-9FC4-498CDF85FD2B}"/>
    <cellStyle name="Normal 5 3 3 2 3 4 2 3" xfId="12433" xr:uid="{C9EAB861-181D-4DE3-A03E-6022B7287D0D}"/>
    <cellStyle name="Normal 5 3 3 2 3 4 3" xfId="6056" xr:uid="{00000000-0005-0000-0000-0000AB190000}"/>
    <cellStyle name="Normal 5 3 3 2 3 4 3 2" xfId="14506" xr:uid="{3A60A487-B8DA-4E03-BB87-C965E180B01F}"/>
    <cellStyle name="Normal 5 3 3 2 3 4 4" xfId="10288" xr:uid="{44C5C8F6-8098-4373-815A-543D2D5420BB}"/>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51A5FE23-33AA-49D6-878F-00539205C0EB}"/>
    <cellStyle name="Normal 5 3 3 2 3 5 2 3" xfId="12846" xr:uid="{0F84CD6C-2FFF-4CAE-B7D9-BA5831B883EE}"/>
    <cellStyle name="Normal 5 3 3 2 3 5 3" xfId="6469" xr:uid="{00000000-0005-0000-0000-0000AF190000}"/>
    <cellStyle name="Normal 5 3 3 2 3 5 3 2" xfId="14919" xr:uid="{8640861A-A0A8-42DA-875C-D00E38AA4A7D}"/>
    <cellStyle name="Normal 5 3 3 2 3 5 4" xfId="10701" xr:uid="{ADF81643-7906-47FA-B84C-08238DFC3367}"/>
    <cellStyle name="Normal 5 3 3 2 3 6" xfId="2599" xr:uid="{00000000-0005-0000-0000-0000B0190000}"/>
    <cellStyle name="Normal 5 3 3 2 3 6 2" xfId="6882" xr:uid="{00000000-0005-0000-0000-0000B1190000}"/>
    <cellStyle name="Normal 5 3 3 2 3 6 2 2" xfId="15332" xr:uid="{FC7C5E2C-F0DC-482A-A707-501533568EC3}"/>
    <cellStyle name="Normal 5 3 3 2 3 6 3" xfId="11114" xr:uid="{3E3BA143-D6D2-41EE-A313-3B5F41730308}"/>
    <cellStyle name="Normal 5 3 3 2 3 7" xfId="4817" xr:uid="{00000000-0005-0000-0000-0000B2190000}"/>
    <cellStyle name="Normal 5 3 3 2 3 7 2" xfId="13267" xr:uid="{295A1DED-7571-4C51-BC7C-9C1AD4F61360}"/>
    <cellStyle name="Normal 5 3 3 2 3 8" xfId="9049" xr:uid="{A14E301E-0F71-4F2D-A2E7-0AE64029EA66}"/>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514F1C2D-3D0C-49D4-B17B-1903318962A6}"/>
    <cellStyle name="Normal 5 3 3 2 4 2 3" xfId="11604" xr:uid="{49D62C12-0C04-496A-A66A-F575C0CDCEEC}"/>
    <cellStyle name="Normal 5 3 3 2 4 3" xfId="5227" xr:uid="{00000000-0005-0000-0000-0000B6190000}"/>
    <cellStyle name="Normal 5 3 3 2 4 3 2" xfId="13677" xr:uid="{CDE73B05-5B53-4E75-81D7-AC350B095CF1}"/>
    <cellStyle name="Normal 5 3 3 2 4 4" xfId="9459" xr:uid="{FB4D351C-BD1F-41AF-BF31-0FAA16616DC7}"/>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C0AD8BAA-639E-4CDE-B1C6-EAD38CE50811}"/>
    <cellStyle name="Normal 5 3 3 2 5 2 3" xfId="12017" xr:uid="{2775B5CC-A70C-43B2-9FAB-AB2C1805E7BF}"/>
    <cellStyle name="Normal 5 3 3 2 5 3" xfId="5640" xr:uid="{00000000-0005-0000-0000-0000BA190000}"/>
    <cellStyle name="Normal 5 3 3 2 5 3 2" xfId="14090" xr:uid="{38A73F96-EBB0-4A54-BEED-103A9300DE15}"/>
    <cellStyle name="Normal 5 3 3 2 5 4" xfId="9872" xr:uid="{B5D7AC2C-D09B-4D1A-B3FF-8D903880A052}"/>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EBA2B727-CE2C-4FE9-80C8-7E50D61E3CC7}"/>
    <cellStyle name="Normal 5 3 3 2 6 2 3" xfId="12430" xr:uid="{2257D896-B88B-4BBE-9630-6245CADD1689}"/>
    <cellStyle name="Normal 5 3 3 2 6 3" xfId="6053" xr:uid="{00000000-0005-0000-0000-0000BE190000}"/>
    <cellStyle name="Normal 5 3 3 2 6 3 2" xfId="14503" xr:uid="{DF2EAD1E-F309-4E67-A3F4-E17A8952E68F}"/>
    <cellStyle name="Normal 5 3 3 2 6 4" xfId="10285" xr:uid="{BA0C7C93-A2E3-4145-8F78-4FA248396F69}"/>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7FAF7B42-BF4C-48D9-A933-CD3EF78B9A5E}"/>
    <cellStyle name="Normal 5 3 3 2 7 2 3" xfId="12843" xr:uid="{5681EAF1-3674-48B1-8635-E8E1F9DEC453}"/>
    <cellStyle name="Normal 5 3 3 2 7 3" xfId="6466" xr:uid="{00000000-0005-0000-0000-0000C2190000}"/>
    <cellStyle name="Normal 5 3 3 2 7 3 2" xfId="14916" xr:uid="{FB6B4A83-636A-4724-BCCC-C66489CBDC65}"/>
    <cellStyle name="Normal 5 3 3 2 7 4" xfId="10698" xr:uid="{E9C9AEE2-3C57-46CB-8873-2A6CCA4586A7}"/>
    <cellStyle name="Normal 5 3 3 2 8" xfId="2596" xr:uid="{00000000-0005-0000-0000-0000C3190000}"/>
    <cellStyle name="Normal 5 3 3 2 8 2" xfId="6879" xr:uid="{00000000-0005-0000-0000-0000C4190000}"/>
    <cellStyle name="Normal 5 3 3 2 8 2 2" xfId="15329" xr:uid="{9DCB65CF-711E-46D6-BC43-A4EAA77FFAC7}"/>
    <cellStyle name="Normal 5 3 3 2 8 3" xfId="11111" xr:uid="{C6113204-EF37-4D9D-9BA3-502B78523781}"/>
    <cellStyle name="Normal 5 3 3 2 9" xfId="4814" xr:uid="{00000000-0005-0000-0000-0000C5190000}"/>
    <cellStyle name="Normal 5 3 3 2 9 2" xfId="13264" xr:uid="{48CADBE5-0F36-46B4-91A7-94236E05CEFC}"/>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817F751B-9C9A-4191-B3A5-DAAD646EB26E}"/>
    <cellStyle name="Normal 5 3 3 3 2 2 2 3" xfId="11609" xr:uid="{A7D2CF1C-87E5-4163-ADBF-4488AAF080AF}"/>
    <cellStyle name="Normal 5 3 3 3 2 2 3" xfId="5232" xr:uid="{00000000-0005-0000-0000-0000CB190000}"/>
    <cellStyle name="Normal 5 3 3 3 2 2 3 2" xfId="13682" xr:uid="{CC8768DA-E769-42D3-8383-155BD0094E92}"/>
    <cellStyle name="Normal 5 3 3 3 2 2 4" xfId="9464" xr:uid="{390DD39D-D912-4E7E-ADC1-BED922DE530B}"/>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4CD8FF41-0C67-4C11-8C8E-959966EC2293}"/>
    <cellStyle name="Normal 5 3 3 3 2 3 2 3" xfId="12022" xr:uid="{38EEC73F-B37B-4643-96BF-B047BE2C0013}"/>
    <cellStyle name="Normal 5 3 3 3 2 3 3" xfId="5645" xr:uid="{00000000-0005-0000-0000-0000CF190000}"/>
    <cellStyle name="Normal 5 3 3 3 2 3 3 2" xfId="14095" xr:uid="{B47D4645-FA0E-44CF-9065-EA6B5FD1C724}"/>
    <cellStyle name="Normal 5 3 3 3 2 3 4" xfId="9877" xr:uid="{982FA685-E0EB-499F-ADE4-E2E4B98A9FBB}"/>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44E03952-125E-4422-93CC-C73DD37633C8}"/>
    <cellStyle name="Normal 5 3 3 3 2 4 2 3" xfId="12435" xr:uid="{11CB3347-C690-4DB8-8AE2-290ED31FAE57}"/>
    <cellStyle name="Normal 5 3 3 3 2 4 3" xfId="6058" xr:uid="{00000000-0005-0000-0000-0000D3190000}"/>
    <cellStyle name="Normal 5 3 3 3 2 4 3 2" xfId="14508" xr:uid="{EB76A6B9-4FC8-4849-91AC-DBA992E81FFB}"/>
    <cellStyle name="Normal 5 3 3 3 2 4 4" xfId="10290" xr:uid="{64C44BDC-30D1-4F69-A6CB-0B5C8C98DB1D}"/>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06EF8CBE-67DF-4FF4-ABD5-0EE660C52FE3}"/>
    <cellStyle name="Normal 5 3 3 3 2 5 2 3" xfId="12848" xr:uid="{88CE9D72-140C-427A-A748-3ECEDEF7F663}"/>
    <cellStyle name="Normal 5 3 3 3 2 5 3" xfId="6471" xr:uid="{00000000-0005-0000-0000-0000D7190000}"/>
    <cellStyle name="Normal 5 3 3 3 2 5 3 2" xfId="14921" xr:uid="{4D000908-F8F8-4F96-BB32-18B0CA0C29F4}"/>
    <cellStyle name="Normal 5 3 3 3 2 5 4" xfId="10703" xr:uid="{00CA07BC-5B37-4B88-8B8E-A253A935CE76}"/>
    <cellStyle name="Normal 5 3 3 3 2 6" xfId="2601" xr:uid="{00000000-0005-0000-0000-0000D8190000}"/>
    <cellStyle name="Normal 5 3 3 3 2 6 2" xfId="6884" xr:uid="{00000000-0005-0000-0000-0000D9190000}"/>
    <cellStyle name="Normal 5 3 3 3 2 6 2 2" xfId="15334" xr:uid="{08482083-5A58-4A10-9CA6-2ED3EF814B3D}"/>
    <cellStyle name="Normal 5 3 3 3 2 6 3" xfId="11116" xr:uid="{A64AFB33-CB5F-4190-AC40-7B2E0CD50B92}"/>
    <cellStyle name="Normal 5 3 3 3 2 7" xfId="4819" xr:uid="{00000000-0005-0000-0000-0000DA190000}"/>
    <cellStyle name="Normal 5 3 3 3 2 7 2" xfId="13269" xr:uid="{6046AD23-3D54-4180-9A5F-C58C5AF0C60E}"/>
    <cellStyle name="Normal 5 3 3 3 2 8" xfId="9051" xr:uid="{CDAAD9B6-69F0-408E-AFF9-201EAFEAAE4F}"/>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60B247BD-BEEB-42CE-BD57-2FE0BCCB6D72}"/>
    <cellStyle name="Normal 5 3 3 3 3 2 3" xfId="11608" xr:uid="{5479A28C-4B73-47B7-9F9E-537E297EF1A6}"/>
    <cellStyle name="Normal 5 3 3 3 3 3" xfId="5231" xr:uid="{00000000-0005-0000-0000-0000DE190000}"/>
    <cellStyle name="Normal 5 3 3 3 3 3 2" xfId="13681" xr:uid="{D34934D3-A836-47D5-81A4-633EC3D7C404}"/>
    <cellStyle name="Normal 5 3 3 3 3 4" xfId="9463" xr:uid="{D46437EA-CB87-401F-801A-729372FA4645}"/>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AD45D409-A7F6-49B1-BFD1-493BC0266C80}"/>
    <cellStyle name="Normal 5 3 3 3 4 2 3" xfId="12021" xr:uid="{9D11BED8-B938-4DEA-80D0-6953E2DB602E}"/>
    <cellStyle name="Normal 5 3 3 3 4 3" xfId="5644" xr:uid="{00000000-0005-0000-0000-0000E2190000}"/>
    <cellStyle name="Normal 5 3 3 3 4 3 2" xfId="14094" xr:uid="{F2D2248C-B3C5-4915-8DEE-81FAA12A8389}"/>
    <cellStyle name="Normal 5 3 3 3 4 4" xfId="9876" xr:uid="{746E321C-9E07-4513-88B2-1740071B9C4D}"/>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1D7D6E8A-51EE-48DE-9FA0-EB2A7499567C}"/>
    <cellStyle name="Normal 5 3 3 3 5 2 3" xfId="12434" xr:uid="{3F2F5521-534E-4432-AD61-2AE98735B10E}"/>
    <cellStyle name="Normal 5 3 3 3 5 3" xfId="6057" xr:uid="{00000000-0005-0000-0000-0000E6190000}"/>
    <cellStyle name="Normal 5 3 3 3 5 3 2" xfId="14507" xr:uid="{75BE3FC8-D15D-4454-90D0-62682B7B2B9A}"/>
    <cellStyle name="Normal 5 3 3 3 5 4" xfId="10289" xr:uid="{C18846AF-55B8-4CDC-A165-C6EA210ECEAA}"/>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E351130D-BBE1-4D94-AC3C-17C97F8D3C8E}"/>
    <cellStyle name="Normal 5 3 3 3 6 2 3" xfId="12847" xr:uid="{708C71FA-B102-4318-A0BC-4CC42CE932EA}"/>
    <cellStyle name="Normal 5 3 3 3 6 3" xfId="6470" xr:uid="{00000000-0005-0000-0000-0000EA190000}"/>
    <cellStyle name="Normal 5 3 3 3 6 3 2" xfId="14920" xr:uid="{272321CD-A441-4960-8F1D-2C48C02B3404}"/>
    <cellStyle name="Normal 5 3 3 3 6 4" xfId="10702" xr:uid="{B46AAF0E-2597-4886-ABE7-46A8E1CC8A29}"/>
    <cellStyle name="Normal 5 3 3 3 7" xfId="2600" xr:uid="{00000000-0005-0000-0000-0000EB190000}"/>
    <cellStyle name="Normal 5 3 3 3 7 2" xfId="6883" xr:uid="{00000000-0005-0000-0000-0000EC190000}"/>
    <cellStyle name="Normal 5 3 3 3 7 2 2" xfId="15333" xr:uid="{635A15F3-008D-4A24-BDCB-35D963E71BCF}"/>
    <cellStyle name="Normal 5 3 3 3 7 3" xfId="11115" xr:uid="{3FEFFB4F-E1DF-43D6-9B2A-DEEA359DE5A3}"/>
    <cellStyle name="Normal 5 3 3 3 8" xfId="4818" xr:uid="{00000000-0005-0000-0000-0000ED190000}"/>
    <cellStyle name="Normal 5 3 3 3 8 2" xfId="13268" xr:uid="{6E106280-F2FC-429C-AF7A-DF5436D2D4EF}"/>
    <cellStyle name="Normal 5 3 3 3 9" xfId="9050" xr:uid="{C1B5AA8E-C53C-4C8E-A1B9-91200E3ADDC8}"/>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BEB5994F-2147-43C2-BC2D-3D1077D31531}"/>
    <cellStyle name="Normal 5 3 3 4 2 2 3" xfId="11610" xr:uid="{6C587E51-E9D3-48B1-BFD9-5EF875996E53}"/>
    <cellStyle name="Normal 5 3 3 4 2 3" xfId="5233" xr:uid="{00000000-0005-0000-0000-0000F2190000}"/>
    <cellStyle name="Normal 5 3 3 4 2 3 2" xfId="13683" xr:uid="{4F58BF34-9AF8-44A9-A1C4-460202C5EBAC}"/>
    <cellStyle name="Normal 5 3 3 4 2 4" xfId="9465" xr:uid="{05AA3249-AC4C-4B7C-BBEA-DDFE003C0524}"/>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D6F1AEE3-0428-4C54-A2C9-C2BF14CE1E56}"/>
    <cellStyle name="Normal 5 3 3 4 3 2 3" xfId="12023" xr:uid="{7BF200CA-95B9-4FBD-8616-38D9BB35412C}"/>
    <cellStyle name="Normal 5 3 3 4 3 3" xfId="5646" xr:uid="{00000000-0005-0000-0000-0000F6190000}"/>
    <cellStyle name="Normal 5 3 3 4 3 3 2" xfId="14096" xr:uid="{D6FD3AD3-461A-4EBA-8556-051285D90387}"/>
    <cellStyle name="Normal 5 3 3 4 3 4" xfId="9878" xr:uid="{B5F7F1F1-D6A9-4885-B654-2D5CC323CDD8}"/>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F2FC342C-2269-404A-9792-A0B22C985EFF}"/>
    <cellStyle name="Normal 5 3 3 4 4 2 3" xfId="12436" xr:uid="{E9CAC595-B0C6-45B9-882D-D9DAAE64D363}"/>
    <cellStyle name="Normal 5 3 3 4 4 3" xfId="6059" xr:uid="{00000000-0005-0000-0000-0000FA190000}"/>
    <cellStyle name="Normal 5 3 3 4 4 3 2" xfId="14509" xr:uid="{79ACB95A-1827-4DD6-914C-4BD9DEAD3B6F}"/>
    <cellStyle name="Normal 5 3 3 4 4 4" xfId="10291" xr:uid="{7B197750-F79C-41B7-B655-C8A3D88D790C}"/>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969B7813-EE0B-43F6-834E-60C546EAD582}"/>
    <cellStyle name="Normal 5 3 3 4 5 2 3" xfId="12849" xr:uid="{AD581A9A-7622-48C0-A192-1017FCB30047}"/>
    <cellStyle name="Normal 5 3 3 4 5 3" xfId="6472" xr:uid="{00000000-0005-0000-0000-0000FE190000}"/>
    <cellStyle name="Normal 5 3 3 4 5 3 2" xfId="14922" xr:uid="{948A7729-C23F-4C1D-BCFA-61E9DA3E46EE}"/>
    <cellStyle name="Normal 5 3 3 4 5 4" xfId="10704" xr:uid="{13B2BE98-9B1B-429C-B81E-BD3901277CA6}"/>
    <cellStyle name="Normal 5 3 3 4 6" xfId="2602" xr:uid="{00000000-0005-0000-0000-0000FF190000}"/>
    <cellStyle name="Normal 5 3 3 4 6 2" xfId="6885" xr:uid="{00000000-0005-0000-0000-0000001A0000}"/>
    <cellStyle name="Normal 5 3 3 4 6 2 2" xfId="15335" xr:uid="{5CE4215B-93AC-4EA8-989D-45362A6AC0BB}"/>
    <cellStyle name="Normal 5 3 3 4 6 3" xfId="11117" xr:uid="{1AF0850D-3801-4F2F-9774-CB1BCFED13F7}"/>
    <cellStyle name="Normal 5 3 3 4 7" xfId="4820" xr:uid="{00000000-0005-0000-0000-0000011A0000}"/>
    <cellStyle name="Normal 5 3 3 4 7 2" xfId="13270" xr:uid="{0D6BA841-EE61-44EC-9AD6-FD4109D9F633}"/>
    <cellStyle name="Normal 5 3 3 4 8" xfId="9052" xr:uid="{17837330-FEEF-4B88-B682-B1A00725BA35}"/>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E6221E6D-E9DA-45ED-BA5F-27F6BEE7E299}"/>
    <cellStyle name="Normal 5 3 3 5 2 3" xfId="11603" xr:uid="{13A3EFD6-093D-4906-8C05-A85FE8C4136C}"/>
    <cellStyle name="Normal 5 3 3 5 3" xfId="5226" xr:uid="{00000000-0005-0000-0000-0000051A0000}"/>
    <cellStyle name="Normal 5 3 3 5 3 2" xfId="13676" xr:uid="{C8A72C37-023F-45D8-B9A1-824E68A8B215}"/>
    <cellStyle name="Normal 5 3 3 5 4" xfId="9458" xr:uid="{E88289AA-6912-49D9-90BD-07C37BE37CEE}"/>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C8AD9673-B2BE-4D9C-9270-414713C23A7F}"/>
    <cellStyle name="Normal 5 3 3 6 2 3" xfId="12016" xr:uid="{F6FFA4B0-8F76-4BB7-A7E0-22177D6CE00D}"/>
    <cellStyle name="Normal 5 3 3 6 3" xfId="5639" xr:uid="{00000000-0005-0000-0000-0000091A0000}"/>
    <cellStyle name="Normal 5 3 3 6 3 2" xfId="14089" xr:uid="{238DED82-CDB0-45B9-88B2-4C523643A869}"/>
    <cellStyle name="Normal 5 3 3 6 4" xfId="9871" xr:uid="{3CED44DF-FDC7-43FE-86EF-8D40F1478E33}"/>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A67E199F-E918-4232-A8E9-A5837B40D6E2}"/>
    <cellStyle name="Normal 5 3 3 7 2 3" xfId="12429" xr:uid="{67B15958-FC0F-4C22-918C-862AF3C455DF}"/>
    <cellStyle name="Normal 5 3 3 7 3" xfId="6052" xr:uid="{00000000-0005-0000-0000-00000D1A0000}"/>
    <cellStyle name="Normal 5 3 3 7 3 2" xfId="14502" xr:uid="{C792EC49-3EDC-4945-B03C-595885006DB0}"/>
    <cellStyle name="Normal 5 3 3 7 4" xfId="10284" xr:uid="{C936757C-1157-4E8D-98EA-481BAD77449D}"/>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05FC0DFE-3F8D-475B-A654-C81C3E462DDA}"/>
    <cellStyle name="Normal 5 3 3 8 2 3" xfId="12842" xr:uid="{6879D82B-D3A6-4E36-9BF5-B1D0F1467FF8}"/>
    <cellStyle name="Normal 5 3 3 8 3" xfId="6465" xr:uid="{00000000-0005-0000-0000-0000111A0000}"/>
    <cellStyle name="Normal 5 3 3 8 3 2" xfId="14915" xr:uid="{CF85D277-A1EE-4AA3-A3C6-539016879E07}"/>
    <cellStyle name="Normal 5 3 3 8 4" xfId="10697" xr:uid="{D806617A-2019-43B1-90B1-86B0EA3F6092}"/>
    <cellStyle name="Normal 5 3 3 9" xfId="2595" xr:uid="{00000000-0005-0000-0000-0000121A0000}"/>
    <cellStyle name="Normal 5 3 3 9 2" xfId="6878" xr:uid="{00000000-0005-0000-0000-0000131A0000}"/>
    <cellStyle name="Normal 5 3 3 9 2 2" xfId="15328" xr:uid="{B97F5B57-BCA5-4C44-AF6C-7BB825F342F8}"/>
    <cellStyle name="Normal 5 3 3 9 3" xfId="11110" xr:uid="{A69E69CB-D13C-4601-AE2C-3F6F96438866}"/>
    <cellStyle name="Normal 5 3 4" xfId="449" xr:uid="{00000000-0005-0000-0000-0000141A0000}"/>
    <cellStyle name="Normal 5 3 4 10" xfId="9053" xr:uid="{C13F8D66-245B-4CCD-99E8-25771717AA8E}"/>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6E146EB0-9D6C-46F0-974D-619B63E41EAA}"/>
    <cellStyle name="Normal 5 3 4 2 2 2 2 3" xfId="11613" xr:uid="{0A4BC6C1-ACBF-4768-8AB4-FD57399219EA}"/>
    <cellStyle name="Normal 5 3 4 2 2 2 3" xfId="5236" xr:uid="{00000000-0005-0000-0000-00001A1A0000}"/>
    <cellStyle name="Normal 5 3 4 2 2 2 3 2" xfId="13686" xr:uid="{3E622506-9A2B-4035-96DE-042DBA8A8CEB}"/>
    <cellStyle name="Normal 5 3 4 2 2 2 4" xfId="9468" xr:uid="{81401D96-4061-4C4F-8059-9B5C6675329C}"/>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B6332A47-656B-426E-8319-8F6104B3CD83}"/>
    <cellStyle name="Normal 5 3 4 2 2 3 2 3" xfId="12026" xr:uid="{AD3C80E5-DC42-4847-9F5C-2BFBECFC8786}"/>
    <cellStyle name="Normal 5 3 4 2 2 3 3" xfId="5649" xr:uid="{00000000-0005-0000-0000-00001E1A0000}"/>
    <cellStyle name="Normal 5 3 4 2 2 3 3 2" xfId="14099" xr:uid="{6964E90A-6D60-4223-8441-C6EEF626A3DC}"/>
    <cellStyle name="Normal 5 3 4 2 2 3 4" xfId="9881" xr:uid="{C8BA3F6E-03E5-4D27-824F-5D3064C67238}"/>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B735B36B-331E-4FC7-AF91-D9B7E87479EE}"/>
    <cellStyle name="Normal 5 3 4 2 2 4 2 3" xfId="12439" xr:uid="{B56F56A9-739D-45C5-9755-B7CE656054FF}"/>
    <cellStyle name="Normal 5 3 4 2 2 4 3" xfId="6062" xr:uid="{00000000-0005-0000-0000-0000221A0000}"/>
    <cellStyle name="Normal 5 3 4 2 2 4 3 2" xfId="14512" xr:uid="{E5E616D4-419D-4029-A66A-DEE30EF6DA8D}"/>
    <cellStyle name="Normal 5 3 4 2 2 4 4" xfId="10294" xr:uid="{86D16600-B5AC-4FB3-93A4-150AED9FC1CD}"/>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4480956E-FF26-4A19-BCA7-9F0D29B1E546}"/>
    <cellStyle name="Normal 5 3 4 2 2 5 2 3" xfId="12852" xr:uid="{F6A7222B-3E51-464B-8BCF-88DC04A5A71F}"/>
    <cellStyle name="Normal 5 3 4 2 2 5 3" xfId="6475" xr:uid="{00000000-0005-0000-0000-0000261A0000}"/>
    <cellStyle name="Normal 5 3 4 2 2 5 3 2" xfId="14925" xr:uid="{F6FDC7B1-18B8-41FA-B64C-530F5223F20C}"/>
    <cellStyle name="Normal 5 3 4 2 2 5 4" xfId="10707" xr:uid="{E7868C93-58FF-4FE1-A96A-AC477F2E433F}"/>
    <cellStyle name="Normal 5 3 4 2 2 6" xfId="2605" xr:uid="{00000000-0005-0000-0000-0000271A0000}"/>
    <cellStyle name="Normal 5 3 4 2 2 6 2" xfId="6888" xr:uid="{00000000-0005-0000-0000-0000281A0000}"/>
    <cellStyle name="Normal 5 3 4 2 2 6 2 2" xfId="15338" xr:uid="{C2A3EE83-04FD-40E3-94CF-13D9939AB902}"/>
    <cellStyle name="Normal 5 3 4 2 2 6 3" xfId="11120" xr:uid="{28698748-A4FC-4856-802F-DD4D773A06F6}"/>
    <cellStyle name="Normal 5 3 4 2 2 7" xfId="4823" xr:uid="{00000000-0005-0000-0000-0000291A0000}"/>
    <cellStyle name="Normal 5 3 4 2 2 7 2" xfId="13273" xr:uid="{619CD7A1-AEEF-4577-9D00-584157374BD9}"/>
    <cellStyle name="Normal 5 3 4 2 2 8" xfId="9055" xr:uid="{B2740C65-FCC0-4842-B42F-B0FAC2DAD0B2}"/>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D72EE039-8796-4DA7-B3EA-A2ACEC196A27}"/>
    <cellStyle name="Normal 5 3 4 2 3 2 3" xfId="11612" xr:uid="{E6D6ADCA-3CD4-40C4-AFD0-C19719689657}"/>
    <cellStyle name="Normal 5 3 4 2 3 3" xfId="5235" xr:uid="{00000000-0005-0000-0000-00002D1A0000}"/>
    <cellStyle name="Normal 5 3 4 2 3 3 2" xfId="13685" xr:uid="{7C36FD2A-A0C3-4A97-B770-176122288C8F}"/>
    <cellStyle name="Normal 5 3 4 2 3 4" xfId="9467" xr:uid="{F60B5F30-BE02-40D0-A9FF-C0BF1C120924}"/>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5AB00C0C-4D4F-4BC3-871F-C8280C221BFB}"/>
    <cellStyle name="Normal 5 3 4 2 4 2 3" xfId="12025" xr:uid="{8D1D274D-8877-4623-95FF-7E49701EC642}"/>
    <cellStyle name="Normal 5 3 4 2 4 3" xfId="5648" xr:uid="{00000000-0005-0000-0000-0000311A0000}"/>
    <cellStyle name="Normal 5 3 4 2 4 3 2" xfId="14098" xr:uid="{977EC269-1616-4E05-A9FD-D96A9DFF829A}"/>
    <cellStyle name="Normal 5 3 4 2 4 4" xfId="9880" xr:uid="{C7E8AEE4-8FDD-4C77-9DCD-4DF086452F8F}"/>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3BB0C866-2E1F-4A8C-8236-D35E9EC2D30A}"/>
    <cellStyle name="Normal 5 3 4 2 5 2 3" xfId="12438" xr:uid="{DD3144F1-2661-4269-858C-86F62FEB66D3}"/>
    <cellStyle name="Normal 5 3 4 2 5 3" xfId="6061" xr:uid="{00000000-0005-0000-0000-0000351A0000}"/>
    <cellStyle name="Normal 5 3 4 2 5 3 2" xfId="14511" xr:uid="{121B2895-056C-4C48-A932-7A2BD3276281}"/>
    <cellStyle name="Normal 5 3 4 2 5 4" xfId="10293" xr:uid="{E69A88C1-6E07-4E5D-86DE-2BAD676FE523}"/>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0AA1B55E-7BCA-49FD-A303-F87DB9D64459}"/>
    <cellStyle name="Normal 5 3 4 2 6 2 3" xfId="12851" xr:uid="{0AA7B3B6-0C6D-461C-ADBB-D8136A7A50AC}"/>
    <cellStyle name="Normal 5 3 4 2 6 3" xfId="6474" xr:uid="{00000000-0005-0000-0000-0000391A0000}"/>
    <cellStyle name="Normal 5 3 4 2 6 3 2" xfId="14924" xr:uid="{87812BF8-53A4-411D-8EA8-55EED0880A51}"/>
    <cellStyle name="Normal 5 3 4 2 6 4" xfId="10706" xr:uid="{F01CAD8A-CC8F-4264-8240-07C259B5FB57}"/>
    <cellStyle name="Normal 5 3 4 2 7" xfId="2604" xr:uid="{00000000-0005-0000-0000-00003A1A0000}"/>
    <cellStyle name="Normal 5 3 4 2 7 2" xfId="6887" xr:uid="{00000000-0005-0000-0000-00003B1A0000}"/>
    <cellStyle name="Normal 5 3 4 2 7 2 2" xfId="15337" xr:uid="{F42A4E2A-7134-497D-99F6-1F7509CF42F0}"/>
    <cellStyle name="Normal 5 3 4 2 7 3" xfId="11119" xr:uid="{1B734A60-33E1-4CCA-B8ED-FDD47CEAA931}"/>
    <cellStyle name="Normal 5 3 4 2 8" xfId="4822" xr:uid="{00000000-0005-0000-0000-00003C1A0000}"/>
    <cellStyle name="Normal 5 3 4 2 8 2" xfId="13272" xr:uid="{98269B55-10AE-4DF4-9FD7-6248B0C9DD09}"/>
    <cellStyle name="Normal 5 3 4 2 9" xfId="9054" xr:uid="{C7FBF4B6-4656-4826-A00F-27E08A4CE62A}"/>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F053E69D-C009-4A8A-AE57-47575FB209FA}"/>
    <cellStyle name="Normal 5 3 4 3 2 2 3" xfId="11614" xr:uid="{F402079D-6BC6-438D-8E19-AAEED8AE55FD}"/>
    <cellStyle name="Normal 5 3 4 3 2 3" xfId="5237" xr:uid="{00000000-0005-0000-0000-0000411A0000}"/>
    <cellStyle name="Normal 5 3 4 3 2 3 2" xfId="13687" xr:uid="{8A5A2B39-551F-4013-AD0D-35699A4E8447}"/>
    <cellStyle name="Normal 5 3 4 3 2 4" xfId="9469" xr:uid="{2C963D25-E207-4B20-B273-3B3925CCD0D7}"/>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3248E450-BF75-4884-98D8-8888C0D978FC}"/>
    <cellStyle name="Normal 5 3 4 3 3 2 3" xfId="12027" xr:uid="{A506A8E0-A29C-4103-B031-CF6D4D36399A}"/>
    <cellStyle name="Normal 5 3 4 3 3 3" xfId="5650" xr:uid="{00000000-0005-0000-0000-0000451A0000}"/>
    <cellStyle name="Normal 5 3 4 3 3 3 2" xfId="14100" xr:uid="{68F90F7D-7583-4FB8-9126-AD4533764B38}"/>
    <cellStyle name="Normal 5 3 4 3 3 4" xfId="9882" xr:uid="{4ECE0DAF-24C2-465A-B084-0A7B45C009F3}"/>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63AA0F9C-372B-45C1-B033-CCC5B0726423}"/>
    <cellStyle name="Normal 5 3 4 3 4 2 3" xfId="12440" xr:uid="{F8D50287-4AFC-4B58-893A-326A6EEB4073}"/>
    <cellStyle name="Normal 5 3 4 3 4 3" xfId="6063" xr:uid="{00000000-0005-0000-0000-0000491A0000}"/>
    <cellStyle name="Normal 5 3 4 3 4 3 2" xfId="14513" xr:uid="{941005DF-BF38-4316-959F-8A9917560565}"/>
    <cellStyle name="Normal 5 3 4 3 4 4" xfId="10295" xr:uid="{C8F0F23A-46EE-4625-832B-E51C9D56F111}"/>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BE66723D-47CB-4619-90EA-E1017276AD90}"/>
    <cellStyle name="Normal 5 3 4 3 5 2 3" xfId="12853" xr:uid="{9F2F8E0C-EAB0-4B62-B003-2D49C5A94080}"/>
    <cellStyle name="Normal 5 3 4 3 5 3" xfId="6476" xr:uid="{00000000-0005-0000-0000-00004D1A0000}"/>
    <cellStyle name="Normal 5 3 4 3 5 3 2" xfId="14926" xr:uid="{2E2EB9E5-44B9-4E83-A586-07676470C95B}"/>
    <cellStyle name="Normal 5 3 4 3 5 4" xfId="10708" xr:uid="{BAA0822C-C8F7-4FA9-AFE4-CD22A17AD3C8}"/>
    <cellStyle name="Normal 5 3 4 3 6" xfId="2606" xr:uid="{00000000-0005-0000-0000-00004E1A0000}"/>
    <cellStyle name="Normal 5 3 4 3 6 2" xfId="6889" xr:uid="{00000000-0005-0000-0000-00004F1A0000}"/>
    <cellStyle name="Normal 5 3 4 3 6 2 2" xfId="15339" xr:uid="{A0EEC69A-DFFE-44C7-A122-BE78FD2906F2}"/>
    <cellStyle name="Normal 5 3 4 3 6 3" xfId="11121" xr:uid="{BF7DB544-CBC7-46B2-A273-36CCEE38C55A}"/>
    <cellStyle name="Normal 5 3 4 3 7" xfId="4824" xr:uid="{00000000-0005-0000-0000-0000501A0000}"/>
    <cellStyle name="Normal 5 3 4 3 7 2" xfId="13274" xr:uid="{34715741-1E5E-4BD0-A73C-7B5054EEECF2}"/>
    <cellStyle name="Normal 5 3 4 3 8" xfId="9056" xr:uid="{C2A4EBFC-953D-4BAC-9A4A-35C9F2251D84}"/>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FF016E63-7BC3-419E-A3B1-7422189429BB}"/>
    <cellStyle name="Normal 5 3 4 4 2 3" xfId="11611" xr:uid="{E3E021C7-D1A3-4AFF-AFAC-D551FEF25E01}"/>
    <cellStyle name="Normal 5 3 4 4 3" xfId="5234" xr:uid="{00000000-0005-0000-0000-0000541A0000}"/>
    <cellStyle name="Normal 5 3 4 4 3 2" xfId="13684" xr:uid="{E383DC3D-4DBD-4564-BB02-409B0BBD7569}"/>
    <cellStyle name="Normal 5 3 4 4 4" xfId="9466" xr:uid="{F829F983-3AF7-4717-A04B-786DB15C93F5}"/>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CDEBFFF7-3783-449C-93D7-519713BAC3A5}"/>
    <cellStyle name="Normal 5 3 4 5 2 3" xfId="12024" xr:uid="{61AC117C-8188-485E-8563-323E36EA9C95}"/>
    <cellStyle name="Normal 5 3 4 5 3" xfId="5647" xr:uid="{00000000-0005-0000-0000-0000581A0000}"/>
    <cellStyle name="Normal 5 3 4 5 3 2" xfId="14097" xr:uid="{9335F4DD-BCF3-458B-9FBF-B8CE0F2F35B8}"/>
    <cellStyle name="Normal 5 3 4 5 4" xfId="9879" xr:uid="{90A39FE6-2C5C-49F7-A009-F39EA1D27820}"/>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CD7D0C7B-D69C-42F9-967E-E52959BD6B4F}"/>
    <cellStyle name="Normal 5 3 4 6 2 3" xfId="12437" xr:uid="{15555CAB-10A5-4A7E-8D87-3C853BE864A0}"/>
    <cellStyle name="Normal 5 3 4 6 3" xfId="6060" xr:uid="{00000000-0005-0000-0000-00005C1A0000}"/>
    <cellStyle name="Normal 5 3 4 6 3 2" xfId="14510" xr:uid="{E55BDDAD-82CC-455C-A528-5B2B2FE68948}"/>
    <cellStyle name="Normal 5 3 4 6 4" xfId="10292" xr:uid="{56B745BC-FC43-4BF2-9532-4D05A4761428}"/>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14083855-296A-4B72-A94F-9FD83332870F}"/>
    <cellStyle name="Normal 5 3 4 7 2 3" xfId="12850" xr:uid="{2982DF17-D657-4C57-9E14-84D8C44E95F3}"/>
    <cellStyle name="Normal 5 3 4 7 3" xfId="6473" xr:uid="{00000000-0005-0000-0000-0000601A0000}"/>
    <cellStyle name="Normal 5 3 4 7 3 2" xfId="14923" xr:uid="{268E01CF-3A5F-499B-B555-792A78F00870}"/>
    <cellStyle name="Normal 5 3 4 7 4" xfId="10705" xr:uid="{5B9CCEAE-2F88-481C-B643-0D6A4C95A637}"/>
    <cellStyle name="Normal 5 3 4 8" xfId="2603" xr:uid="{00000000-0005-0000-0000-0000611A0000}"/>
    <cellStyle name="Normal 5 3 4 8 2" xfId="6886" xr:uid="{00000000-0005-0000-0000-0000621A0000}"/>
    <cellStyle name="Normal 5 3 4 8 2 2" xfId="15336" xr:uid="{BBA8295E-B1FD-4C24-9B4C-1090917F16D6}"/>
    <cellStyle name="Normal 5 3 4 8 3" xfId="11118" xr:uid="{D4049953-A4FA-4246-B3FA-C94C464664B9}"/>
    <cellStyle name="Normal 5 3 4 9" xfId="4821" xr:uid="{00000000-0005-0000-0000-0000631A0000}"/>
    <cellStyle name="Normal 5 3 4 9 2" xfId="13271" xr:uid="{E4406422-80D1-4310-B003-93F3C4B9C0EF}"/>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CE01F2D7-641E-470A-B96E-20FCC10679FF}"/>
    <cellStyle name="Normal 5 3 5 2 2 2 3" xfId="11616" xr:uid="{1B49FA5D-DA27-4E8F-A22A-B9A6B28D4FC7}"/>
    <cellStyle name="Normal 5 3 5 2 2 3" xfId="5239" xr:uid="{00000000-0005-0000-0000-0000691A0000}"/>
    <cellStyle name="Normal 5 3 5 2 2 3 2" xfId="13689" xr:uid="{B0F8E818-B9B4-4054-9D1A-440C094E834F}"/>
    <cellStyle name="Normal 5 3 5 2 2 4" xfId="9471" xr:uid="{ADACC2FD-4292-4FE0-AF2B-DFC97A9CDBFD}"/>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1DA303C2-262A-44B8-9F5E-B3A2A4D8C408}"/>
    <cellStyle name="Normal 5 3 5 2 3 2 3" xfId="12029" xr:uid="{1F848687-69E9-40E8-85CF-DBCF387D3611}"/>
    <cellStyle name="Normal 5 3 5 2 3 3" xfId="5652" xr:uid="{00000000-0005-0000-0000-00006D1A0000}"/>
    <cellStyle name="Normal 5 3 5 2 3 3 2" xfId="14102" xr:uid="{F769D295-BA3D-479F-B7E2-09CBFB0F81F7}"/>
    <cellStyle name="Normal 5 3 5 2 3 4" xfId="9884" xr:uid="{E490A17F-4701-439D-ACED-728DDD79CDBB}"/>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0F294373-B2E5-4084-B543-F377475D0190}"/>
    <cellStyle name="Normal 5 3 5 2 4 2 3" xfId="12442" xr:uid="{3F810CDC-8AF9-4E45-8586-CB99E7025C5A}"/>
    <cellStyle name="Normal 5 3 5 2 4 3" xfId="6065" xr:uid="{00000000-0005-0000-0000-0000711A0000}"/>
    <cellStyle name="Normal 5 3 5 2 4 3 2" xfId="14515" xr:uid="{21D42D51-0D19-427D-A4BB-7F4122DF9B3E}"/>
    <cellStyle name="Normal 5 3 5 2 4 4" xfId="10297" xr:uid="{000C498B-FE3D-4AB9-A0B2-ADAC5F03750B}"/>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E95C8BDF-A9B9-4FB8-B0FD-642E3746D067}"/>
    <cellStyle name="Normal 5 3 5 2 5 2 3" xfId="12855" xr:uid="{98EBFDA0-1069-4B9A-9882-03DE5411C524}"/>
    <cellStyle name="Normal 5 3 5 2 5 3" xfId="6478" xr:uid="{00000000-0005-0000-0000-0000751A0000}"/>
    <cellStyle name="Normal 5 3 5 2 5 3 2" xfId="14928" xr:uid="{424FA98E-A59B-4083-886A-01D47E368087}"/>
    <cellStyle name="Normal 5 3 5 2 5 4" xfId="10710" xr:uid="{B4B38A0C-FDB3-473C-B5F9-016CBA1774CD}"/>
    <cellStyle name="Normal 5 3 5 2 6" xfId="2608" xr:uid="{00000000-0005-0000-0000-0000761A0000}"/>
    <cellStyle name="Normal 5 3 5 2 6 2" xfId="6891" xr:uid="{00000000-0005-0000-0000-0000771A0000}"/>
    <cellStyle name="Normal 5 3 5 2 6 2 2" xfId="15341" xr:uid="{B64F564F-926F-4829-9D20-57290098B09B}"/>
    <cellStyle name="Normal 5 3 5 2 6 3" xfId="11123" xr:uid="{8FA51F89-70CB-406D-A438-16E18A851367}"/>
    <cellStyle name="Normal 5 3 5 2 7" xfId="4826" xr:uid="{00000000-0005-0000-0000-0000781A0000}"/>
    <cellStyle name="Normal 5 3 5 2 7 2" xfId="13276" xr:uid="{03249FC6-A9A3-4159-823B-69569F4F69AE}"/>
    <cellStyle name="Normal 5 3 5 2 8" xfId="9058" xr:uid="{6A30E5ED-B80B-4D7B-9B30-1C1A706A7918}"/>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93CC546C-5C90-495A-86B3-9FB461AFD902}"/>
    <cellStyle name="Normal 5 3 5 3 2 3" xfId="11615" xr:uid="{F7AB7430-9CDB-4B07-946E-9DE925B29460}"/>
    <cellStyle name="Normal 5 3 5 3 3" xfId="5238" xr:uid="{00000000-0005-0000-0000-00007C1A0000}"/>
    <cellStyle name="Normal 5 3 5 3 3 2" xfId="13688" xr:uid="{3739BA80-A761-41CA-9061-3FE96142A856}"/>
    <cellStyle name="Normal 5 3 5 3 4" xfId="9470" xr:uid="{37F4E716-91C7-49D9-974E-006837C15A04}"/>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66F2ED79-2C57-4C1E-9F26-2B92F560EF76}"/>
    <cellStyle name="Normal 5 3 5 4 2 3" xfId="12028" xr:uid="{5504B04B-B793-48CC-B93B-A9FCFC6509A8}"/>
    <cellStyle name="Normal 5 3 5 4 3" xfId="5651" xr:uid="{00000000-0005-0000-0000-0000801A0000}"/>
    <cellStyle name="Normal 5 3 5 4 3 2" xfId="14101" xr:uid="{470A7140-2A0E-4274-B332-F8668FEC46E4}"/>
    <cellStyle name="Normal 5 3 5 4 4" xfId="9883" xr:uid="{1739F7B8-27AA-4B1F-A15D-B8FB842ECBF3}"/>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DC81A4B3-FD94-453F-885E-346BA76A4B8D}"/>
    <cellStyle name="Normal 5 3 5 5 2 3" xfId="12441" xr:uid="{CA4ACC59-4D37-4432-9C91-72D43A30596F}"/>
    <cellStyle name="Normal 5 3 5 5 3" xfId="6064" xr:uid="{00000000-0005-0000-0000-0000841A0000}"/>
    <cellStyle name="Normal 5 3 5 5 3 2" xfId="14514" xr:uid="{93C496E8-222B-4747-ADF9-7066BDFD3E69}"/>
    <cellStyle name="Normal 5 3 5 5 4" xfId="10296" xr:uid="{93B03F45-E9B7-41AD-A7CF-E740B71FB8B0}"/>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918BA95C-0EF5-4AFF-81DF-D6B8728E9852}"/>
    <cellStyle name="Normal 5 3 5 6 2 3" xfId="12854" xr:uid="{DF06A50A-F0F7-41E4-9DED-2EB6CBED85D0}"/>
    <cellStyle name="Normal 5 3 5 6 3" xfId="6477" xr:uid="{00000000-0005-0000-0000-0000881A0000}"/>
    <cellStyle name="Normal 5 3 5 6 3 2" xfId="14927" xr:uid="{2AC44B77-C5F9-4D63-981A-CCD49EB73F7F}"/>
    <cellStyle name="Normal 5 3 5 6 4" xfId="10709" xr:uid="{5F8F3C27-A89F-4006-BE39-E312807ABC0D}"/>
    <cellStyle name="Normal 5 3 5 7" xfId="2607" xr:uid="{00000000-0005-0000-0000-0000891A0000}"/>
    <cellStyle name="Normal 5 3 5 7 2" xfId="6890" xr:uid="{00000000-0005-0000-0000-00008A1A0000}"/>
    <cellStyle name="Normal 5 3 5 7 2 2" xfId="15340" xr:uid="{6A70DEB8-9802-432E-8307-4C3949E663A2}"/>
    <cellStyle name="Normal 5 3 5 7 3" xfId="11122" xr:uid="{25FED4BC-E8CC-4DE0-84D6-414BCB7DAE02}"/>
    <cellStyle name="Normal 5 3 5 8" xfId="4825" xr:uid="{00000000-0005-0000-0000-00008B1A0000}"/>
    <cellStyle name="Normal 5 3 5 8 2" xfId="13275" xr:uid="{D81F43DC-7F22-4163-8ACF-280851DFBB24}"/>
    <cellStyle name="Normal 5 3 5 9" xfId="9057" xr:uid="{D4D659B1-6B91-439E-B16C-C336879EA7E1}"/>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471653D2-6F41-428C-9905-0F595BDBD16F}"/>
    <cellStyle name="Normal 5 3 6 2 2 3" xfId="11617" xr:uid="{B9724BB4-ECF3-427B-BDE6-A1BC6E7E907E}"/>
    <cellStyle name="Normal 5 3 6 2 3" xfId="5240" xr:uid="{00000000-0005-0000-0000-0000901A0000}"/>
    <cellStyle name="Normal 5 3 6 2 3 2" xfId="13690" xr:uid="{DFBE13A1-836E-4259-AF7C-2DDB5DAE2727}"/>
    <cellStyle name="Normal 5 3 6 2 4" xfId="9472" xr:uid="{1FEB0999-E666-4E4A-BB78-D618871C560F}"/>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0297BFBB-978A-420A-ABB6-5B1691C751B8}"/>
    <cellStyle name="Normal 5 3 6 3 2 3" xfId="12030" xr:uid="{5253FC5F-F747-432C-92BA-15713BF0C97A}"/>
    <cellStyle name="Normal 5 3 6 3 3" xfId="5653" xr:uid="{00000000-0005-0000-0000-0000941A0000}"/>
    <cellStyle name="Normal 5 3 6 3 3 2" xfId="14103" xr:uid="{3701C683-6F31-41A6-AD13-14C51B4A9B0A}"/>
    <cellStyle name="Normal 5 3 6 3 4" xfId="9885" xr:uid="{6F1250A8-1F7B-4CA4-B531-D7DD738E5229}"/>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7BBD9A13-A0A6-4AA7-9A1F-2C161CD4B570}"/>
    <cellStyle name="Normal 5 3 6 4 2 3" xfId="12443" xr:uid="{BC1E4980-2367-4BBF-ABA2-31CB84DCD96B}"/>
    <cellStyle name="Normal 5 3 6 4 3" xfId="6066" xr:uid="{00000000-0005-0000-0000-0000981A0000}"/>
    <cellStyle name="Normal 5 3 6 4 3 2" xfId="14516" xr:uid="{79473230-6810-442D-BBF9-28569A8FDFA9}"/>
    <cellStyle name="Normal 5 3 6 4 4" xfId="10298" xr:uid="{29712E01-F40D-4169-96D4-152FA38AF482}"/>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08C32355-1B9A-465F-ABCE-5BA09FE51690}"/>
    <cellStyle name="Normal 5 3 6 5 2 3" xfId="12856" xr:uid="{A5DB716B-CDBF-4633-AA82-E704EA385CFC}"/>
    <cellStyle name="Normal 5 3 6 5 3" xfId="6479" xr:uid="{00000000-0005-0000-0000-00009C1A0000}"/>
    <cellStyle name="Normal 5 3 6 5 3 2" xfId="14929" xr:uid="{C597F194-F924-4221-AB6F-4DD2299D5FEA}"/>
    <cellStyle name="Normal 5 3 6 5 4" xfId="10711" xr:uid="{09C5468D-CE8E-425B-A82B-10CB7B149EB4}"/>
    <cellStyle name="Normal 5 3 6 6" xfId="2609" xr:uid="{00000000-0005-0000-0000-00009D1A0000}"/>
    <cellStyle name="Normal 5 3 6 6 2" xfId="6892" xr:uid="{00000000-0005-0000-0000-00009E1A0000}"/>
    <cellStyle name="Normal 5 3 6 6 2 2" xfId="15342" xr:uid="{4CCBBA0F-BA30-430D-B774-4149F8E1C270}"/>
    <cellStyle name="Normal 5 3 6 6 3" xfId="11124" xr:uid="{FD617170-BFAE-4D61-9B45-51ED43480F41}"/>
    <cellStyle name="Normal 5 3 6 7" xfId="4827" xr:uid="{00000000-0005-0000-0000-00009F1A0000}"/>
    <cellStyle name="Normal 5 3 6 7 2" xfId="13277" xr:uid="{2AD8B99B-EF99-43C6-9CA1-41190B8DF0AE}"/>
    <cellStyle name="Normal 5 3 6 8" xfId="9059" xr:uid="{E93E7ADF-4551-4A79-8DC0-C2E0AF4BED0E}"/>
    <cellStyle name="Normal 5 3 7" xfId="913" xr:uid="{00000000-0005-0000-0000-0000A01A0000}"/>
    <cellStyle name="Normal 5 3 7 2" xfId="3148" xr:uid="{00000000-0005-0000-0000-0000A11A0000}"/>
    <cellStyle name="Normal 5 3 7 2 2" xfId="7370" xr:uid="{00000000-0005-0000-0000-0000A21A0000}"/>
    <cellStyle name="Normal 5 3 7 2 2 2" xfId="15820" xr:uid="{C2A15222-4D6D-4356-878A-F432F2D55448}"/>
    <cellStyle name="Normal 5 3 7 2 3" xfId="11602" xr:uid="{620F1ED0-8F68-484F-8CC8-63A862694061}"/>
    <cellStyle name="Normal 5 3 7 3" xfId="5225" xr:uid="{00000000-0005-0000-0000-0000A31A0000}"/>
    <cellStyle name="Normal 5 3 7 3 2" xfId="13675" xr:uid="{8D6AECF5-1015-46F3-882B-6CCAA82A67FE}"/>
    <cellStyle name="Normal 5 3 7 4" xfId="9457" xr:uid="{35B9C6F7-5D19-43D3-B1B8-64832C7FE7DB}"/>
    <cellStyle name="Normal 5 3 8" xfId="1331" xr:uid="{00000000-0005-0000-0000-0000A41A0000}"/>
    <cellStyle name="Normal 5 3 8 2" xfId="3561" xr:uid="{00000000-0005-0000-0000-0000A51A0000}"/>
    <cellStyle name="Normal 5 3 8 2 2" xfId="7783" xr:uid="{00000000-0005-0000-0000-0000A61A0000}"/>
    <cellStyle name="Normal 5 3 8 2 2 2" xfId="16233" xr:uid="{E29A5D12-BB9F-4621-9C67-CEA4C2597E09}"/>
    <cellStyle name="Normal 5 3 8 2 3" xfId="12015" xr:uid="{7A3BA4CA-E0DC-49FB-8DC4-3910B9BE78FB}"/>
    <cellStyle name="Normal 5 3 8 3" xfId="5638" xr:uid="{00000000-0005-0000-0000-0000A71A0000}"/>
    <cellStyle name="Normal 5 3 8 3 2" xfId="14088" xr:uid="{9D4D53AD-769F-4975-B6B9-719C34C15A7C}"/>
    <cellStyle name="Normal 5 3 8 4" xfId="9870" xr:uid="{E930C44C-9D24-437A-A09C-51842664BE9C}"/>
    <cellStyle name="Normal 5 3 9" xfId="1744" xr:uid="{00000000-0005-0000-0000-0000A81A0000}"/>
    <cellStyle name="Normal 5 3 9 2" xfId="3974" xr:uid="{00000000-0005-0000-0000-0000A91A0000}"/>
    <cellStyle name="Normal 5 3 9 2 2" xfId="8196" xr:uid="{00000000-0005-0000-0000-0000AA1A0000}"/>
    <cellStyle name="Normal 5 3 9 2 2 2" xfId="16646" xr:uid="{8D262594-505F-4B02-9290-B5EF40F34726}"/>
    <cellStyle name="Normal 5 3 9 2 3" xfId="12428" xr:uid="{EE938170-8873-4163-A624-BB7FA59BC271}"/>
    <cellStyle name="Normal 5 3 9 3" xfId="6051" xr:uid="{00000000-0005-0000-0000-0000AB1A0000}"/>
    <cellStyle name="Normal 5 3 9 3 2" xfId="14501" xr:uid="{BDCFB155-88F1-4A84-9744-294F21C3965E}"/>
    <cellStyle name="Normal 5 3 9 4" xfId="10283" xr:uid="{224ADAEF-A76E-4487-BC3D-06158094A643}"/>
    <cellStyle name="Normal 5 4" xfId="456" xr:uid="{00000000-0005-0000-0000-0000AC1A0000}"/>
    <cellStyle name="Normal 5 4 10" xfId="4828" xr:uid="{00000000-0005-0000-0000-0000AD1A0000}"/>
    <cellStyle name="Normal 5 4 10 2" xfId="13278" xr:uid="{3428777C-8800-448E-8CE8-08664F8EE4BF}"/>
    <cellStyle name="Normal 5 4 11" xfId="9060" xr:uid="{62E7A74D-0BCC-4434-B353-BB3AA3B36FB6}"/>
    <cellStyle name="Normal 5 4 2" xfId="457" xr:uid="{00000000-0005-0000-0000-0000AE1A0000}"/>
    <cellStyle name="Normal 5 4 2 10" xfId="9061" xr:uid="{766DAB96-D9BD-44D1-90E4-69D6A5796A48}"/>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149CAE73-2FDD-49C6-B1A2-54A0B243A766}"/>
    <cellStyle name="Normal 5 4 2 2 2 2 2 3" xfId="11621" xr:uid="{19E5C6F5-5259-4BFC-86B4-F7EA28E092C6}"/>
    <cellStyle name="Normal 5 4 2 2 2 2 3" xfId="5244" xr:uid="{00000000-0005-0000-0000-0000B41A0000}"/>
    <cellStyle name="Normal 5 4 2 2 2 2 3 2" xfId="13694" xr:uid="{84E23767-5146-4260-8CE8-9749CD464479}"/>
    <cellStyle name="Normal 5 4 2 2 2 2 4" xfId="9476" xr:uid="{95E18D6E-E6F4-43F6-AE96-DDD70A9E1FB5}"/>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F559FA67-0741-401F-AA85-EBA4619B296D}"/>
    <cellStyle name="Normal 5 4 2 2 2 3 2 3" xfId="12034" xr:uid="{58305AE4-07BF-4886-B90B-7A5480F091C7}"/>
    <cellStyle name="Normal 5 4 2 2 2 3 3" xfId="5657" xr:uid="{00000000-0005-0000-0000-0000B81A0000}"/>
    <cellStyle name="Normal 5 4 2 2 2 3 3 2" xfId="14107" xr:uid="{A4F021C9-CA61-4586-8FE8-9552EBB0D0A1}"/>
    <cellStyle name="Normal 5 4 2 2 2 3 4" xfId="9889" xr:uid="{E1A27441-DA76-4AD6-90E0-87C56D494052}"/>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C4F5BEC9-6DB6-41BF-8969-B748DE8C0AE6}"/>
    <cellStyle name="Normal 5 4 2 2 2 4 2 3" xfId="12447" xr:uid="{9A30B304-0268-4A77-B6F3-0AE6FF1E46D2}"/>
    <cellStyle name="Normal 5 4 2 2 2 4 3" xfId="6070" xr:uid="{00000000-0005-0000-0000-0000BC1A0000}"/>
    <cellStyle name="Normal 5 4 2 2 2 4 3 2" xfId="14520" xr:uid="{39904913-17FC-4E85-A06D-767DBA90C54E}"/>
    <cellStyle name="Normal 5 4 2 2 2 4 4" xfId="10302" xr:uid="{15BA851A-F632-461C-947C-23F06CCF463B}"/>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D20A2CA1-2A37-42F7-A2AE-6A68E8F3AC7C}"/>
    <cellStyle name="Normal 5 4 2 2 2 5 2 3" xfId="12860" xr:uid="{12E2A3A4-2AA1-4426-BA7F-6626A90D802A}"/>
    <cellStyle name="Normal 5 4 2 2 2 5 3" xfId="6483" xr:uid="{00000000-0005-0000-0000-0000C01A0000}"/>
    <cellStyle name="Normal 5 4 2 2 2 5 3 2" xfId="14933" xr:uid="{DFE0C7E1-37DF-46EC-87C1-297450088624}"/>
    <cellStyle name="Normal 5 4 2 2 2 5 4" xfId="10715" xr:uid="{1F5D28F1-77D6-4A17-9F47-342E2E80C9B0}"/>
    <cellStyle name="Normal 5 4 2 2 2 6" xfId="2613" xr:uid="{00000000-0005-0000-0000-0000C11A0000}"/>
    <cellStyle name="Normal 5 4 2 2 2 6 2" xfId="6896" xr:uid="{00000000-0005-0000-0000-0000C21A0000}"/>
    <cellStyle name="Normal 5 4 2 2 2 6 2 2" xfId="15346" xr:uid="{7ED11451-B2C1-4F29-9A24-E76121D4BD0A}"/>
    <cellStyle name="Normal 5 4 2 2 2 6 3" xfId="11128" xr:uid="{8ED0D9A2-07F8-4A57-A258-214BBDDB9F3B}"/>
    <cellStyle name="Normal 5 4 2 2 2 7" xfId="4831" xr:uid="{00000000-0005-0000-0000-0000C31A0000}"/>
    <cellStyle name="Normal 5 4 2 2 2 7 2" xfId="13281" xr:uid="{7C49DD6F-333D-45AC-A88B-C25E1B749EA9}"/>
    <cellStyle name="Normal 5 4 2 2 2 8" xfId="9063" xr:uid="{733F376F-B6CB-4678-B059-8A331085F9CD}"/>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DE70D036-1ACF-486D-8E56-A12323E2B167}"/>
    <cellStyle name="Normal 5 4 2 2 3 2 3" xfId="11620" xr:uid="{708FD1D3-9C33-4CCB-95B1-BFC5637D0447}"/>
    <cellStyle name="Normal 5 4 2 2 3 3" xfId="5243" xr:uid="{00000000-0005-0000-0000-0000C71A0000}"/>
    <cellStyle name="Normal 5 4 2 2 3 3 2" xfId="13693" xr:uid="{3E18D98F-D9E8-4B02-90B7-76014B5CE434}"/>
    <cellStyle name="Normal 5 4 2 2 3 4" xfId="9475" xr:uid="{F66FF93E-4634-4C82-A446-F1A703986C61}"/>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E57DC46C-8CA4-47B3-8343-C842B9CB41F7}"/>
    <cellStyle name="Normal 5 4 2 2 4 2 3" xfId="12033" xr:uid="{F3C50F4D-2E14-4D35-91D2-7D5BD701BDA4}"/>
    <cellStyle name="Normal 5 4 2 2 4 3" xfId="5656" xr:uid="{00000000-0005-0000-0000-0000CB1A0000}"/>
    <cellStyle name="Normal 5 4 2 2 4 3 2" xfId="14106" xr:uid="{4235DEA5-6A3E-49C1-8BE2-9E3E71CDFC80}"/>
    <cellStyle name="Normal 5 4 2 2 4 4" xfId="9888" xr:uid="{78086F49-B238-488D-85C1-D0BE8EFF0C2A}"/>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60BC6A4B-FA44-461A-B1F3-57A0006EBBD7}"/>
    <cellStyle name="Normal 5 4 2 2 5 2 3" xfId="12446" xr:uid="{23215815-6C22-42EC-924A-14FABA7A2D87}"/>
    <cellStyle name="Normal 5 4 2 2 5 3" xfId="6069" xr:uid="{00000000-0005-0000-0000-0000CF1A0000}"/>
    <cellStyle name="Normal 5 4 2 2 5 3 2" xfId="14519" xr:uid="{77D7CC9E-6485-4E45-9B41-98554F3BCFB6}"/>
    <cellStyle name="Normal 5 4 2 2 5 4" xfId="10301" xr:uid="{740D6977-6E00-4312-BDFB-A95733D7D53A}"/>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3A3B5E17-0557-44AA-87B3-61CB8E8DE06F}"/>
    <cellStyle name="Normal 5 4 2 2 6 2 3" xfId="12859" xr:uid="{29E47383-F9C7-4A60-AC07-9594BBE66273}"/>
    <cellStyle name="Normal 5 4 2 2 6 3" xfId="6482" xr:uid="{00000000-0005-0000-0000-0000D31A0000}"/>
    <cellStyle name="Normal 5 4 2 2 6 3 2" xfId="14932" xr:uid="{8DF50521-AC63-4BF0-A0D0-2612260D7F2F}"/>
    <cellStyle name="Normal 5 4 2 2 6 4" xfId="10714" xr:uid="{CA84922F-CB4C-4EDB-B47C-B8E17E299C85}"/>
    <cellStyle name="Normal 5 4 2 2 7" xfId="2612" xr:uid="{00000000-0005-0000-0000-0000D41A0000}"/>
    <cellStyle name="Normal 5 4 2 2 7 2" xfId="6895" xr:uid="{00000000-0005-0000-0000-0000D51A0000}"/>
    <cellStyle name="Normal 5 4 2 2 7 2 2" xfId="15345" xr:uid="{9B8EEE06-EC54-4110-83BA-4E1CBFE392F8}"/>
    <cellStyle name="Normal 5 4 2 2 7 3" xfId="11127" xr:uid="{FF924167-E2B7-4249-BC2A-68712177D5BA}"/>
    <cellStyle name="Normal 5 4 2 2 8" xfId="4830" xr:uid="{00000000-0005-0000-0000-0000D61A0000}"/>
    <cellStyle name="Normal 5 4 2 2 8 2" xfId="13280" xr:uid="{79B3C757-B73A-4175-B4B6-1363DF8AC5FF}"/>
    <cellStyle name="Normal 5 4 2 2 9" xfId="9062" xr:uid="{8E258119-E2F8-4F2E-893C-6ED891763DFC}"/>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555CBDEC-1F0B-4DE3-A758-8F7D91A0DB81}"/>
    <cellStyle name="Normal 5 4 2 3 2 2 3" xfId="11622" xr:uid="{EA35D6B5-E2C1-4A1C-AB07-B479655998EF}"/>
    <cellStyle name="Normal 5 4 2 3 2 3" xfId="5245" xr:uid="{00000000-0005-0000-0000-0000DB1A0000}"/>
    <cellStyle name="Normal 5 4 2 3 2 3 2" xfId="13695" xr:uid="{9A1B5A05-7075-4691-9277-D843D2F4E849}"/>
    <cellStyle name="Normal 5 4 2 3 2 4" xfId="9477" xr:uid="{1BC1137C-54E3-4AFF-B240-D35EB5C57024}"/>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F01EE4EE-B1E0-4928-8419-CAE72C747C52}"/>
    <cellStyle name="Normal 5 4 2 3 3 2 3" xfId="12035" xr:uid="{30CA81E5-884F-4703-AE15-5558F70552B8}"/>
    <cellStyle name="Normal 5 4 2 3 3 3" xfId="5658" xr:uid="{00000000-0005-0000-0000-0000DF1A0000}"/>
    <cellStyle name="Normal 5 4 2 3 3 3 2" xfId="14108" xr:uid="{9EF078EA-F28E-4CE0-A60F-9BFCCF268B89}"/>
    <cellStyle name="Normal 5 4 2 3 3 4" xfId="9890" xr:uid="{82F26E25-44DE-4B61-9178-BE3BBFD30CD4}"/>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705B2880-AB37-4402-A9AE-898DB519F088}"/>
    <cellStyle name="Normal 5 4 2 3 4 2 3" xfId="12448" xr:uid="{366AE241-00C4-472C-9576-00F4A6006D89}"/>
    <cellStyle name="Normal 5 4 2 3 4 3" xfId="6071" xr:uid="{00000000-0005-0000-0000-0000E31A0000}"/>
    <cellStyle name="Normal 5 4 2 3 4 3 2" xfId="14521" xr:uid="{D4A6D151-F37B-4892-8D32-6A12D4B012A5}"/>
    <cellStyle name="Normal 5 4 2 3 4 4" xfId="10303" xr:uid="{AF3B3D48-36AE-4B98-8872-7669E2770B13}"/>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D6445EEC-53DE-4408-8C83-457736CE2404}"/>
    <cellStyle name="Normal 5 4 2 3 5 2 3" xfId="12861" xr:uid="{B675465B-E5C4-4637-92C1-A0F9E8CF91BE}"/>
    <cellStyle name="Normal 5 4 2 3 5 3" xfId="6484" xr:uid="{00000000-0005-0000-0000-0000E71A0000}"/>
    <cellStyle name="Normal 5 4 2 3 5 3 2" xfId="14934" xr:uid="{24E46DA9-9458-46AB-BA9A-34B098BE3CB3}"/>
    <cellStyle name="Normal 5 4 2 3 5 4" xfId="10716" xr:uid="{894EAD22-0FE9-4AFD-A6B2-6526C4F14CE4}"/>
    <cellStyle name="Normal 5 4 2 3 6" xfId="2614" xr:uid="{00000000-0005-0000-0000-0000E81A0000}"/>
    <cellStyle name="Normal 5 4 2 3 6 2" xfId="6897" xr:uid="{00000000-0005-0000-0000-0000E91A0000}"/>
    <cellStyle name="Normal 5 4 2 3 6 2 2" xfId="15347" xr:uid="{9D5E6D05-66B2-40E4-9606-741E0AE10B31}"/>
    <cellStyle name="Normal 5 4 2 3 6 3" xfId="11129" xr:uid="{BEE5FA63-1690-4939-9DE9-56D36DD3E2C1}"/>
    <cellStyle name="Normal 5 4 2 3 7" xfId="4832" xr:uid="{00000000-0005-0000-0000-0000EA1A0000}"/>
    <cellStyle name="Normal 5 4 2 3 7 2" xfId="13282" xr:uid="{B8F1774F-69C1-45DE-8E17-CF24FCDACB15}"/>
    <cellStyle name="Normal 5 4 2 3 8" xfId="9064" xr:uid="{6046BD9C-43FF-4166-B7DC-A1C2CFC34710}"/>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5CBB146C-C9B0-4873-B6CE-AB34937BDCB4}"/>
    <cellStyle name="Normal 5 4 2 4 2 3" xfId="11619" xr:uid="{FDA539F8-A9B2-42E8-A2E9-A2FD5812616A}"/>
    <cellStyle name="Normal 5 4 2 4 3" xfId="5242" xr:uid="{00000000-0005-0000-0000-0000EE1A0000}"/>
    <cellStyle name="Normal 5 4 2 4 3 2" xfId="13692" xr:uid="{BB8D4D0D-1358-48AC-9AD4-BC34F90E7C58}"/>
    <cellStyle name="Normal 5 4 2 4 4" xfId="9474" xr:uid="{339B4BF4-840F-4031-B0FA-EE43A994D699}"/>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B5F38FF2-8746-4058-8A15-40294E70D23A}"/>
    <cellStyle name="Normal 5 4 2 5 2 3" xfId="12032" xr:uid="{E7381BCC-917B-4EA1-BE72-08A60069F054}"/>
    <cellStyle name="Normal 5 4 2 5 3" xfId="5655" xr:uid="{00000000-0005-0000-0000-0000F21A0000}"/>
    <cellStyle name="Normal 5 4 2 5 3 2" xfId="14105" xr:uid="{B04E131D-DBA6-4C5B-81E2-C1BB2367BAE5}"/>
    <cellStyle name="Normal 5 4 2 5 4" xfId="9887" xr:uid="{E1BA3A62-9219-4419-A74E-D30938F7B17D}"/>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277A9CCF-AAE7-4553-B1C5-7419CAEB9D75}"/>
    <cellStyle name="Normal 5 4 2 6 2 3" xfId="12445" xr:uid="{4A2E3E16-F0E2-45F8-8A33-719C4AED15E9}"/>
    <cellStyle name="Normal 5 4 2 6 3" xfId="6068" xr:uid="{00000000-0005-0000-0000-0000F61A0000}"/>
    <cellStyle name="Normal 5 4 2 6 3 2" xfId="14518" xr:uid="{3844A05B-63A4-43D0-84B4-F269D6C7FE85}"/>
    <cellStyle name="Normal 5 4 2 6 4" xfId="10300" xr:uid="{BAF4BCFF-9925-4878-A4C6-E3B2EAF424CF}"/>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4E7E6344-4A20-490D-AF93-499CD31E0786}"/>
    <cellStyle name="Normal 5 4 2 7 2 3" xfId="12858" xr:uid="{5A9630C5-C9A6-43C4-BB59-66C0CF9BF5FD}"/>
    <cellStyle name="Normal 5 4 2 7 3" xfId="6481" xr:uid="{00000000-0005-0000-0000-0000FA1A0000}"/>
    <cellStyle name="Normal 5 4 2 7 3 2" xfId="14931" xr:uid="{3B2BB228-E28B-4A62-82DB-3F0C09AEC733}"/>
    <cellStyle name="Normal 5 4 2 7 4" xfId="10713" xr:uid="{AECACC97-7AA0-43AE-BA56-5EF46202195E}"/>
    <cellStyle name="Normal 5 4 2 8" xfId="2611" xr:uid="{00000000-0005-0000-0000-0000FB1A0000}"/>
    <cellStyle name="Normal 5 4 2 8 2" xfId="6894" xr:uid="{00000000-0005-0000-0000-0000FC1A0000}"/>
    <cellStyle name="Normal 5 4 2 8 2 2" xfId="15344" xr:uid="{90CFD1B4-9027-434E-8388-98A3D68C6148}"/>
    <cellStyle name="Normal 5 4 2 8 3" xfId="11126" xr:uid="{E4D52FC4-738D-40C8-A23C-9005BD9D3655}"/>
    <cellStyle name="Normal 5 4 2 9" xfId="4829" xr:uid="{00000000-0005-0000-0000-0000FD1A0000}"/>
    <cellStyle name="Normal 5 4 2 9 2" xfId="13279" xr:uid="{53501C5B-6C83-4968-839B-68CA9E45708C}"/>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C32F45C1-2201-455B-9F11-EFF463D11489}"/>
    <cellStyle name="Normal 5 4 3 2 2 2 3" xfId="11624" xr:uid="{B8C4D0D3-0037-41E9-B8EF-E5FF4B096AF9}"/>
    <cellStyle name="Normal 5 4 3 2 2 3" xfId="5247" xr:uid="{00000000-0005-0000-0000-0000031B0000}"/>
    <cellStyle name="Normal 5 4 3 2 2 3 2" xfId="13697" xr:uid="{C96655D0-A521-4DDD-8F4F-15AD21A38F75}"/>
    <cellStyle name="Normal 5 4 3 2 2 4" xfId="9479" xr:uid="{AEF7DAEB-C9BC-4ECD-B681-E1B9608BDA18}"/>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B4DBF64E-60C1-4778-81D8-A3123855AE8C}"/>
    <cellStyle name="Normal 5 4 3 2 3 2 3" xfId="12037" xr:uid="{3DE6E73D-52E4-48B8-B104-CFFC536D0DE3}"/>
    <cellStyle name="Normal 5 4 3 2 3 3" xfId="5660" xr:uid="{00000000-0005-0000-0000-0000071B0000}"/>
    <cellStyle name="Normal 5 4 3 2 3 3 2" xfId="14110" xr:uid="{A57FD41C-FE6C-4310-9BDE-81E4C488ABF1}"/>
    <cellStyle name="Normal 5 4 3 2 3 4" xfId="9892" xr:uid="{20ED563B-804B-476B-A727-13179BB4798D}"/>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D6A49009-20AB-487C-8EC0-D9B64964D2D0}"/>
    <cellStyle name="Normal 5 4 3 2 4 2 3" xfId="12450" xr:uid="{079A47A6-FF83-4BB6-BC85-4572F99F9D89}"/>
    <cellStyle name="Normal 5 4 3 2 4 3" xfId="6073" xr:uid="{00000000-0005-0000-0000-00000B1B0000}"/>
    <cellStyle name="Normal 5 4 3 2 4 3 2" xfId="14523" xr:uid="{46416EFD-C3D7-44D4-BF93-F73A0B136189}"/>
    <cellStyle name="Normal 5 4 3 2 4 4" xfId="10305" xr:uid="{F41ECF1E-9715-4459-A76D-EDABB5E6E839}"/>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E9A19DCD-119E-4FBF-89CF-E9BB77B49335}"/>
    <cellStyle name="Normal 5 4 3 2 5 2 3" xfId="12863" xr:uid="{8F6E35F4-D279-4FE6-9FE8-EB7064A65A9F}"/>
    <cellStyle name="Normal 5 4 3 2 5 3" xfId="6486" xr:uid="{00000000-0005-0000-0000-00000F1B0000}"/>
    <cellStyle name="Normal 5 4 3 2 5 3 2" xfId="14936" xr:uid="{D466B2D2-0945-4C00-9562-76540711BC49}"/>
    <cellStyle name="Normal 5 4 3 2 5 4" xfId="10718" xr:uid="{F35BB722-0435-41D2-BA4B-BA9A80858E0D}"/>
    <cellStyle name="Normal 5 4 3 2 6" xfId="2616" xr:uid="{00000000-0005-0000-0000-0000101B0000}"/>
    <cellStyle name="Normal 5 4 3 2 6 2" xfId="6899" xr:uid="{00000000-0005-0000-0000-0000111B0000}"/>
    <cellStyle name="Normal 5 4 3 2 6 2 2" xfId="15349" xr:uid="{F10603D8-0A7E-468E-BD7E-83078A31878D}"/>
    <cellStyle name="Normal 5 4 3 2 6 3" xfId="11131" xr:uid="{5F6D02BC-43A1-4298-85D7-0E1C1306FABF}"/>
    <cellStyle name="Normal 5 4 3 2 7" xfId="4834" xr:uid="{00000000-0005-0000-0000-0000121B0000}"/>
    <cellStyle name="Normal 5 4 3 2 7 2" xfId="13284" xr:uid="{B2284578-42DA-47B8-8B82-4945DEB033C4}"/>
    <cellStyle name="Normal 5 4 3 2 8" xfId="9066" xr:uid="{8DA6681E-C34E-46FF-9B19-4BD6C600B921}"/>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4061FF72-6DF9-448D-B51D-8A0F531867A1}"/>
    <cellStyle name="Normal 5 4 3 3 2 3" xfId="11623" xr:uid="{F91BCD78-0B84-478A-A19D-11513195BD5D}"/>
    <cellStyle name="Normal 5 4 3 3 3" xfId="5246" xr:uid="{00000000-0005-0000-0000-0000161B0000}"/>
    <cellStyle name="Normal 5 4 3 3 3 2" xfId="13696" xr:uid="{DBF1751A-C4D8-4F8C-83B7-6331D45471B8}"/>
    <cellStyle name="Normal 5 4 3 3 4" xfId="9478" xr:uid="{047135E0-5341-45CE-B688-C1CE3D9C319C}"/>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505649C1-DF47-4AAF-9338-1AD81A4AAF4C}"/>
    <cellStyle name="Normal 5 4 3 4 2 3" xfId="12036" xr:uid="{4147AF59-0DB1-4D41-BE99-13589CEFDF60}"/>
    <cellStyle name="Normal 5 4 3 4 3" xfId="5659" xr:uid="{00000000-0005-0000-0000-00001A1B0000}"/>
    <cellStyle name="Normal 5 4 3 4 3 2" xfId="14109" xr:uid="{9AE0BA13-688F-4F59-9542-44B4FC916EA0}"/>
    <cellStyle name="Normal 5 4 3 4 4" xfId="9891" xr:uid="{E565CF0F-9812-4AD1-AC1E-479652560FDD}"/>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0706F7D3-046C-4CA1-9401-F0BE1D2CC4DA}"/>
    <cellStyle name="Normal 5 4 3 5 2 3" xfId="12449" xr:uid="{D5DAAD88-3F2C-41B5-B21D-DD5A0FCA4AD0}"/>
    <cellStyle name="Normal 5 4 3 5 3" xfId="6072" xr:uid="{00000000-0005-0000-0000-00001E1B0000}"/>
    <cellStyle name="Normal 5 4 3 5 3 2" xfId="14522" xr:uid="{37A5E51E-9FB5-4AF4-A1BA-368C2EF456B2}"/>
    <cellStyle name="Normal 5 4 3 5 4" xfId="10304" xr:uid="{21C60188-2310-46B5-BEDD-D6D33490EB92}"/>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97FA8B99-789B-4467-9101-D245B8523A34}"/>
    <cellStyle name="Normal 5 4 3 6 2 3" xfId="12862" xr:uid="{49BD7A3D-D964-4B71-8DA5-FCA06E4AF307}"/>
    <cellStyle name="Normal 5 4 3 6 3" xfId="6485" xr:uid="{00000000-0005-0000-0000-0000221B0000}"/>
    <cellStyle name="Normal 5 4 3 6 3 2" xfId="14935" xr:uid="{D9127DEE-57DC-4596-BA0F-8F5BA995E350}"/>
    <cellStyle name="Normal 5 4 3 6 4" xfId="10717" xr:uid="{ADDCD6DE-0BBC-4172-A68C-D865E360C8C2}"/>
    <cellStyle name="Normal 5 4 3 7" xfId="2615" xr:uid="{00000000-0005-0000-0000-0000231B0000}"/>
    <cellStyle name="Normal 5 4 3 7 2" xfId="6898" xr:uid="{00000000-0005-0000-0000-0000241B0000}"/>
    <cellStyle name="Normal 5 4 3 7 2 2" xfId="15348" xr:uid="{B905BD09-7B10-4037-ADD8-3A431B2AA898}"/>
    <cellStyle name="Normal 5 4 3 7 3" xfId="11130" xr:uid="{CD1DFE66-8417-4431-B633-F1D046D9940D}"/>
    <cellStyle name="Normal 5 4 3 8" xfId="4833" xr:uid="{00000000-0005-0000-0000-0000251B0000}"/>
    <cellStyle name="Normal 5 4 3 8 2" xfId="13283" xr:uid="{5BA2233B-E29E-4D91-9AB9-EE02C28EDE98}"/>
    <cellStyle name="Normal 5 4 3 9" xfId="9065" xr:uid="{0FECACA1-22DC-4512-BD12-95ABBD1FA908}"/>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EBABC693-B604-4354-B20B-350A092B53E2}"/>
    <cellStyle name="Normal 5 4 4 2 2 3" xfId="11625" xr:uid="{2CD00D62-78B8-4BFB-8698-B60D63629365}"/>
    <cellStyle name="Normal 5 4 4 2 3" xfId="5248" xr:uid="{00000000-0005-0000-0000-00002A1B0000}"/>
    <cellStyle name="Normal 5 4 4 2 3 2" xfId="13698" xr:uid="{B0100B23-010D-492D-96C5-07AFCB329973}"/>
    <cellStyle name="Normal 5 4 4 2 4" xfId="9480" xr:uid="{1F33DD2B-2203-4B3A-B9F8-A2C74F511474}"/>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DE2E50EB-C87F-440F-A681-053330C14BE1}"/>
    <cellStyle name="Normal 5 4 4 3 2 3" xfId="12038" xr:uid="{A5FA215D-A48B-4744-97EC-AC8F36F4DF1E}"/>
    <cellStyle name="Normal 5 4 4 3 3" xfId="5661" xr:uid="{00000000-0005-0000-0000-00002E1B0000}"/>
    <cellStyle name="Normal 5 4 4 3 3 2" xfId="14111" xr:uid="{776CEEAE-8F5E-4EB3-992B-AB1F3844DBFF}"/>
    <cellStyle name="Normal 5 4 4 3 4" xfId="9893" xr:uid="{AE40E030-E9CF-4742-8616-E5778C19A41D}"/>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9183BFED-5ED3-4468-B48E-71026C504D45}"/>
    <cellStyle name="Normal 5 4 4 4 2 3" xfId="12451" xr:uid="{C68D9066-C1B5-4EA5-8BE4-C13DA17BE3DF}"/>
    <cellStyle name="Normal 5 4 4 4 3" xfId="6074" xr:uid="{00000000-0005-0000-0000-0000321B0000}"/>
    <cellStyle name="Normal 5 4 4 4 3 2" xfId="14524" xr:uid="{B3A21729-1B69-4D0E-913F-D7A7D0435BBE}"/>
    <cellStyle name="Normal 5 4 4 4 4" xfId="10306" xr:uid="{25571543-DB87-4286-AE1E-59ECAAD694F4}"/>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BB47BC6C-85CD-40DC-A961-29BDA5E7605B}"/>
    <cellStyle name="Normal 5 4 4 5 2 3" xfId="12864" xr:uid="{0C44D529-9238-4745-9102-D7EC0A35A63F}"/>
    <cellStyle name="Normal 5 4 4 5 3" xfId="6487" xr:uid="{00000000-0005-0000-0000-0000361B0000}"/>
    <cellStyle name="Normal 5 4 4 5 3 2" xfId="14937" xr:uid="{206BD393-E509-44E2-BDE2-D3ABE289BE29}"/>
    <cellStyle name="Normal 5 4 4 5 4" xfId="10719" xr:uid="{F6B92005-F77E-4C99-8B8A-7A32EDF8E249}"/>
    <cellStyle name="Normal 5 4 4 6" xfId="2617" xr:uid="{00000000-0005-0000-0000-0000371B0000}"/>
    <cellStyle name="Normal 5 4 4 6 2" xfId="6900" xr:uid="{00000000-0005-0000-0000-0000381B0000}"/>
    <cellStyle name="Normal 5 4 4 6 2 2" xfId="15350" xr:uid="{DCD6D2C3-0D68-4443-86E7-6D375D58B547}"/>
    <cellStyle name="Normal 5 4 4 6 3" xfId="11132" xr:uid="{D051FDC5-E6F1-4408-BA9F-C29D43C50F89}"/>
    <cellStyle name="Normal 5 4 4 7" xfId="4835" xr:uid="{00000000-0005-0000-0000-0000391B0000}"/>
    <cellStyle name="Normal 5 4 4 7 2" xfId="13285" xr:uid="{013B3FCF-C589-41F8-862A-EA895DFC0E25}"/>
    <cellStyle name="Normal 5 4 4 8" xfId="9067" xr:uid="{7E9B5730-D489-498F-988A-947043EDE33F}"/>
    <cellStyle name="Normal 5 4 5" xfId="930" xr:uid="{00000000-0005-0000-0000-00003A1B0000}"/>
    <cellStyle name="Normal 5 4 5 2" xfId="3164" xr:uid="{00000000-0005-0000-0000-00003B1B0000}"/>
    <cellStyle name="Normal 5 4 5 2 2" xfId="7386" xr:uid="{00000000-0005-0000-0000-00003C1B0000}"/>
    <cellStyle name="Normal 5 4 5 2 2 2" xfId="15836" xr:uid="{87591D58-48FA-4A94-A161-EB211A3B81DC}"/>
    <cellStyle name="Normal 5 4 5 2 3" xfId="11618" xr:uid="{4B628FA7-A860-4AE7-A95F-2AAD0CA2E962}"/>
    <cellStyle name="Normal 5 4 5 3" xfId="5241" xr:uid="{00000000-0005-0000-0000-00003D1B0000}"/>
    <cellStyle name="Normal 5 4 5 3 2" xfId="13691" xr:uid="{210185C4-435D-4C20-BE25-D7FE6F738367}"/>
    <cellStyle name="Normal 5 4 5 4" xfId="9473" xr:uid="{03750EB2-1AC4-4312-8905-A7C6131D951C}"/>
    <cellStyle name="Normal 5 4 6" xfId="1347" xr:uid="{00000000-0005-0000-0000-00003E1B0000}"/>
    <cellStyle name="Normal 5 4 6 2" xfId="3577" xr:uid="{00000000-0005-0000-0000-00003F1B0000}"/>
    <cellStyle name="Normal 5 4 6 2 2" xfId="7799" xr:uid="{00000000-0005-0000-0000-0000401B0000}"/>
    <cellStyle name="Normal 5 4 6 2 2 2" xfId="16249" xr:uid="{775A91C9-08E3-4C76-BD5B-6C929333DF53}"/>
    <cellStyle name="Normal 5 4 6 2 3" xfId="12031" xr:uid="{2DF3EEAB-CF21-4111-9E36-88EA5A768CD2}"/>
    <cellStyle name="Normal 5 4 6 3" xfId="5654" xr:uid="{00000000-0005-0000-0000-0000411B0000}"/>
    <cellStyle name="Normal 5 4 6 3 2" xfId="14104" xr:uid="{1C919FF4-8BA1-4CA8-B3E2-5DB018C29318}"/>
    <cellStyle name="Normal 5 4 6 4" xfId="9886" xr:uid="{E7D60E31-F62C-4E4E-A493-BEFFBF35A1DF}"/>
    <cellStyle name="Normal 5 4 7" xfId="1760" xr:uid="{00000000-0005-0000-0000-0000421B0000}"/>
    <cellStyle name="Normal 5 4 7 2" xfId="3990" xr:uid="{00000000-0005-0000-0000-0000431B0000}"/>
    <cellStyle name="Normal 5 4 7 2 2" xfId="8212" xr:uid="{00000000-0005-0000-0000-0000441B0000}"/>
    <cellStyle name="Normal 5 4 7 2 2 2" xfId="16662" xr:uid="{2DF8C7E9-428A-4EA0-9998-960D0EB5F435}"/>
    <cellStyle name="Normal 5 4 7 2 3" xfId="12444" xr:uid="{48FB849B-9579-4BBA-98A1-A66D15D00F8C}"/>
    <cellStyle name="Normal 5 4 7 3" xfId="6067" xr:uid="{00000000-0005-0000-0000-0000451B0000}"/>
    <cellStyle name="Normal 5 4 7 3 2" xfId="14517" xr:uid="{13DB7188-0481-46C3-A51A-1BF690893227}"/>
    <cellStyle name="Normal 5 4 7 4" xfId="10299" xr:uid="{1F397126-0E77-4FF5-AD6E-A219170ABC1F}"/>
    <cellStyle name="Normal 5 4 8" xfId="2174" xr:uid="{00000000-0005-0000-0000-0000461B0000}"/>
    <cellStyle name="Normal 5 4 8 2" xfId="4403" xr:uid="{00000000-0005-0000-0000-0000471B0000}"/>
    <cellStyle name="Normal 5 4 8 2 2" xfId="8625" xr:uid="{00000000-0005-0000-0000-0000481B0000}"/>
    <cellStyle name="Normal 5 4 8 2 2 2" xfId="17075" xr:uid="{B7A088EA-6E52-40BE-986E-5110736D9915}"/>
    <cellStyle name="Normal 5 4 8 2 3" xfId="12857" xr:uid="{CCA66749-3508-493B-9448-387F752CDE65}"/>
    <cellStyle name="Normal 5 4 8 3" xfId="6480" xr:uid="{00000000-0005-0000-0000-0000491B0000}"/>
    <cellStyle name="Normal 5 4 8 3 2" xfId="14930" xr:uid="{641B6654-A77F-4B4B-80D1-BEA54FC5BBF1}"/>
    <cellStyle name="Normal 5 4 8 4" xfId="10712" xr:uid="{7423C458-7F8A-4F33-BA82-2D88A438691E}"/>
    <cellStyle name="Normal 5 4 9" xfId="2610" xr:uid="{00000000-0005-0000-0000-00004A1B0000}"/>
    <cellStyle name="Normal 5 4 9 2" xfId="6893" xr:uid="{00000000-0005-0000-0000-00004B1B0000}"/>
    <cellStyle name="Normal 5 4 9 2 2" xfId="15343" xr:uid="{F4DC43A4-06DE-4443-A4C7-AF88D523F6A3}"/>
    <cellStyle name="Normal 5 4 9 3" xfId="11125" xr:uid="{56CCD630-88D7-4487-8169-F1B29D93FE0D}"/>
    <cellStyle name="Normal 5 5" xfId="464" xr:uid="{00000000-0005-0000-0000-00004C1B0000}"/>
    <cellStyle name="Normal 5 5 10" xfId="9068" xr:uid="{4AE06498-C33A-4AAC-979A-78232F4C6AF7}"/>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782F84C9-9C52-46E9-8418-6F40148B8FB8}"/>
    <cellStyle name="Normal 5 5 2 2 2 2 3" xfId="11628" xr:uid="{E6877B5B-CE7F-4BCA-A076-84BD115C4045}"/>
    <cellStyle name="Normal 5 5 2 2 2 3" xfId="5251" xr:uid="{00000000-0005-0000-0000-0000521B0000}"/>
    <cellStyle name="Normal 5 5 2 2 2 3 2" xfId="13701" xr:uid="{358522C2-B6C5-472C-8BC7-7F0B695E9A5F}"/>
    <cellStyle name="Normal 5 5 2 2 2 4" xfId="9483" xr:uid="{32BBF4D3-DC3F-4724-8E66-A95AE310A893}"/>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01045F70-48C3-4BB8-8CE6-D5FE17B6F754}"/>
    <cellStyle name="Normal 5 5 2 2 3 2 3" xfId="12041" xr:uid="{F5D78FAC-D823-4581-B0FC-46AE266C5FCF}"/>
    <cellStyle name="Normal 5 5 2 2 3 3" xfId="5664" xr:uid="{00000000-0005-0000-0000-0000561B0000}"/>
    <cellStyle name="Normal 5 5 2 2 3 3 2" xfId="14114" xr:uid="{8936CC8D-F5F6-415A-B63D-162BF88F4AA5}"/>
    <cellStyle name="Normal 5 5 2 2 3 4" xfId="9896" xr:uid="{A82BE0AD-8A8F-43ED-89C3-58EB6F0052D3}"/>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FA9185BB-6FDC-414D-A09F-604FA3A8DF3E}"/>
    <cellStyle name="Normal 5 5 2 2 4 2 3" xfId="12454" xr:uid="{BF525088-31D3-4212-9D6C-F25E5533B187}"/>
    <cellStyle name="Normal 5 5 2 2 4 3" xfId="6077" xr:uid="{00000000-0005-0000-0000-00005A1B0000}"/>
    <cellStyle name="Normal 5 5 2 2 4 3 2" xfId="14527" xr:uid="{969EDB41-56D5-4E13-9CE7-1E8F5BA4651B}"/>
    <cellStyle name="Normal 5 5 2 2 4 4" xfId="10309" xr:uid="{4D6A85C2-56CB-4EF4-BD99-25BDCBA25749}"/>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283B53D6-13D7-4947-9307-4DAE122B41B7}"/>
    <cellStyle name="Normal 5 5 2 2 5 2 3" xfId="12867" xr:uid="{2024787B-2BD1-4D71-903B-234C5B1605EE}"/>
    <cellStyle name="Normal 5 5 2 2 5 3" xfId="6490" xr:uid="{00000000-0005-0000-0000-00005E1B0000}"/>
    <cellStyle name="Normal 5 5 2 2 5 3 2" xfId="14940" xr:uid="{001C3145-E582-4483-A53E-5B099C020B37}"/>
    <cellStyle name="Normal 5 5 2 2 5 4" xfId="10722" xr:uid="{1DA9AA3F-9A8D-4CB2-8843-14B2C1D637CD}"/>
    <cellStyle name="Normal 5 5 2 2 6" xfId="2620" xr:uid="{00000000-0005-0000-0000-00005F1B0000}"/>
    <cellStyle name="Normal 5 5 2 2 6 2" xfId="6903" xr:uid="{00000000-0005-0000-0000-0000601B0000}"/>
    <cellStyle name="Normal 5 5 2 2 6 2 2" xfId="15353" xr:uid="{142C9460-0CF3-4D2B-895C-CECC72DAF447}"/>
    <cellStyle name="Normal 5 5 2 2 6 3" xfId="11135" xr:uid="{C940BAB7-BB83-4E61-95A2-C3A8D7EE2CCC}"/>
    <cellStyle name="Normal 5 5 2 2 7" xfId="4838" xr:uid="{00000000-0005-0000-0000-0000611B0000}"/>
    <cellStyle name="Normal 5 5 2 2 7 2" xfId="13288" xr:uid="{CF682304-546B-4962-80B3-989B292027FF}"/>
    <cellStyle name="Normal 5 5 2 2 8" xfId="9070" xr:uid="{44741DF8-DC1B-4DE6-A76D-4BFC3602F470}"/>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B1DE02D3-C962-4B8F-BA5D-62421734EF33}"/>
    <cellStyle name="Normal 5 5 2 3 2 3" xfId="11627" xr:uid="{4CCA1DA8-E874-4639-A783-C85CBCA7F3D4}"/>
    <cellStyle name="Normal 5 5 2 3 3" xfId="5250" xr:uid="{00000000-0005-0000-0000-0000651B0000}"/>
    <cellStyle name="Normal 5 5 2 3 3 2" xfId="13700" xr:uid="{E032F41A-5450-4489-B1F3-6FA29E36FCAF}"/>
    <cellStyle name="Normal 5 5 2 3 4" xfId="9482" xr:uid="{3C7815CC-E2A8-4007-9AB5-CCA21A2FA563}"/>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E0A69E86-22F5-40E1-8398-D6AF1CF13F7A}"/>
    <cellStyle name="Normal 5 5 2 4 2 3" xfId="12040" xr:uid="{BCBA54FC-9297-448D-86CF-A7B5407D2B44}"/>
    <cellStyle name="Normal 5 5 2 4 3" xfId="5663" xr:uid="{00000000-0005-0000-0000-0000691B0000}"/>
    <cellStyle name="Normal 5 5 2 4 3 2" xfId="14113" xr:uid="{1E9B128F-17DD-4F33-8D62-34BFFF2E9C2B}"/>
    <cellStyle name="Normal 5 5 2 4 4" xfId="9895" xr:uid="{CD2ADC44-C0BD-4D47-9F33-6D76656B0450}"/>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6582C69C-6443-49B7-AA46-F7AA1BA99120}"/>
    <cellStyle name="Normal 5 5 2 5 2 3" xfId="12453" xr:uid="{42BE7ABD-C115-4A06-B3BE-364A580BBD4A}"/>
    <cellStyle name="Normal 5 5 2 5 3" xfId="6076" xr:uid="{00000000-0005-0000-0000-00006D1B0000}"/>
    <cellStyle name="Normal 5 5 2 5 3 2" xfId="14526" xr:uid="{69AB6FC1-D76D-4EE1-A638-2994C228F78B}"/>
    <cellStyle name="Normal 5 5 2 5 4" xfId="10308" xr:uid="{9681F367-470A-4F8B-A5E5-482108838445}"/>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A9B358FD-9EB3-4A02-B8B8-C0F3F9FA4EE6}"/>
    <cellStyle name="Normal 5 5 2 6 2 3" xfId="12866" xr:uid="{96F81702-882E-4FD3-B312-578CAD34F360}"/>
    <cellStyle name="Normal 5 5 2 6 3" xfId="6489" xr:uid="{00000000-0005-0000-0000-0000711B0000}"/>
    <cellStyle name="Normal 5 5 2 6 3 2" xfId="14939" xr:uid="{E50BA00F-9AB0-4E2E-AA89-AA53A75EED3A}"/>
    <cellStyle name="Normal 5 5 2 6 4" xfId="10721" xr:uid="{BA608C86-DE4A-486C-9DD3-18A7DA3698A3}"/>
    <cellStyle name="Normal 5 5 2 7" xfId="2619" xr:uid="{00000000-0005-0000-0000-0000721B0000}"/>
    <cellStyle name="Normal 5 5 2 7 2" xfId="6902" xr:uid="{00000000-0005-0000-0000-0000731B0000}"/>
    <cellStyle name="Normal 5 5 2 7 2 2" xfId="15352" xr:uid="{1468216E-737A-41EA-B31B-32CD2B9703D2}"/>
    <cellStyle name="Normal 5 5 2 7 3" xfId="11134" xr:uid="{633313BD-5B2A-49C5-8EFE-89BC86CB01A5}"/>
    <cellStyle name="Normal 5 5 2 8" xfId="4837" xr:uid="{00000000-0005-0000-0000-0000741B0000}"/>
    <cellStyle name="Normal 5 5 2 8 2" xfId="13287" xr:uid="{C189AB65-7A13-4D3D-9EE5-86AEFE2B8693}"/>
    <cellStyle name="Normal 5 5 2 9" xfId="9069" xr:uid="{33DF4250-C982-4E2D-B5BD-52D5B674CD3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7618E0ED-A1B3-4B4E-AFB5-2F35095D444D}"/>
    <cellStyle name="Normal 5 5 3 2 2 3" xfId="11629" xr:uid="{7DF2BA48-5388-4263-8BF8-BC05EAF175D8}"/>
    <cellStyle name="Normal 5 5 3 2 3" xfId="5252" xr:uid="{00000000-0005-0000-0000-0000791B0000}"/>
    <cellStyle name="Normal 5 5 3 2 3 2" xfId="13702" xr:uid="{DA60A443-445E-42BC-A105-523767D54147}"/>
    <cellStyle name="Normal 5 5 3 2 4" xfId="9484" xr:uid="{8593B0C8-774A-4EC3-9B76-679A67FEBAA9}"/>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A2ECE6E6-1387-4849-A61D-824C40456DD8}"/>
    <cellStyle name="Normal 5 5 3 3 2 3" xfId="12042" xr:uid="{D53DA214-A897-43DF-995A-C49E53DC84A1}"/>
    <cellStyle name="Normal 5 5 3 3 3" xfId="5665" xr:uid="{00000000-0005-0000-0000-00007D1B0000}"/>
    <cellStyle name="Normal 5 5 3 3 3 2" xfId="14115" xr:uid="{073D542F-624D-4853-A5B5-4175ECDFD3A5}"/>
    <cellStyle name="Normal 5 5 3 3 4" xfId="9897" xr:uid="{75EFB56D-4B37-426D-AC71-251223D948B9}"/>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6D013ABC-A724-48DE-8082-16145542C86B}"/>
    <cellStyle name="Normal 5 5 3 4 2 3" xfId="12455" xr:uid="{F4E865AF-4C61-4264-B276-3E9CE36C7B66}"/>
    <cellStyle name="Normal 5 5 3 4 3" xfId="6078" xr:uid="{00000000-0005-0000-0000-0000811B0000}"/>
    <cellStyle name="Normal 5 5 3 4 3 2" xfId="14528" xr:uid="{29E8D052-FB17-43C9-8468-32F1966F5B7B}"/>
    <cellStyle name="Normal 5 5 3 4 4" xfId="10310" xr:uid="{4AD9DBA3-CA10-4B95-8373-BB9B3AFBC627}"/>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CFF89700-8CA8-452D-89CE-E585E2B39E80}"/>
    <cellStyle name="Normal 5 5 3 5 2 3" xfId="12868" xr:uid="{AABAD6EF-A26C-4C97-8D91-378E7E657345}"/>
    <cellStyle name="Normal 5 5 3 5 3" xfId="6491" xr:uid="{00000000-0005-0000-0000-0000851B0000}"/>
    <cellStyle name="Normal 5 5 3 5 3 2" xfId="14941" xr:uid="{9719C0C6-381F-4009-9CD2-E2DC27373F0B}"/>
    <cellStyle name="Normal 5 5 3 5 4" xfId="10723" xr:uid="{7B662CE2-42D2-4CC4-B519-92105334839C}"/>
    <cellStyle name="Normal 5 5 3 6" xfId="2621" xr:uid="{00000000-0005-0000-0000-0000861B0000}"/>
    <cellStyle name="Normal 5 5 3 6 2" xfId="6904" xr:uid="{00000000-0005-0000-0000-0000871B0000}"/>
    <cellStyle name="Normal 5 5 3 6 2 2" xfId="15354" xr:uid="{615479CB-C858-493F-AE70-1BE7434092AF}"/>
    <cellStyle name="Normal 5 5 3 6 3" xfId="11136" xr:uid="{4FA72B72-4018-40C3-8EF5-7E80CCA5F0D8}"/>
    <cellStyle name="Normal 5 5 3 7" xfId="4839" xr:uid="{00000000-0005-0000-0000-0000881B0000}"/>
    <cellStyle name="Normal 5 5 3 7 2" xfId="13289" xr:uid="{6BAD2161-333A-49BB-A96F-64A24EFAED0F}"/>
    <cellStyle name="Normal 5 5 3 8" xfId="9071" xr:uid="{C0918386-D5F1-4DA2-908C-A83F16E6C599}"/>
    <cellStyle name="Normal 5 5 4" xfId="938" xr:uid="{00000000-0005-0000-0000-0000891B0000}"/>
    <cellStyle name="Normal 5 5 4 2" xfId="3172" xr:uid="{00000000-0005-0000-0000-00008A1B0000}"/>
    <cellStyle name="Normal 5 5 4 2 2" xfId="7394" xr:uid="{00000000-0005-0000-0000-00008B1B0000}"/>
    <cellStyle name="Normal 5 5 4 2 2 2" xfId="15844" xr:uid="{D1D1DEE1-D62B-416A-82B4-FE8BBF163968}"/>
    <cellStyle name="Normal 5 5 4 2 3" xfId="11626" xr:uid="{81BD34C6-98D7-44B0-9B64-37AE79C51DE5}"/>
    <cellStyle name="Normal 5 5 4 3" xfId="5249" xr:uid="{00000000-0005-0000-0000-00008C1B0000}"/>
    <cellStyle name="Normal 5 5 4 3 2" xfId="13699" xr:uid="{1039D7D3-111C-424D-9977-752195DB6D66}"/>
    <cellStyle name="Normal 5 5 4 4" xfId="9481" xr:uid="{0BE9272A-9882-4C11-AD7C-613038237562}"/>
    <cellStyle name="Normal 5 5 5" xfId="1355" xr:uid="{00000000-0005-0000-0000-00008D1B0000}"/>
    <cellStyle name="Normal 5 5 5 2" xfId="3585" xr:uid="{00000000-0005-0000-0000-00008E1B0000}"/>
    <cellStyle name="Normal 5 5 5 2 2" xfId="7807" xr:uid="{00000000-0005-0000-0000-00008F1B0000}"/>
    <cellStyle name="Normal 5 5 5 2 2 2" xfId="16257" xr:uid="{E561BBF9-A410-4441-85B0-50FEC38ADE90}"/>
    <cellStyle name="Normal 5 5 5 2 3" xfId="12039" xr:uid="{4CF3409D-D026-467E-8302-F38586A37940}"/>
    <cellStyle name="Normal 5 5 5 3" xfId="5662" xr:uid="{00000000-0005-0000-0000-0000901B0000}"/>
    <cellStyle name="Normal 5 5 5 3 2" xfId="14112" xr:uid="{D36913EB-F475-4631-A90C-E544F96EE887}"/>
    <cellStyle name="Normal 5 5 5 4" xfId="9894" xr:uid="{9F418151-DD47-4CEC-9BFB-F7AEFA064762}"/>
    <cellStyle name="Normal 5 5 6" xfId="1768" xr:uid="{00000000-0005-0000-0000-0000911B0000}"/>
    <cellStyle name="Normal 5 5 6 2" xfId="3998" xr:uid="{00000000-0005-0000-0000-0000921B0000}"/>
    <cellStyle name="Normal 5 5 6 2 2" xfId="8220" xr:uid="{00000000-0005-0000-0000-0000931B0000}"/>
    <cellStyle name="Normal 5 5 6 2 2 2" xfId="16670" xr:uid="{5F27F9C9-4664-4FB6-A3FF-B9B1DF2D9283}"/>
    <cellStyle name="Normal 5 5 6 2 3" xfId="12452" xr:uid="{9F32D7C8-CF32-4B52-A1CF-C5DFFDA442C4}"/>
    <cellStyle name="Normal 5 5 6 3" xfId="6075" xr:uid="{00000000-0005-0000-0000-0000941B0000}"/>
    <cellStyle name="Normal 5 5 6 3 2" xfId="14525" xr:uid="{23C0437B-1C3F-4CD7-B101-A51AA2AD1D3B}"/>
    <cellStyle name="Normal 5 5 6 4" xfId="10307" xr:uid="{93A92A2A-8D98-47FF-A448-6817E9CF6D38}"/>
    <cellStyle name="Normal 5 5 7" xfId="2182" xr:uid="{00000000-0005-0000-0000-0000951B0000}"/>
    <cellStyle name="Normal 5 5 7 2" xfId="4411" xr:uid="{00000000-0005-0000-0000-0000961B0000}"/>
    <cellStyle name="Normal 5 5 7 2 2" xfId="8633" xr:uid="{00000000-0005-0000-0000-0000971B0000}"/>
    <cellStyle name="Normal 5 5 7 2 2 2" xfId="17083" xr:uid="{C1DEC9F6-8864-4D1D-A1A8-7A65A34E49D7}"/>
    <cellStyle name="Normal 5 5 7 2 3" xfId="12865" xr:uid="{260FF839-3B3A-440F-B6C8-85CCA75A5972}"/>
    <cellStyle name="Normal 5 5 7 3" xfId="6488" xr:uid="{00000000-0005-0000-0000-0000981B0000}"/>
    <cellStyle name="Normal 5 5 7 3 2" xfId="14938" xr:uid="{631464DD-B50B-47F7-B0ED-7BE760A11C93}"/>
    <cellStyle name="Normal 5 5 7 4" xfId="10720" xr:uid="{5A9F3241-5AC2-41AF-B78F-A9E9F7760E44}"/>
    <cellStyle name="Normal 5 5 8" xfId="2618" xr:uid="{00000000-0005-0000-0000-0000991B0000}"/>
    <cellStyle name="Normal 5 5 8 2" xfId="6901" xr:uid="{00000000-0005-0000-0000-00009A1B0000}"/>
    <cellStyle name="Normal 5 5 8 2 2" xfId="15351" xr:uid="{BFCB9DCD-08FF-4976-AF4E-C69AA022DDF8}"/>
    <cellStyle name="Normal 5 5 8 3" xfId="11133" xr:uid="{E2E6EC8E-3633-494A-8773-B050F2F337C2}"/>
    <cellStyle name="Normal 5 5 9" xfId="4836" xr:uid="{00000000-0005-0000-0000-00009B1B0000}"/>
    <cellStyle name="Normal 5 5 9 2" xfId="13286" xr:uid="{CF1B4AE2-BE82-40A8-A582-3C7FA139F92B}"/>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A9694386-31E3-496C-B7DA-B7042FB1F1AA}"/>
    <cellStyle name="Normal 5 6 2 2 2 3" xfId="11631" xr:uid="{7BD70197-6FDC-4D86-8A8C-4FB5D44353E5}"/>
    <cellStyle name="Normal 5 6 2 2 3" xfId="5254" xr:uid="{00000000-0005-0000-0000-0000A11B0000}"/>
    <cellStyle name="Normal 5 6 2 2 3 2" xfId="13704" xr:uid="{2E42C6CA-AED0-4C82-B70D-B658D7970669}"/>
    <cellStyle name="Normal 5 6 2 2 4" xfId="9486" xr:uid="{8AC7EF87-E3FB-4846-B781-EF6D3AA222A7}"/>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1A373D52-C01F-4C40-ABDB-382C25A120B6}"/>
    <cellStyle name="Normal 5 6 2 3 2 3" xfId="12044" xr:uid="{787E5F2E-F3A2-4F69-940F-1DFA49DA4826}"/>
    <cellStyle name="Normal 5 6 2 3 3" xfId="5667" xr:uid="{00000000-0005-0000-0000-0000A51B0000}"/>
    <cellStyle name="Normal 5 6 2 3 3 2" xfId="14117" xr:uid="{8AD5C4C1-34E9-447B-8CC6-19E74B5052BF}"/>
    <cellStyle name="Normal 5 6 2 3 4" xfId="9899" xr:uid="{15B10FA5-60E4-482E-A704-373BE521F545}"/>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754C7431-179B-4874-9007-AD28DFB4BA08}"/>
    <cellStyle name="Normal 5 6 2 4 2 3" xfId="12457" xr:uid="{30BC2E28-476D-428D-81F2-6231604F4D3A}"/>
    <cellStyle name="Normal 5 6 2 4 3" xfId="6080" xr:uid="{00000000-0005-0000-0000-0000A91B0000}"/>
    <cellStyle name="Normal 5 6 2 4 3 2" xfId="14530" xr:uid="{ED53D9E4-5F7D-495D-9F9C-B1A0EE5620CE}"/>
    <cellStyle name="Normal 5 6 2 4 4" xfId="10312" xr:uid="{E5A4D289-0CF1-4EB0-81C1-3B2903B887CF}"/>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A8E2E988-C257-4B03-B430-B519F302C051}"/>
    <cellStyle name="Normal 5 6 2 5 2 3" xfId="12870" xr:uid="{F50FE97C-3758-4A8D-9E7B-630C117505C9}"/>
    <cellStyle name="Normal 5 6 2 5 3" xfId="6493" xr:uid="{00000000-0005-0000-0000-0000AD1B0000}"/>
    <cellStyle name="Normal 5 6 2 5 3 2" xfId="14943" xr:uid="{32DB92A6-1342-4418-9087-7171B3C4412A}"/>
    <cellStyle name="Normal 5 6 2 5 4" xfId="10725" xr:uid="{9962DAF4-5DBA-4BF1-B14B-D5D9698C9277}"/>
    <cellStyle name="Normal 5 6 2 6" xfId="2623" xr:uid="{00000000-0005-0000-0000-0000AE1B0000}"/>
    <cellStyle name="Normal 5 6 2 6 2" xfId="6906" xr:uid="{00000000-0005-0000-0000-0000AF1B0000}"/>
    <cellStyle name="Normal 5 6 2 6 2 2" xfId="15356" xr:uid="{C8D8CE2F-C117-4EC1-893C-03F4BBDF25FF}"/>
    <cellStyle name="Normal 5 6 2 6 3" xfId="11138" xr:uid="{D1A6EA80-376B-4D94-A6F2-0D0894C42EE4}"/>
    <cellStyle name="Normal 5 6 2 7" xfId="4841" xr:uid="{00000000-0005-0000-0000-0000B01B0000}"/>
    <cellStyle name="Normal 5 6 2 7 2" xfId="13291" xr:uid="{549DE88F-41D3-4C02-ACAE-CF05AB929BC5}"/>
    <cellStyle name="Normal 5 6 2 8" xfId="9073" xr:uid="{A0D25EA0-69A2-4E7E-A5D6-6D1976E1D171}"/>
    <cellStyle name="Normal 5 6 3" xfId="942" xr:uid="{00000000-0005-0000-0000-0000B11B0000}"/>
    <cellStyle name="Normal 5 6 3 2" xfId="3176" xr:uid="{00000000-0005-0000-0000-0000B21B0000}"/>
    <cellStyle name="Normal 5 6 3 2 2" xfId="7398" xr:uid="{00000000-0005-0000-0000-0000B31B0000}"/>
    <cellStyle name="Normal 5 6 3 2 2 2" xfId="15848" xr:uid="{3E6710CD-D04D-4008-A2AE-E8508C65CF06}"/>
    <cellStyle name="Normal 5 6 3 2 3" xfId="11630" xr:uid="{C6459EB2-8348-4D5C-A848-8A2CDE53C80D}"/>
    <cellStyle name="Normal 5 6 3 3" xfId="5253" xr:uid="{00000000-0005-0000-0000-0000B41B0000}"/>
    <cellStyle name="Normal 5 6 3 3 2" xfId="13703" xr:uid="{8889FFF8-C2D2-434B-B5E0-96CE4A7B2F6D}"/>
    <cellStyle name="Normal 5 6 3 4" xfId="9485" xr:uid="{02DD61CD-661A-4F9F-8F3A-5811FE9F4420}"/>
    <cellStyle name="Normal 5 6 4" xfId="1359" xr:uid="{00000000-0005-0000-0000-0000B51B0000}"/>
    <cellStyle name="Normal 5 6 4 2" xfId="3589" xr:uid="{00000000-0005-0000-0000-0000B61B0000}"/>
    <cellStyle name="Normal 5 6 4 2 2" xfId="7811" xr:uid="{00000000-0005-0000-0000-0000B71B0000}"/>
    <cellStyle name="Normal 5 6 4 2 2 2" xfId="16261" xr:uid="{991FC15A-4DDC-4E3C-BED3-ED78EC52B418}"/>
    <cellStyle name="Normal 5 6 4 2 3" xfId="12043" xr:uid="{A4C56793-C378-42FC-BD95-82A59D4CB553}"/>
    <cellStyle name="Normal 5 6 4 3" xfId="5666" xr:uid="{00000000-0005-0000-0000-0000B81B0000}"/>
    <cellStyle name="Normal 5 6 4 3 2" xfId="14116" xr:uid="{4A2A5CB5-B795-4FC0-BFEF-3437B795A1DA}"/>
    <cellStyle name="Normal 5 6 4 4" xfId="9898" xr:uid="{4988E0BF-9C36-42EA-95C2-E526787F06B9}"/>
    <cellStyle name="Normal 5 6 5" xfId="1772" xr:uid="{00000000-0005-0000-0000-0000B91B0000}"/>
    <cellStyle name="Normal 5 6 5 2" xfId="4002" xr:uid="{00000000-0005-0000-0000-0000BA1B0000}"/>
    <cellStyle name="Normal 5 6 5 2 2" xfId="8224" xr:uid="{00000000-0005-0000-0000-0000BB1B0000}"/>
    <cellStyle name="Normal 5 6 5 2 2 2" xfId="16674" xr:uid="{8D01BA30-4F40-44A6-8E9A-CAD2B2747655}"/>
    <cellStyle name="Normal 5 6 5 2 3" xfId="12456" xr:uid="{22CD9CD4-9530-4A5C-8F5B-FA918DFAD9F5}"/>
    <cellStyle name="Normal 5 6 5 3" xfId="6079" xr:uid="{00000000-0005-0000-0000-0000BC1B0000}"/>
    <cellStyle name="Normal 5 6 5 3 2" xfId="14529" xr:uid="{F1E36829-FEEF-4DCB-A299-FE6D77B44271}"/>
    <cellStyle name="Normal 5 6 5 4" xfId="10311" xr:uid="{1DFFFF39-2339-41DC-BC22-64DA783EEA7B}"/>
    <cellStyle name="Normal 5 6 6" xfId="2186" xr:uid="{00000000-0005-0000-0000-0000BD1B0000}"/>
    <cellStyle name="Normal 5 6 6 2" xfId="4415" xr:uid="{00000000-0005-0000-0000-0000BE1B0000}"/>
    <cellStyle name="Normal 5 6 6 2 2" xfId="8637" xr:uid="{00000000-0005-0000-0000-0000BF1B0000}"/>
    <cellStyle name="Normal 5 6 6 2 2 2" xfId="17087" xr:uid="{AD43D84B-563B-4A1C-A4A4-22654D732964}"/>
    <cellStyle name="Normal 5 6 6 2 3" xfId="12869" xr:uid="{0D27C512-BE18-41D7-B97B-2662F6FCC460}"/>
    <cellStyle name="Normal 5 6 6 3" xfId="6492" xr:uid="{00000000-0005-0000-0000-0000C01B0000}"/>
    <cellStyle name="Normal 5 6 6 3 2" xfId="14942" xr:uid="{F69889AF-7306-4D71-99BA-43B0A1DA7FF9}"/>
    <cellStyle name="Normal 5 6 6 4" xfId="10724" xr:uid="{7F5C4796-DEE2-4139-A6AF-57A41B346BDD}"/>
    <cellStyle name="Normal 5 6 7" xfId="2622" xr:uid="{00000000-0005-0000-0000-0000C11B0000}"/>
    <cellStyle name="Normal 5 6 7 2" xfId="6905" xr:uid="{00000000-0005-0000-0000-0000C21B0000}"/>
    <cellStyle name="Normal 5 6 7 2 2" xfId="15355" xr:uid="{3D61E237-A8EB-4182-9B68-B51A65C4342C}"/>
    <cellStyle name="Normal 5 6 7 3" xfId="11137" xr:uid="{462AE7B5-145C-435C-A0EA-43B1910BA088}"/>
    <cellStyle name="Normal 5 6 8" xfId="4840" xr:uid="{00000000-0005-0000-0000-0000C31B0000}"/>
    <cellStyle name="Normal 5 6 8 2" xfId="13290" xr:uid="{B34035DF-BFB6-4410-AABF-A19109E9F7FE}"/>
    <cellStyle name="Normal 5 6 9" xfId="9072" xr:uid="{01684725-992A-4B82-9D05-7E50296D4A7E}"/>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50" xr:uid="{2247DAB4-B3D6-4A32-BA38-9287929D7389}"/>
    <cellStyle name="Normal 5 7 2 2 3" xfId="11632" xr:uid="{A53318D3-3E34-4FF6-B1A8-9042CE10B108}"/>
    <cellStyle name="Normal 5 7 2 3" xfId="5255" xr:uid="{00000000-0005-0000-0000-0000C81B0000}"/>
    <cellStyle name="Normal 5 7 2 3 2" xfId="13705" xr:uid="{C132DB0D-E011-49AA-98A2-3EFD773248E4}"/>
    <cellStyle name="Normal 5 7 2 4" xfId="9487" xr:uid="{8E775239-9ED2-4EE9-A5B8-CD3629A75B37}"/>
    <cellStyle name="Normal 5 7 3" xfId="1361" xr:uid="{00000000-0005-0000-0000-0000C91B0000}"/>
    <cellStyle name="Normal 5 7 3 2" xfId="3591" xr:uid="{00000000-0005-0000-0000-0000CA1B0000}"/>
    <cellStyle name="Normal 5 7 3 2 2" xfId="7813" xr:uid="{00000000-0005-0000-0000-0000CB1B0000}"/>
    <cellStyle name="Normal 5 7 3 2 2 2" xfId="16263" xr:uid="{80F71D07-E3EB-4EB6-83EF-0C29453D4F5F}"/>
    <cellStyle name="Normal 5 7 3 2 3" xfId="12045" xr:uid="{E9E5771C-7AE4-4A71-BBE7-BF3BC827281D}"/>
    <cellStyle name="Normal 5 7 3 3" xfId="5668" xr:uid="{00000000-0005-0000-0000-0000CC1B0000}"/>
    <cellStyle name="Normal 5 7 3 3 2" xfId="14118" xr:uid="{7039F2E7-7BFB-4DF5-A45D-FB60ED31ECC6}"/>
    <cellStyle name="Normal 5 7 3 4" xfId="9900" xr:uid="{B7A3AC36-0177-4B92-871B-0D8F3D9920D8}"/>
    <cellStyle name="Normal 5 7 4" xfId="1774" xr:uid="{00000000-0005-0000-0000-0000CD1B0000}"/>
    <cellStyle name="Normal 5 7 4 2" xfId="4004" xr:uid="{00000000-0005-0000-0000-0000CE1B0000}"/>
    <cellStyle name="Normal 5 7 4 2 2" xfId="8226" xr:uid="{00000000-0005-0000-0000-0000CF1B0000}"/>
    <cellStyle name="Normal 5 7 4 2 2 2" xfId="16676" xr:uid="{990ABE19-EFE8-4D14-B80A-787F7817232F}"/>
    <cellStyle name="Normal 5 7 4 2 3" xfId="12458" xr:uid="{C0310477-0AEE-457E-8595-F086BAA4D6F7}"/>
    <cellStyle name="Normal 5 7 4 3" xfId="6081" xr:uid="{00000000-0005-0000-0000-0000D01B0000}"/>
    <cellStyle name="Normal 5 7 4 3 2" xfId="14531" xr:uid="{41601298-4C46-48CF-B828-9019A595C4C1}"/>
    <cellStyle name="Normal 5 7 4 4" xfId="10313" xr:uid="{CA6831E0-A075-4F0F-94B7-B9985CD88404}"/>
    <cellStyle name="Normal 5 7 5" xfId="2188" xr:uid="{00000000-0005-0000-0000-0000D11B0000}"/>
    <cellStyle name="Normal 5 7 5 2" xfId="4417" xr:uid="{00000000-0005-0000-0000-0000D21B0000}"/>
    <cellStyle name="Normal 5 7 5 2 2" xfId="8639" xr:uid="{00000000-0005-0000-0000-0000D31B0000}"/>
    <cellStyle name="Normal 5 7 5 2 2 2" xfId="17089" xr:uid="{68E5E8A3-23CF-4517-9258-36AF9CED8A05}"/>
    <cellStyle name="Normal 5 7 5 2 3" xfId="12871" xr:uid="{5CD4BBA7-2140-4E81-B1D7-F93D00DAAF51}"/>
    <cellStyle name="Normal 5 7 5 3" xfId="6494" xr:uid="{00000000-0005-0000-0000-0000D41B0000}"/>
    <cellStyle name="Normal 5 7 5 3 2" xfId="14944" xr:uid="{24F19FA7-7486-44E1-BA59-FA4D665BACCB}"/>
    <cellStyle name="Normal 5 7 5 4" xfId="10726" xr:uid="{5510D134-0C0F-4EA5-B841-4587738AEED4}"/>
    <cellStyle name="Normal 5 7 6" xfId="2624" xr:uid="{00000000-0005-0000-0000-0000D51B0000}"/>
    <cellStyle name="Normal 5 7 6 2" xfId="6907" xr:uid="{00000000-0005-0000-0000-0000D61B0000}"/>
    <cellStyle name="Normal 5 7 6 2 2" xfId="15357" xr:uid="{D428DA5A-8507-4A41-A523-66305FB6906A}"/>
    <cellStyle name="Normal 5 7 6 3" xfId="11139" xr:uid="{DBFD3D9C-6407-48EC-8A6C-539C6CD44A37}"/>
    <cellStyle name="Normal 5 7 7" xfId="4842" xr:uid="{00000000-0005-0000-0000-0000D71B0000}"/>
    <cellStyle name="Normal 5 7 7 2" xfId="13292" xr:uid="{3A7938E3-7074-4699-845E-340A5E76C98D}"/>
    <cellStyle name="Normal 5 7 8" xfId="9074" xr:uid="{8A0EBBD2-FD37-4A62-BEB9-2022F5D41C4F}"/>
    <cellStyle name="Normal 5 8" xfId="880" xr:uid="{00000000-0005-0000-0000-0000D81B0000}"/>
    <cellStyle name="Normal 5 8 2" xfId="3115" xr:uid="{00000000-0005-0000-0000-0000D91B0000}"/>
    <cellStyle name="Normal 5 8 2 2" xfId="7337" xr:uid="{00000000-0005-0000-0000-0000DA1B0000}"/>
    <cellStyle name="Normal 5 8 2 2 2" xfId="15787" xr:uid="{9E0BAA66-7900-49AF-BD3B-6BAB93E43727}"/>
    <cellStyle name="Normal 5 8 2 3" xfId="11569" xr:uid="{0DDC95F4-2D06-46E1-A7C4-CC74E5340133}"/>
    <cellStyle name="Normal 5 8 3" xfId="5192" xr:uid="{00000000-0005-0000-0000-0000DB1B0000}"/>
    <cellStyle name="Normal 5 8 3 2" xfId="13642" xr:uid="{D80B1B1B-9155-4933-8CA9-536329E0FC66}"/>
    <cellStyle name="Normal 5 8 4" xfId="9424" xr:uid="{E1E4F623-50B7-4085-BA01-92B8DC896119}"/>
    <cellStyle name="Normal 5 9" xfId="1298" xr:uid="{00000000-0005-0000-0000-0000DC1B0000}"/>
    <cellStyle name="Normal 5 9 2" xfId="3528" xr:uid="{00000000-0005-0000-0000-0000DD1B0000}"/>
    <cellStyle name="Normal 5 9 2 2" xfId="7750" xr:uid="{00000000-0005-0000-0000-0000DE1B0000}"/>
    <cellStyle name="Normal 5 9 2 2 2" xfId="16200" xr:uid="{4C6769B6-9BC7-4B6B-8E1C-371FDD0CD540}"/>
    <cellStyle name="Normal 5 9 2 3" xfId="11982" xr:uid="{9A0F42A2-4CF4-4E53-B219-3677E701FA2B}"/>
    <cellStyle name="Normal 5 9 3" xfId="5605" xr:uid="{00000000-0005-0000-0000-0000DF1B0000}"/>
    <cellStyle name="Normal 5 9 3 2" xfId="14055" xr:uid="{6DFEED90-3F9E-4D18-A54D-0D86B975FA91}"/>
    <cellStyle name="Normal 5 9 4" xfId="9837" xr:uid="{A15DEB59-CA99-4089-A454-923C49D1DA0F}"/>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6CE7C8E2-4647-453B-9810-EAAB9192D497}"/>
    <cellStyle name="Normal 8 10 2 3" xfId="12872" xr:uid="{237D2F6A-DDD6-4431-A2B4-2688508EA5CF}"/>
    <cellStyle name="Normal 8 10 3" xfId="6495" xr:uid="{00000000-0005-0000-0000-0000EB1B0000}"/>
    <cellStyle name="Normal 8 10 3 2" xfId="14945" xr:uid="{BB11C177-4FE7-46EA-9DB8-3401E44B274A}"/>
    <cellStyle name="Normal 8 10 4" xfId="10727" xr:uid="{03CDBA9B-CD19-4D3E-974E-211F9FEA9FBF}"/>
    <cellStyle name="Normal 8 11" xfId="2625" xr:uid="{00000000-0005-0000-0000-0000EC1B0000}"/>
    <cellStyle name="Normal 8 11 2" xfId="6908" xr:uid="{00000000-0005-0000-0000-0000ED1B0000}"/>
    <cellStyle name="Normal 8 11 2 2" xfId="15358" xr:uid="{1FE723C2-01D0-43D9-BCF5-B8D03A17037B}"/>
    <cellStyle name="Normal 8 11 3" xfId="11140" xr:uid="{0D28C939-BF24-4AE2-85DA-5D73A8A875E6}"/>
    <cellStyle name="Normal 8 12" xfId="4843" xr:uid="{00000000-0005-0000-0000-0000EE1B0000}"/>
    <cellStyle name="Normal 8 12 2" xfId="13293" xr:uid="{6E0BAD74-2B46-497A-A0A8-9C0CEF8D25B1}"/>
    <cellStyle name="Normal 8 13" xfId="9075" xr:uid="{B2A4600A-C0A5-4B14-B5F7-25A3A05F1854}"/>
    <cellStyle name="Normal 8 2" xfId="479" xr:uid="{00000000-0005-0000-0000-0000EF1B0000}"/>
    <cellStyle name="Normal 8 2 10" xfId="2626" xr:uid="{00000000-0005-0000-0000-0000F01B0000}"/>
    <cellStyle name="Normal 8 2 10 2" xfId="6909" xr:uid="{00000000-0005-0000-0000-0000F11B0000}"/>
    <cellStyle name="Normal 8 2 10 2 2" xfId="15359" xr:uid="{DB6157CF-CC1D-45FE-881F-2DD5B20B6AA2}"/>
    <cellStyle name="Normal 8 2 10 3" xfId="11141" xr:uid="{E2C477DC-1158-4B0D-84CE-6D2902963986}"/>
    <cellStyle name="Normal 8 2 11" xfId="4844" xr:uid="{00000000-0005-0000-0000-0000F21B0000}"/>
    <cellStyle name="Normal 8 2 11 2" xfId="13294" xr:uid="{7EC3D4C9-D5AB-4863-AE51-251EBBE51EEA}"/>
    <cellStyle name="Normal 8 2 12" xfId="9076" xr:uid="{B23B2EA5-4CED-4057-A70F-9231A98B6E6A}"/>
    <cellStyle name="Normal 8 2 2" xfId="480" xr:uid="{00000000-0005-0000-0000-0000F31B0000}"/>
    <cellStyle name="Normal 8 2 2 10" xfId="4845" xr:uid="{00000000-0005-0000-0000-0000F41B0000}"/>
    <cellStyle name="Normal 8 2 2 10 2" xfId="13295" xr:uid="{53D71738-BB6F-4D11-8D74-4A33E949DA71}"/>
    <cellStyle name="Normal 8 2 2 11" xfId="9077" xr:uid="{71927A56-BB2C-49D1-B366-B715D68A5890}"/>
    <cellStyle name="Normal 8 2 2 2" xfId="481" xr:uid="{00000000-0005-0000-0000-0000F51B0000}"/>
    <cellStyle name="Normal 8 2 2 2 10" xfId="9078" xr:uid="{58EDDC81-B21E-4758-AA94-6FE8F1525999}"/>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A5D70B87-7402-4B7D-B808-2DCFF7797A9A}"/>
    <cellStyle name="Normal 8 2 2 2 2 2 2 2 3" xfId="11638" xr:uid="{3963883E-D3B8-4F73-8E49-50C2686084C7}"/>
    <cellStyle name="Normal 8 2 2 2 2 2 2 3" xfId="5261" xr:uid="{00000000-0005-0000-0000-0000FB1B0000}"/>
    <cellStyle name="Normal 8 2 2 2 2 2 2 3 2" xfId="13711" xr:uid="{4AEC47B1-B13A-48D8-AB08-44D4D63A847C}"/>
    <cellStyle name="Normal 8 2 2 2 2 2 2 4" xfId="9493" xr:uid="{16F6DF96-79B9-4B73-BFD1-D1032683B2CB}"/>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CE693322-3C95-4DA2-B53B-3A87FF5C1EEB}"/>
    <cellStyle name="Normal 8 2 2 2 2 2 3 2 3" xfId="12051" xr:uid="{958712D2-D0FC-48AC-925E-CBE642C3F656}"/>
    <cellStyle name="Normal 8 2 2 2 2 2 3 3" xfId="5674" xr:uid="{00000000-0005-0000-0000-0000FF1B0000}"/>
    <cellStyle name="Normal 8 2 2 2 2 2 3 3 2" xfId="14124" xr:uid="{CD21FE24-EA1C-4B56-8B7D-5F9881C42878}"/>
    <cellStyle name="Normal 8 2 2 2 2 2 3 4" xfId="9906" xr:uid="{56A5929F-83B0-43F1-BFC9-48E0C5292F5A}"/>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6698F29D-81A2-4328-887B-6A4C044074D3}"/>
    <cellStyle name="Normal 8 2 2 2 2 2 4 2 3" xfId="12464" xr:uid="{003CA3B4-BC13-45A2-AA82-7D596FC854C0}"/>
    <cellStyle name="Normal 8 2 2 2 2 2 4 3" xfId="6087" xr:uid="{00000000-0005-0000-0000-0000031C0000}"/>
    <cellStyle name="Normal 8 2 2 2 2 2 4 3 2" xfId="14537" xr:uid="{46B976BF-4A9D-4F17-ABC1-0B4421B28A6F}"/>
    <cellStyle name="Normal 8 2 2 2 2 2 4 4" xfId="10319" xr:uid="{6C090BF4-AC97-42DF-B034-5190EB8C0AA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90C40891-53BB-442A-BA94-23913262676F}"/>
    <cellStyle name="Normal 8 2 2 2 2 2 5 2 3" xfId="12877" xr:uid="{BF828CC6-5278-4AC8-8434-C6F5B0E895CA}"/>
    <cellStyle name="Normal 8 2 2 2 2 2 5 3" xfId="6500" xr:uid="{00000000-0005-0000-0000-0000071C0000}"/>
    <cellStyle name="Normal 8 2 2 2 2 2 5 3 2" xfId="14950" xr:uid="{D5A5B060-AC7D-4D80-8045-EE118E340959}"/>
    <cellStyle name="Normal 8 2 2 2 2 2 5 4" xfId="10732" xr:uid="{6DF9B7EC-C441-4961-87F5-662471A8D752}"/>
    <cellStyle name="Normal 8 2 2 2 2 2 6" xfId="2630" xr:uid="{00000000-0005-0000-0000-0000081C0000}"/>
    <cellStyle name="Normal 8 2 2 2 2 2 6 2" xfId="6913" xr:uid="{00000000-0005-0000-0000-0000091C0000}"/>
    <cellStyle name="Normal 8 2 2 2 2 2 6 2 2" xfId="15363" xr:uid="{4C6C80BA-0AF0-4EB1-A826-6EB9B9B03106}"/>
    <cellStyle name="Normal 8 2 2 2 2 2 6 3" xfId="11145" xr:uid="{56829B82-C1E5-469D-9342-4D480F47BF2F}"/>
    <cellStyle name="Normal 8 2 2 2 2 2 7" xfId="4848" xr:uid="{00000000-0005-0000-0000-00000A1C0000}"/>
    <cellStyle name="Normal 8 2 2 2 2 2 7 2" xfId="13298" xr:uid="{03FD261B-3050-4B09-BDF2-3707D1C5EB0E}"/>
    <cellStyle name="Normal 8 2 2 2 2 2 8" xfId="9080" xr:uid="{2F437E9E-6B79-412B-A236-355A6772C1C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8587921C-C6CF-4759-A0F2-C690016EB941}"/>
    <cellStyle name="Normal 8 2 2 2 2 3 2 3" xfId="11637" xr:uid="{4F59FD83-058B-46F7-B2E9-4F235BDCE2FE}"/>
    <cellStyle name="Normal 8 2 2 2 2 3 3" xfId="5260" xr:uid="{00000000-0005-0000-0000-00000E1C0000}"/>
    <cellStyle name="Normal 8 2 2 2 2 3 3 2" xfId="13710" xr:uid="{0CF8D494-AAC8-49C0-8F30-A06A66FDEDCF}"/>
    <cellStyle name="Normal 8 2 2 2 2 3 4" xfId="9492" xr:uid="{0363036C-4C82-426F-8EF1-4926B6ECAA1B}"/>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8580DB4B-5CF4-405E-A21E-FD3FC1BAD9B3}"/>
    <cellStyle name="Normal 8 2 2 2 2 4 2 3" xfId="12050" xr:uid="{41D17F3C-4103-4409-8827-B8BD48980E0F}"/>
    <cellStyle name="Normal 8 2 2 2 2 4 3" xfId="5673" xr:uid="{00000000-0005-0000-0000-0000121C0000}"/>
    <cellStyle name="Normal 8 2 2 2 2 4 3 2" xfId="14123" xr:uid="{2044A05A-9194-41F1-9B28-8076277A96B1}"/>
    <cellStyle name="Normal 8 2 2 2 2 4 4" xfId="9905" xr:uid="{EBDF9D6A-891A-4612-978B-2716C85C2366}"/>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1AEF8A93-EF52-49A8-8312-FA7792425255}"/>
    <cellStyle name="Normal 8 2 2 2 2 5 2 3" xfId="12463" xr:uid="{678A7DC9-1742-4DF0-8082-3BEF7F40FAD7}"/>
    <cellStyle name="Normal 8 2 2 2 2 5 3" xfId="6086" xr:uid="{00000000-0005-0000-0000-0000161C0000}"/>
    <cellStyle name="Normal 8 2 2 2 2 5 3 2" xfId="14536" xr:uid="{C781DCF7-AFB9-4679-8800-CFD50696F402}"/>
    <cellStyle name="Normal 8 2 2 2 2 5 4" xfId="10318" xr:uid="{8883E8A9-651B-486E-B496-B41B58A7084F}"/>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7EC7F49A-1097-45A0-A923-D24A83CC084D}"/>
    <cellStyle name="Normal 8 2 2 2 2 6 2 3" xfId="12876" xr:uid="{5A35DF00-DE5E-455F-B090-8241FA22B380}"/>
    <cellStyle name="Normal 8 2 2 2 2 6 3" xfId="6499" xr:uid="{00000000-0005-0000-0000-00001A1C0000}"/>
    <cellStyle name="Normal 8 2 2 2 2 6 3 2" xfId="14949" xr:uid="{1B0153F4-73C5-4FBD-8A03-C908A30FABC7}"/>
    <cellStyle name="Normal 8 2 2 2 2 6 4" xfId="10731" xr:uid="{601905C6-A374-4C6C-BF3B-D9AD392AFF2D}"/>
    <cellStyle name="Normal 8 2 2 2 2 7" xfId="2629" xr:uid="{00000000-0005-0000-0000-00001B1C0000}"/>
    <cellStyle name="Normal 8 2 2 2 2 7 2" xfId="6912" xr:uid="{00000000-0005-0000-0000-00001C1C0000}"/>
    <cellStyle name="Normal 8 2 2 2 2 7 2 2" xfId="15362" xr:uid="{6B28DA87-A216-421F-BC73-95D8EE2A4E7A}"/>
    <cellStyle name="Normal 8 2 2 2 2 7 3" xfId="11144" xr:uid="{04650A30-6732-4834-9DCE-F5E3B459156A}"/>
    <cellStyle name="Normal 8 2 2 2 2 8" xfId="4847" xr:uid="{00000000-0005-0000-0000-00001D1C0000}"/>
    <cellStyle name="Normal 8 2 2 2 2 8 2" xfId="13297" xr:uid="{B98353B8-97AC-4D1B-A82D-2E4A6A9A390E}"/>
    <cellStyle name="Normal 8 2 2 2 2 9" xfId="9079" xr:uid="{3D8B0B1F-3701-47B7-86EF-CCEDBD69A063}"/>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649B04B6-8032-449C-A85B-B63A91C82910}"/>
    <cellStyle name="Normal 8 2 2 2 3 2 2 3" xfId="11639" xr:uid="{27984DB2-7750-42FA-8A3F-FDA1FEAE7E0F}"/>
    <cellStyle name="Normal 8 2 2 2 3 2 3" xfId="5262" xr:uid="{00000000-0005-0000-0000-0000221C0000}"/>
    <cellStyle name="Normal 8 2 2 2 3 2 3 2" xfId="13712" xr:uid="{3B454FE8-924D-499F-A1EF-96D97909419B}"/>
    <cellStyle name="Normal 8 2 2 2 3 2 4" xfId="9494" xr:uid="{6AF0B0DB-1927-46DE-8CB2-A0BD0814C253}"/>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B6645231-DD6B-43C7-A527-811B02E88CE0}"/>
    <cellStyle name="Normal 8 2 2 2 3 3 2 3" xfId="12052" xr:uid="{4B2F4B18-FA11-4B31-999C-AD721F8F13F8}"/>
    <cellStyle name="Normal 8 2 2 2 3 3 3" xfId="5675" xr:uid="{00000000-0005-0000-0000-0000261C0000}"/>
    <cellStyle name="Normal 8 2 2 2 3 3 3 2" xfId="14125" xr:uid="{479E1BC5-AA82-4F82-AE4B-C568F96173C4}"/>
    <cellStyle name="Normal 8 2 2 2 3 3 4" xfId="9907" xr:uid="{C8FD36C3-C888-4EC4-8155-D8EDD31E8712}"/>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F9D12545-B4A0-4770-895A-280071223452}"/>
    <cellStyle name="Normal 8 2 2 2 3 4 2 3" xfId="12465" xr:uid="{22B53338-A34D-42D9-B9F9-FEE745ED7D8E}"/>
    <cellStyle name="Normal 8 2 2 2 3 4 3" xfId="6088" xr:uid="{00000000-0005-0000-0000-00002A1C0000}"/>
    <cellStyle name="Normal 8 2 2 2 3 4 3 2" xfId="14538" xr:uid="{E71061F8-4D3E-420F-9F03-A76122748E26}"/>
    <cellStyle name="Normal 8 2 2 2 3 4 4" xfId="10320" xr:uid="{C546D82E-F501-419A-8C61-32AEA9A1411C}"/>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BF9A2159-9526-4E9A-9247-5025D0E1893A}"/>
    <cellStyle name="Normal 8 2 2 2 3 5 2 3" xfId="12878" xr:uid="{2B082D48-C4CC-45A1-A9B5-1ACCDE05974F}"/>
    <cellStyle name="Normal 8 2 2 2 3 5 3" xfId="6501" xr:uid="{00000000-0005-0000-0000-00002E1C0000}"/>
    <cellStyle name="Normal 8 2 2 2 3 5 3 2" xfId="14951" xr:uid="{7352ED43-01E3-4F94-80B0-B7D74C950EAC}"/>
    <cellStyle name="Normal 8 2 2 2 3 5 4" xfId="10733" xr:uid="{7A421C55-AC78-4A0A-860B-F6ACDE322E8C}"/>
    <cellStyle name="Normal 8 2 2 2 3 6" xfId="2631" xr:uid="{00000000-0005-0000-0000-00002F1C0000}"/>
    <cellStyle name="Normal 8 2 2 2 3 6 2" xfId="6914" xr:uid="{00000000-0005-0000-0000-0000301C0000}"/>
    <cellStyle name="Normal 8 2 2 2 3 6 2 2" xfId="15364" xr:uid="{E8F05745-3276-4DA2-B7ED-7189D94878E6}"/>
    <cellStyle name="Normal 8 2 2 2 3 6 3" xfId="11146" xr:uid="{E2CE7FFE-5108-4609-B2DA-763EEF6EFDF9}"/>
    <cellStyle name="Normal 8 2 2 2 3 7" xfId="4849" xr:uid="{00000000-0005-0000-0000-0000311C0000}"/>
    <cellStyle name="Normal 8 2 2 2 3 7 2" xfId="13299" xr:uid="{F41F39D2-17FC-4D1D-B1E5-E1E61A092A31}"/>
    <cellStyle name="Normal 8 2 2 2 3 8" xfId="9081" xr:uid="{873F9AED-BF3C-4683-9CBC-26617B217CB6}"/>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1BED5F5C-B2F3-4026-A6E9-F81E5C4744A5}"/>
    <cellStyle name="Normal 8 2 2 2 4 2 3" xfId="11636" xr:uid="{7B3990A0-2AC9-4047-A7C9-FDB216F92644}"/>
    <cellStyle name="Normal 8 2 2 2 4 3" xfId="5259" xr:uid="{00000000-0005-0000-0000-0000351C0000}"/>
    <cellStyle name="Normal 8 2 2 2 4 3 2" xfId="13709" xr:uid="{0700999B-F71A-4792-AD29-C5FE34CC1B1C}"/>
    <cellStyle name="Normal 8 2 2 2 4 4" xfId="9491" xr:uid="{93726A1C-6057-4F12-A476-3E48614D163E}"/>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767A99A1-16A1-4D82-85FA-DB2CD00FC553}"/>
    <cellStyle name="Normal 8 2 2 2 5 2 3" xfId="12049" xr:uid="{29B75288-1FFC-4F6A-97E3-67E7757265C4}"/>
    <cellStyle name="Normal 8 2 2 2 5 3" xfId="5672" xr:uid="{00000000-0005-0000-0000-0000391C0000}"/>
    <cellStyle name="Normal 8 2 2 2 5 3 2" xfId="14122" xr:uid="{5CC12033-53B4-460D-BDAF-2EB3FEF29169}"/>
    <cellStyle name="Normal 8 2 2 2 5 4" xfId="9904" xr:uid="{957F53D7-E939-4690-A932-FE85DF8D4624}"/>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7D8E85D7-4763-4321-9B5F-E01D2A97DC77}"/>
    <cellStyle name="Normal 8 2 2 2 6 2 3" xfId="12462" xr:uid="{EA60B00D-7DE1-4D2A-8482-B70BD4D1F03A}"/>
    <cellStyle name="Normal 8 2 2 2 6 3" xfId="6085" xr:uid="{00000000-0005-0000-0000-00003D1C0000}"/>
    <cellStyle name="Normal 8 2 2 2 6 3 2" xfId="14535" xr:uid="{EF68BC39-C366-4DFD-87E8-AF99E4489DF8}"/>
    <cellStyle name="Normal 8 2 2 2 6 4" xfId="10317" xr:uid="{81D63ED2-0990-4D35-925A-A834C045415F}"/>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18EAF1B7-62C4-49AF-87A2-B13234865C59}"/>
    <cellStyle name="Normal 8 2 2 2 7 2 3" xfId="12875" xr:uid="{B1AF54FA-EA15-4CF9-BE6E-E592BA254395}"/>
    <cellStyle name="Normal 8 2 2 2 7 3" xfId="6498" xr:uid="{00000000-0005-0000-0000-0000411C0000}"/>
    <cellStyle name="Normal 8 2 2 2 7 3 2" xfId="14948" xr:uid="{289F0BA5-4516-4581-9F05-8A4D17EAF964}"/>
    <cellStyle name="Normal 8 2 2 2 7 4" xfId="10730" xr:uid="{A223810A-B641-4AEE-ABFA-2A4D8E1F0143}"/>
    <cellStyle name="Normal 8 2 2 2 8" xfId="2628" xr:uid="{00000000-0005-0000-0000-0000421C0000}"/>
    <cellStyle name="Normal 8 2 2 2 8 2" xfId="6911" xr:uid="{00000000-0005-0000-0000-0000431C0000}"/>
    <cellStyle name="Normal 8 2 2 2 8 2 2" xfId="15361" xr:uid="{B7CA8997-0740-4352-8662-9C7F06972DBE}"/>
    <cellStyle name="Normal 8 2 2 2 8 3" xfId="11143" xr:uid="{BB065AB8-3601-49A6-A118-8ED4C022E6AE}"/>
    <cellStyle name="Normal 8 2 2 2 9" xfId="4846" xr:uid="{00000000-0005-0000-0000-0000441C0000}"/>
    <cellStyle name="Normal 8 2 2 2 9 2" xfId="13296" xr:uid="{A7B51071-5E3B-45A3-9EC0-C80EC5F710D7}"/>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E47870B9-CD7D-4D1B-AF01-ABC329F2366B}"/>
    <cellStyle name="Normal 8 2 2 3 2 2 2 3" xfId="11641" xr:uid="{9A80305E-695E-40D9-883E-5573B13621F6}"/>
    <cellStyle name="Normal 8 2 2 3 2 2 3" xfId="5264" xr:uid="{00000000-0005-0000-0000-00004A1C0000}"/>
    <cellStyle name="Normal 8 2 2 3 2 2 3 2" xfId="13714" xr:uid="{AA184704-3785-4E54-8BC7-CB3331B39979}"/>
    <cellStyle name="Normal 8 2 2 3 2 2 4" xfId="9496" xr:uid="{E6AD9BDB-4CE3-4E30-A9FF-E84B227F532A}"/>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2F7BD08D-C9D5-49E5-9219-3EEF2E028E34}"/>
    <cellStyle name="Normal 8 2 2 3 2 3 2 3" xfId="12054" xr:uid="{A721E87E-AA91-4B16-9845-F7293170F476}"/>
    <cellStyle name="Normal 8 2 2 3 2 3 3" xfId="5677" xr:uid="{00000000-0005-0000-0000-00004E1C0000}"/>
    <cellStyle name="Normal 8 2 2 3 2 3 3 2" xfId="14127" xr:uid="{F7C194C2-08B3-4AE5-B7FA-323AA7078F24}"/>
    <cellStyle name="Normal 8 2 2 3 2 3 4" xfId="9909" xr:uid="{69EF04ED-93BF-4F09-8065-687ECAFC4314}"/>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2AB688E0-7F68-4619-AE09-718DC7FC123C}"/>
    <cellStyle name="Normal 8 2 2 3 2 4 2 3" xfId="12467" xr:uid="{5B601242-7D18-42A4-97DE-8CB4F1CA2A3F}"/>
    <cellStyle name="Normal 8 2 2 3 2 4 3" xfId="6090" xr:uid="{00000000-0005-0000-0000-0000521C0000}"/>
    <cellStyle name="Normal 8 2 2 3 2 4 3 2" xfId="14540" xr:uid="{0066CAC2-1107-4EF1-8989-E2D379978F19}"/>
    <cellStyle name="Normal 8 2 2 3 2 4 4" xfId="10322" xr:uid="{C1F9DC67-13A8-4F71-B75B-D2956CF1339A}"/>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29221B78-B7A6-4940-A866-CFEB7F4E5D0B}"/>
    <cellStyle name="Normal 8 2 2 3 2 5 2 3" xfId="12880" xr:uid="{0B5795C4-6233-4F71-B7C9-CA3DD3FEF4FA}"/>
    <cellStyle name="Normal 8 2 2 3 2 5 3" xfId="6503" xr:uid="{00000000-0005-0000-0000-0000561C0000}"/>
    <cellStyle name="Normal 8 2 2 3 2 5 3 2" xfId="14953" xr:uid="{6DDEB4E9-980E-456E-AC4A-5DEDEB07164F}"/>
    <cellStyle name="Normal 8 2 2 3 2 5 4" xfId="10735" xr:uid="{6B011A6C-2CD6-407A-BC4A-630237E0BF52}"/>
    <cellStyle name="Normal 8 2 2 3 2 6" xfId="2633" xr:uid="{00000000-0005-0000-0000-0000571C0000}"/>
    <cellStyle name="Normal 8 2 2 3 2 6 2" xfId="6916" xr:uid="{00000000-0005-0000-0000-0000581C0000}"/>
    <cellStyle name="Normal 8 2 2 3 2 6 2 2" xfId="15366" xr:uid="{6AE3D222-9FC4-4D71-9704-6032274C69C8}"/>
    <cellStyle name="Normal 8 2 2 3 2 6 3" xfId="11148" xr:uid="{6F3748EC-9989-48A5-9836-38C645B28E41}"/>
    <cellStyle name="Normal 8 2 2 3 2 7" xfId="4851" xr:uid="{00000000-0005-0000-0000-0000591C0000}"/>
    <cellStyle name="Normal 8 2 2 3 2 7 2" xfId="13301" xr:uid="{E4F7ABDE-A6D0-44A1-9B36-0F83B9F00FD1}"/>
    <cellStyle name="Normal 8 2 2 3 2 8" xfId="9083" xr:uid="{54CC27D7-EF1C-4D30-9885-E307C9DEC429}"/>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2E80898D-BA3B-4677-A803-39B7F3A5291C}"/>
    <cellStyle name="Normal 8 2 2 3 3 2 3" xfId="11640" xr:uid="{60E46A76-D253-46BC-80E2-8C863C261F13}"/>
    <cellStyle name="Normal 8 2 2 3 3 3" xfId="5263" xr:uid="{00000000-0005-0000-0000-00005D1C0000}"/>
    <cellStyle name="Normal 8 2 2 3 3 3 2" xfId="13713" xr:uid="{F3A6D6A7-3828-420E-A7B1-7F1982AC9470}"/>
    <cellStyle name="Normal 8 2 2 3 3 4" xfId="9495" xr:uid="{F5690DAE-52C5-4674-8A09-2D88FDD4EB6D}"/>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48BED015-EF27-4E44-83BF-2B4D721B024D}"/>
    <cellStyle name="Normal 8 2 2 3 4 2 3" xfId="12053" xr:uid="{DE868BA2-56BF-49E5-AB25-1CAE8D6858BE}"/>
    <cellStyle name="Normal 8 2 2 3 4 3" xfId="5676" xr:uid="{00000000-0005-0000-0000-0000611C0000}"/>
    <cellStyle name="Normal 8 2 2 3 4 3 2" xfId="14126" xr:uid="{F9369C74-20EB-4115-9EFE-EA450790558C}"/>
    <cellStyle name="Normal 8 2 2 3 4 4" xfId="9908" xr:uid="{E7D07A53-9307-443E-9892-6018261AFB5A}"/>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A89C30D4-8CB2-4B6F-87D9-8478A7B9E494}"/>
    <cellStyle name="Normal 8 2 2 3 5 2 3" xfId="12466" xr:uid="{6BC89846-1C68-4A1D-846F-AE6A56E9EC46}"/>
    <cellStyle name="Normal 8 2 2 3 5 3" xfId="6089" xr:uid="{00000000-0005-0000-0000-0000651C0000}"/>
    <cellStyle name="Normal 8 2 2 3 5 3 2" xfId="14539" xr:uid="{15E41BD8-1496-4107-BE77-9DED7ABB1E1D}"/>
    <cellStyle name="Normal 8 2 2 3 5 4" xfId="10321" xr:uid="{F459F675-A588-454A-AB82-92AB0ABA551E}"/>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5D71373F-D4B7-4A9C-BA23-026E5B66E36C}"/>
    <cellStyle name="Normal 8 2 2 3 6 2 3" xfId="12879" xr:uid="{20B82C5D-57B4-4B00-8222-F440BFF587AE}"/>
    <cellStyle name="Normal 8 2 2 3 6 3" xfId="6502" xr:uid="{00000000-0005-0000-0000-0000691C0000}"/>
    <cellStyle name="Normal 8 2 2 3 6 3 2" xfId="14952" xr:uid="{84934DDF-8657-4C76-8B07-448524A47525}"/>
    <cellStyle name="Normal 8 2 2 3 6 4" xfId="10734" xr:uid="{E6D4C2AC-1FFF-4D3D-B429-FB47AAD9FE81}"/>
    <cellStyle name="Normal 8 2 2 3 7" xfId="2632" xr:uid="{00000000-0005-0000-0000-00006A1C0000}"/>
    <cellStyle name="Normal 8 2 2 3 7 2" xfId="6915" xr:uid="{00000000-0005-0000-0000-00006B1C0000}"/>
    <cellStyle name="Normal 8 2 2 3 7 2 2" xfId="15365" xr:uid="{8F0FA755-3A10-4995-A420-2486A08D365C}"/>
    <cellStyle name="Normal 8 2 2 3 7 3" xfId="11147" xr:uid="{DAF3A994-776B-4E87-8EB5-A446F94DA399}"/>
    <cellStyle name="Normal 8 2 2 3 8" xfId="4850" xr:uid="{00000000-0005-0000-0000-00006C1C0000}"/>
    <cellStyle name="Normal 8 2 2 3 8 2" xfId="13300" xr:uid="{94B008B4-5522-4348-85B8-64ADF24CFE66}"/>
    <cellStyle name="Normal 8 2 2 3 9" xfId="9082" xr:uid="{690AE617-A072-4FFF-9FFC-78C79869835E}"/>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AB5E122A-ED39-409F-824C-9051E871FBFE}"/>
    <cellStyle name="Normal 8 2 2 4 2 2 3" xfId="11642" xr:uid="{B85AB409-6A95-487C-A0CB-63C832D138D4}"/>
    <cellStyle name="Normal 8 2 2 4 2 3" xfId="5265" xr:uid="{00000000-0005-0000-0000-0000711C0000}"/>
    <cellStyle name="Normal 8 2 2 4 2 3 2" xfId="13715" xr:uid="{CC086D55-F268-4642-9A11-C1C6162CE525}"/>
    <cellStyle name="Normal 8 2 2 4 2 4" xfId="9497" xr:uid="{7EFD3C2B-A3B9-464B-80CD-EE62FD7E6236}"/>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56196A19-4BB3-4673-8B59-6B6EF058749E}"/>
    <cellStyle name="Normal 8 2 2 4 3 2 3" xfId="12055" xr:uid="{32F74926-D95A-4E37-ABA8-C1CFB5EBA9E7}"/>
    <cellStyle name="Normal 8 2 2 4 3 3" xfId="5678" xr:uid="{00000000-0005-0000-0000-0000751C0000}"/>
    <cellStyle name="Normal 8 2 2 4 3 3 2" xfId="14128" xr:uid="{C94C985A-3964-450E-92EC-250CDF6CE8FC}"/>
    <cellStyle name="Normal 8 2 2 4 3 4" xfId="9910" xr:uid="{E345B383-22C2-4CA5-B585-B822880D887E}"/>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48CEFA88-C99C-481A-8BFD-7D74D09CB383}"/>
    <cellStyle name="Normal 8 2 2 4 4 2 3" xfId="12468" xr:uid="{CFAC400C-B499-49EB-9735-D5CDDE80922B}"/>
    <cellStyle name="Normal 8 2 2 4 4 3" xfId="6091" xr:uid="{00000000-0005-0000-0000-0000791C0000}"/>
    <cellStyle name="Normal 8 2 2 4 4 3 2" xfId="14541" xr:uid="{20954B13-26FD-45D5-BB97-98A0BE325EE7}"/>
    <cellStyle name="Normal 8 2 2 4 4 4" xfId="10323" xr:uid="{89E5AF4A-A90D-4C71-A89D-B10BF9B38544}"/>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E241720C-0C80-4867-B6E4-53A0B8094B4A}"/>
    <cellStyle name="Normal 8 2 2 4 5 2 3" xfId="12881" xr:uid="{478EF3B7-D48C-413A-A263-60ACB66F14CA}"/>
    <cellStyle name="Normal 8 2 2 4 5 3" xfId="6504" xr:uid="{00000000-0005-0000-0000-00007D1C0000}"/>
    <cellStyle name="Normal 8 2 2 4 5 3 2" xfId="14954" xr:uid="{7909BA7A-AB90-4C83-87D1-B7CD93701F3A}"/>
    <cellStyle name="Normal 8 2 2 4 5 4" xfId="10736" xr:uid="{B4E33B4B-2F9F-4AD5-9755-0D580B89A568}"/>
    <cellStyle name="Normal 8 2 2 4 6" xfId="2634" xr:uid="{00000000-0005-0000-0000-00007E1C0000}"/>
    <cellStyle name="Normal 8 2 2 4 6 2" xfId="6917" xr:uid="{00000000-0005-0000-0000-00007F1C0000}"/>
    <cellStyle name="Normal 8 2 2 4 6 2 2" xfId="15367" xr:uid="{0A41FDAE-2DC5-4B89-B842-5E06DDF40711}"/>
    <cellStyle name="Normal 8 2 2 4 6 3" xfId="11149" xr:uid="{E22F2556-7969-4C74-BC8B-054C46AF1D15}"/>
    <cellStyle name="Normal 8 2 2 4 7" xfId="4852" xr:uid="{00000000-0005-0000-0000-0000801C0000}"/>
    <cellStyle name="Normal 8 2 2 4 7 2" xfId="13302" xr:uid="{617B06A6-D9AF-4775-85CF-6754272C45CF}"/>
    <cellStyle name="Normal 8 2 2 4 8" xfId="9084" xr:uid="{8826E6DF-9AAF-48FA-B0F5-80B9B2DEB26D}"/>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E4BAA2E2-98D6-44C7-BC54-5786A3E046CC}"/>
    <cellStyle name="Normal 8 2 2 5 2 3" xfId="11635" xr:uid="{FACDF961-F5EF-433F-8E01-BAF01C96C186}"/>
    <cellStyle name="Normal 8 2 2 5 3" xfId="5258" xr:uid="{00000000-0005-0000-0000-0000841C0000}"/>
    <cellStyle name="Normal 8 2 2 5 3 2" xfId="13708" xr:uid="{72734BCB-7DD9-4982-A7FA-ABCDA46B3E0A}"/>
    <cellStyle name="Normal 8 2 2 5 4" xfId="9490" xr:uid="{E68FE0F3-2991-4A2F-A708-D75675DFC876}"/>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80DF53E7-E60C-4F0A-834F-0527E6B8EED0}"/>
    <cellStyle name="Normal 8 2 2 6 2 3" xfId="12048" xr:uid="{98F7C523-F5C4-454A-BEEA-5A940B35D5F5}"/>
    <cellStyle name="Normal 8 2 2 6 3" xfId="5671" xr:uid="{00000000-0005-0000-0000-0000881C0000}"/>
    <cellStyle name="Normal 8 2 2 6 3 2" xfId="14121" xr:uid="{34CC777E-41DF-4C9B-9857-0A84B185EBC7}"/>
    <cellStyle name="Normal 8 2 2 6 4" xfId="9903" xr:uid="{59318FED-8990-43D7-B316-213C1F8B99F5}"/>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F423947C-FF07-44D4-B92B-11B76CC01C3A}"/>
    <cellStyle name="Normal 8 2 2 7 2 3" xfId="12461" xr:uid="{749978A3-F97F-47C3-890D-82F5A57E8F72}"/>
    <cellStyle name="Normal 8 2 2 7 3" xfId="6084" xr:uid="{00000000-0005-0000-0000-00008C1C0000}"/>
    <cellStyle name="Normal 8 2 2 7 3 2" xfId="14534" xr:uid="{27D0782F-C89D-4FAF-82C7-8668045BE066}"/>
    <cellStyle name="Normal 8 2 2 7 4" xfId="10316" xr:uid="{05EB0AB2-0D5E-4D01-B550-A4CE75B4B39E}"/>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C408E5EE-E7B7-40B6-96DB-5DD4B1F4782D}"/>
    <cellStyle name="Normal 8 2 2 8 2 3" xfId="12874" xr:uid="{38E9FCF1-C6BD-4055-8429-3FE42952E2F8}"/>
    <cellStyle name="Normal 8 2 2 8 3" xfId="6497" xr:uid="{00000000-0005-0000-0000-0000901C0000}"/>
    <cellStyle name="Normal 8 2 2 8 3 2" xfId="14947" xr:uid="{CB756210-B889-4116-8DBE-0A92F214FC29}"/>
    <cellStyle name="Normal 8 2 2 8 4" xfId="10729" xr:uid="{2C1A54DA-6509-41D9-B93E-48C4616B89C9}"/>
    <cellStyle name="Normal 8 2 2 9" xfId="2627" xr:uid="{00000000-0005-0000-0000-0000911C0000}"/>
    <cellStyle name="Normal 8 2 2 9 2" xfId="6910" xr:uid="{00000000-0005-0000-0000-0000921C0000}"/>
    <cellStyle name="Normal 8 2 2 9 2 2" xfId="15360" xr:uid="{F1C1B84B-D631-43BC-8196-21F7FDCC7688}"/>
    <cellStyle name="Normal 8 2 2 9 3" xfId="11142" xr:uid="{1933C400-D846-44CD-9672-CB18FD644E49}"/>
    <cellStyle name="Normal 8 2 3" xfId="488" xr:uid="{00000000-0005-0000-0000-0000931C0000}"/>
    <cellStyle name="Normal 8 2 3 10" xfId="9085" xr:uid="{F8CA7924-A0C0-4AC3-B392-80CAE0E74CB2}"/>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8FDA59C6-2101-4C64-A169-CB7ADE31D2DF}"/>
    <cellStyle name="Normal 8 2 3 2 2 2 2 3" xfId="11645" xr:uid="{9A910C31-1CBD-448E-B38A-9B54AFB47A47}"/>
    <cellStyle name="Normal 8 2 3 2 2 2 3" xfId="5268" xr:uid="{00000000-0005-0000-0000-0000991C0000}"/>
    <cellStyle name="Normal 8 2 3 2 2 2 3 2" xfId="13718" xr:uid="{9050FE00-7065-486E-92EC-78F0BA54D933}"/>
    <cellStyle name="Normal 8 2 3 2 2 2 4" xfId="9500" xr:uid="{BFC03B5A-6DF1-4D01-B940-559131178D89}"/>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E572BA10-1641-423A-B40F-44E82952C31B}"/>
    <cellStyle name="Normal 8 2 3 2 2 3 2 3" xfId="12058" xr:uid="{580C2485-E9EC-48D2-B7F0-9A7848BF1028}"/>
    <cellStyle name="Normal 8 2 3 2 2 3 3" xfId="5681" xr:uid="{00000000-0005-0000-0000-00009D1C0000}"/>
    <cellStyle name="Normal 8 2 3 2 2 3 3 2" xfId="14131" xr:uid="{C78E81C7-06D5-4C94-B24B-FEE13CD5BA76}"/>
    <cellStyle name="Normal 8 2 3 2 2 3 4" xfId="9913" xr:uid="{FF51F1AB-64CC-467E-AFBE-A5ACE90A0EBD}"/>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4F9C6EC9-B913-4422-A606-29256307D86D}"/>
    <cellStyle name="Normal 8 2 3 2 2 4 2 3" xfId="12471" xr:uid="{9A069FFC-BB1B-4042-8072-28E4AB90C0D0}"/>
    <cellStyle name="Normal 8 2 3 2 2 4 3" xfId="6094" xr:uid="{00000000-0005-0000-0000-0000A11C0000}"/>
    <cellStyle name="Normal 8 2 3 2 2 4 3 2" xfId="14544" xr:uid="{1FD24D1A-BF3C-48BB-AA8C-5FD4B71DD48A}"/>
    <cellStyle name="Normal 8 2 3 2 2 4 4" xfId="10326" xr:uid="{0E4E92B2-A1DB-49E1-BA7B-4EA9495F29D5}"/>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EAFA771C-FC0C-4AE3-AF2C-E157FE53D7E1}"/>
    <cellStyle name="Normal 8 2 3 2 2 5 2 3" xfId="12884" xr:uid="{F99EF277-4942-4EB2-8CFA-FCA7BE9607D4}"/>
    <cellStyle name="Normal 8 2 3 2 2 5 3" xfId="6507" xr:uid="{00000000-0005-0000-0000-0000A51C0000}"/>
    <cellStyle name="Normal 8 2 3 2 2 5 3 2" xfId="14957" xr:uid="{51FD26A0-9223-4FC4-9F02-8F9F15EEEB7C}"/>
    <cellStyle name="Normal 8 2 3 2 2 5 4" xfId="10739" xr:uid="{68C827CA-6418-46F6-B622-D3A81CB93A8F}"/>
    <cellStyle name="Normal 8 2 3 2 2 6" xfId="2637" xr:uid="{00000000-0005-0000-0000-0000A61C0000}"/>
    <cellStyle name="Normal 8 2 3 2 2 6 2" xfId="6920" xr:uid="{00000000-0005-0000-0000-0000A71C0000}"/>
    <cellStyle name="Normal 8 2 3 2 2 6 2 2" xfId="15370" xr:uid="{158F122A-9BEC-4A4F-89DE-75AF2F0CBB08}"/>
    <cellStyle name="Normal 8 2 3 2 2 6 3" xfId="11152" xr:uid="{AD147B43-3495-44AF-B3B3-451B72C52D4A}"/>
    <cellStyle name="Normal 8 2 3 2 2 7" xfId="4855" xr:uid="{00000000-0005-0000-0000-0000A81C0000}"/>
    <cellStyle name="Normal 8 2 3 2 2 7 2" xfId="13305" xr:uid="{80268DAD-AC9E-4F6D-8B91-7726C4F520B8}"/>
    <cellStyle name="Normal 8 2 3 2 2 8" xfId="9087" xr:uid="{A530F4A1-24C4-411F-9A92-B958D4228C05}"/>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9B6D0CA3-60BB-4A9F-8F6C-A89D2058B8F7}"/>
    <cellStyle name="Normal 8 2 3 2 3 2 3" xfId="11644" xr:uid="{6B31A770-0EAB-410A-9EAA-3ADA2E910956}"/>
    <cellStyle name="Normal 8 2 3 2 3 3" xfId="5267" xr:uid="{00000000-0005-0000-0000-0000AC1C0000}"/>
    <cellStyle name="Normal 8 2 3 2 3 3 2" xfId="13717" xr:uid="{2B551C5A-D43B-48E0-B625-7366447D0B5A}"/>
    <cellStyle name="Normal 8 2 3 2 3 4" xfId="9499" xr:uid="{E934E3FA-CDC4-47B9-A094-E10C8D359D80}"/>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283D4443-CF8C-4FF8-8769-CEA1B315F375}"/>
    <cellStyle name="Normal 8 2 3 2 4 2 3" xfId="12057" xr:uid="{C266AA4A-D70D-4158-8331-28653A44CE7C}"/>
    <cellStyle name="Normal 8 2 3 2 4 3" xfId="5680" xr:uid="{00000000-0005-0000-0000-0000B01C0000}"/>
    <cellStyle name="Normal 8 2 3 2 4 3 2" xfId="14130" xr:uid="{C76DCE7D-FA34-44BF-A5CB-43C9FA4C8BD6}"/>
    <cellStyle name="Normal 8 2 3 2 4 4" xfId="9912" xr:uid="{64DE9352-D906-478F-960B-6D571D7187C1}"/>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37B0FCA2-C2C9-4DA5-9077-52385DE13892}"/>
    <cellStyle name="Normal 8 2 3 2 5 2 3" xfId="12470" xr:uid="{6E10940B-98D9-43E0-9919-ABBA72AE9354}"/>
    <cellStyle name="Normal 8 2 3 2 5 3" xfId="6093" xr:uid="{00000000-0005-0000-0000-0000B41C0000}"/>
    <cellStyle name="Normal 8 2 3 2 5 3 2" xfId="14543" xr:uid="{CF28697D-A3C6-43A5-9C43-CE7B97D8560D}"/>
    <cellStyle name="Normal 8 2 3 2 5 4" xfId="10325" xr:uid="{7FFF5B35-23A2-4A40-A3B6-AD4E5BFC7491}"/>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A3F17F5D-57AC-46B3-81B6-C73471EBDFB5}"/>
    <cellStyle name="Normal 8 2 3 2 6 2 3" xfId="12883" xr:uid="{8141CB59-F182-47F4-A371-2C93296711F6}"/>
    <cellStyle name="Normal 8 2 3 2 6 3" xfId="6506" xr:uid="{00000000-0005-0000-0000-0000B81C0000}"/>
    <cellStyle name="Normal 8 2 3 2 6 3 2" xfId="14956" xr:uid="{EC1F4C7C-466F-4CFB-87AE-DE2DCBF755B4}"/>
    <cellStyle name="Normal 8 2 3 2 6 4" xfId="10738" xr:uid="{FCBFF6AA-D9D1-425F-B478-DAB33056C908}"/>
    <cellStyle name="Normal 8 2 3 2 7" xfId="2636" xr:uid="{00000000-0005-0000-0000-0000B91C0000}"/>
    <cellStyle name="Normal 8 2 3 2 7 2" xfId="6919" xr:uid="{00000000-0005-0000-0000-0000BA1C0000}"/>
    <cellStyle name="Normal 8 2 3 2 7 2 2" xfId="15369" xr:uid="{8CEB0A7F-4ED1-45AA-9EFD-E6CA65C73438}"/>
    <cellStyle name="Normal 8 2 3 2 7 3" xfId="11151" xr:uid="{802A7A62-4214-436D-9E2C-79711E9F2B32}"/>
    <cellStyle name="Normal 8 2 3 2 8" xfId="4854" xr:uid="{00000000-0005-0000-0000-0000BB1C0000}"/>
    <cellStyle name="Normal 8 2 3 2 8 2" xfId="13304" xr:uid="{75D8445A-A727-4EB2-B96B-409FACAA5CAF}"/>
    <cellStyle name="Normal 8 2 3 2 9" xfId="9086" xr:uid="{E7401A8A-8C61-4D7D-83E0-6F312AA3BA56}"/>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D297DD38-4A68-4399-85D8-A249DE260B64}"/>
    <cellStyle name="Normal 8 2 3 3 2 2 3" xfId="11646" xr:uid="{83D850BA-E32D-4E69-AD9A-45B8ECB10FD7}"/>
    <cellStyle name="Normal 8 2 3 3 2 3" xfId="5269" xr:uid="{00000000-0005-0000-0000-0000C01C0000}"/>
    <cellStyle name="Normal 8 2 3 3 2 3 2" xfId="13719" xr:uid="{B142D99D-912C-41DA-BDE5-57227B36FB1D}"/>
    <cellStyle name="Normal 8 2 3 3 2 4" xfId="9501" xr:uid="{2AA25313-48DD-4A3C-B7E7-7F20385FAB1E}"/>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887732E6-11D8-4B74-B78D-805457040D72}"/>
    <cellStyle name="Normal 8 2 3 3 3 2 3" xfId="12059" xr:uid="{C94088FA-95C1-4328-B33C-2AE2A990F935}"/>
    <cellStyle name="Normal 8 2 3 3 3 3" xfId="5682" xr:uid="{00000000-0005-0000-0000-0000C41C0000}"/>
    <cellStyle name="Normal 8 2 3 3 3 3 2" xfId="14132" xr:uid="{6D3EACFE-09AC-49BF-A008-67A35B757E80}"/>
    <cellStyle name="Normal 8 2 3 3 3 4" xfId="9914" xr:uid="{69C8DD6A-B842-44FB-96E9-ADAE685D9AE1}"/>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E6C40BA0-A2D8-48A4-BDCD-6317A28ECA5C}"/>
    <cellStyle name="Normal 8 2 3 3 4 2 3" xfId="12472" xr:uid="{BB07437E-4F1F-4C27-B6D9-D12EDE613AFF}"/>
    <cellStyle name="Normal 8 2 3 3 4 3" xfId="6095" xr:uid="{00000000-0005-0000-0000-0000C81C0000}"/>
    <cellStyle name="Normal 8 2 3 3 4 3 2" xfId="14545" xr:uid="{403C570F-BD69-4D2F-B547-F199FA1FC91A}"/>
    <cellStyle name="Normal 8 2 3 3 4 4" xfId="10327" xr:uid="{BC50C6E7-6040-4BA8-AC3D-D405F99205BF}"/>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8B57E5B0-A532-4052-8500-566BF4C32FBF}"/>
    <cellStyle name="Normal 8 2 3 3 5 2 3" xfId="12885" xr:uid="{093BC5D8-E721-44F3-A560-FA73E878A82B}"/>
    <cellStyle name="Normal 8 2 3 3 5 3" xfId="6508" xr:uid="{00000000-0005-0000-0000-0000CC1C0000}"/>
    <cellStyle name="Normal 8 2 3 3 5 3 2" xfId="14958" xr:uid="{DA33B2BD-2892-4EBF-A5C3-21FE66C95548}"/>
    <cellStyle name="Normal 8 2 3 3 5 4" xfId="10740" xr:uid="{6A31A474-4895-4B16-BB75-465CB6999551}"/>
    <cellStyle name="Normal 8 2 3 3 6" xfId="2638" xr:uid="{00000000-0005-0000-0000-0000CD1C0000}"/>
    <cellStyle name="Normal 8 2 3 3 6 2" xfId="6921" xr:uid="{00000000-0005-0000-0000-0000CE1C0000}"/>
    <cellStyle name="Normal 8 2 3 3 6 2 2" xfId="15371" xr:uid="{27ADEC32-E239-482A-9672-2C53DFF68F5B}"/>
    <cellStyle name="Normal 8 2 3 3 6 3" xfId="11153" xr:uid="{39DC1D10-2D22-4EE1-9076-A02F1A9890DA}"/>
    <cellStyle name="Normal 8 2 3 3 7" xfId="4856" xr:uid="{00000000-0005-0000-0000-0000CF1C0000}"/>
    <cellStyle name="Normal 8 2 3 3 7 2" xfId="13306" xr:uid="{CF1B530F-2697-4835-916E-79C649025C76}"/>
    <cellStyle name="Normal 8 2 3 3 8" xfId="9088" xr:uid="{5C95C31B-8292-4FAA-9B5B-AC1A9E7CDBA8}"/>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BB8792B3-B64F-427F-9C19-AB3BAEC0989E}"/>
    <cellStyle name="Normal 8 2 3 4 2 3" xfId="11643" xr:uid="{71FE126F-0492-4042-BBA6-2B4BC8A2BB01}"/>
    <cellStyle name="Normal 8 2 3 4 3" xfId="5266" xr:uid="{00000000-0005-0000-0000-0000D31C0000}"/>
    <cellStyle name="Normal 8 2 3 4 3 2" xfId="13716" xr:uid="{55142C54-6463-4CA6-B22F-6CC1603816E5}"/>
    <cellStyle name="Normal 8 2 3 4 4" xfId="9498" xr:uid="{6AD1946A-E77F-4EF5-B212-F221721E06B9}"/>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3FC8C069-94D5-4817-ABA9-426B3B59B48B}"/>
    <cellStyle name="Normal 8 2 3 5 2 3" xfId="12056" xr:uid="{A8F7521E-1991-454A-BC32-A389BF9544CF}"/>
    <cellStyle name="Normal 8 2 3 5 3" xfId="5679" xr:uid="{00000000-0005-0000-0000-0000D71C0000}"/>
    <cellStyle name="Normal 8 2 3 5 3 2" xfId="14129" xr:uid="{EB82C498-2335-4696-9122-DF1F409583CB}"/>
    <cellStyle name="Normal 8 2 3 5 4" xfId="9911" xr:uid="{937067DF-0115-4A69-8989-67E61046AAAD}"/>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DFBEFCA1-F205-470D-A4E7-E0DBD79DF603}"/>
    <cellStyle name="Normal 8 2 3 6 2 3" xfId="12469" xr:uid="{8D034A16-BACB-4AAB-807C-734503148845}"/>
    <cellStyle name="Normal 8 2 3 6 3" xfId="6092" xr:uid="{00000000-0005-0000-0000-0000DB1C0000}"/>
    <cellStyle name="Normal 8 2 3 6 3 2" xfId="14542" xr:uid="{24D74BF0-CD2E-460C-A5D3-20F07BC7FACD}"/>
    <cellStyle name="Normal 8 2 3 6 4" xfId="10324" xr:uid="{2EE99328-03FD-4D88-A28C-043BE662904D}"/>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2530A81E-B511-4BC3-8235-22B698D8BA4A}"/>
    <cellStyle name="Normal 8 2 3 7 2 3" xfId="12882" xr:uid="{9B1C93C7-C14D-4E0D-A1F7-DCFFEFA143DB}"/>
    <cellStyle name="Normal 8 2 3 7 3" xfId="6505" xr:uid="{00000000-0005-0000-0000-0000DF1C0000}"/>
    <cellStyle name="Normal 8 2 3 7 3 2" xfId="14955" xr:uid="{F506B7B0-FEEC-43DC-A84D-41542F2F0409}"/>
    <cellStyle name="Normal 8 2 3 7 4" xfId="10737" xr:uid="{772282D1-C154-41D2-AECE-BCB24E53CBDF}"/>
    <cellStyle name="Normal 8 2 3 8" xfId="2635" xr:uid="{00000000-0005-0000-0000-0000E01C0000}"/>
    <cellStyle name="Normal 8 2 3 8 2" xfId="6918" xr:uid="{00000000-0005-0000-0000-0000E11C0000}"/>
    <cellStyle name="Normal 8 2 3 8 2 2" xfId="15368" xr:uid="{7AA873AF-624B-45C6-BB3C-5BDC580BCD0D}"/>
    <cellStyle name="Normal 8 2 3 8 3" xfId="11150" xr:uid="{BA64613E-E9E3-44D6-8376-6313B569D700}"/>
    <cellStyle name="Normal 8 2 3 9" xfId="4853" xr:uid="{00000000-0005-0000-0000-0000E21C0000}"/>
    <cellStyle name="Normal 8 2 3 9 2" xfId="13303" xr:uid="{A82CEBFA-4800-4036-948A-B4F11021E252}"/>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DBC3A6DC-5274-45AD-9E76-537597C16034}"/>
    <cellStyle name="Normal 8 2 4 2 2 2 3" xfId="11648" xr:uid="{6A030D61-D50E-4CAE-8AF0-2285C45AF76F}"/>
    <cellStyle name="Normal 8 2 4 2 2 3" xfId="5271" xr:uid="{00000000-0005-0000-0000-0000E81C0000}"/>
    <cellStyle name="Normal 8 2 4 2 2 3 2" xfId="13721" xr:uid="{D62733C1-1157-4451-A6DF-766DC4907BB7}"/>
    <cellStyle name="Normal 8 2 4 2 2 4" xfId="9503" xr:uid="{70FA4AD0-3F7B-4CE9-A0D9-5ED67AAF013B}"/>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1FCA21BF-5DC1-4DF0-9CA2-F0509F4E7788}"/>
    <cellStyle name="Normal 8 2 4 2 3 2 3" xfId="12061" xr:uid="{4411E5AA-5867-4439-9FBA-C1E1A800F733}"/>
    <cellStyle name="Normal 8 2 4 2 3 3" xfId="5684" xr:uid="{00000000-0005-0000-0000-0000EC1C0000}"/>
    <cellStyle name="Normal 8 2 4 2 3 3 2" xfId="14134" xr:uid="{464ABE5E-911F-42D8-8A64-BC0BB2BA6A34}"/>
    <cellStyle name="Normal 8 2 4 2 3 4" xfId="9916" xr:uid="{A751C77A-AB21-4D61-9EF6-7C308B042B2C}"/>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AED673CF-4CB0-4574-90BC-3B71C2ADE0A6}"/>
    <cellStyle name="Normal 8 2 4 2 4 2 3" xfId="12474" xr:uid="{66287676-39C7-4B12-846A-211FEF7BA8A0}"/>
    <cellStyle name="Normal 8 2 4 2 4 3" xfId="6097" xr:uid="{00000000-0005-0000-0000-0000F01C0000}"/>
    <cellStyle name="Normal 8 2 4 2 4 3 2" xfId="14547" xr:uid="{1D4AF44B-0B3D-4F74-AAA6-CFDCE4678426}"/>
    <cellStyle name="Normal 8 2 4 2 4 4" xfId="10329" xr:uid="{4F1EE440-8133-4CD6-9703-02B36992B4F6}"/>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7848EB53-B176-4339-BE1B-6B0EA00ACD56}"/>
    <cellStyle name="Normal 8 2 4 2 5 2 3" xfId="12887" xr:uid="{BB2C2166-D754-4CF2-96B0-EBF117B1887E}"/>
    <cellStyle name="Normal 8 2 4 2 5 3" xfId="6510" xr:uid="{00000000-0005-0000-0000-0000F41C0000}"/>
    <cellStyle name="Normal 8 2 4 2 5 3 2" xfId="14960" xr:uid="{B0B137AB-29B3-456E-ABB9-EEA7B71E9771}"/>
    <cellStyle name="Normal 8 2 4 2 5 4" xfId="10742" xr:uid="{D98C8A31-F686-4CAD-A5CB-4C1807D76D5F}"/>
    <cellStyle name="Normal 8 2 4 2 6" xfId="2640" xr:uid="{00000000-0005-0000-0000-0000F51C0000}"/>
    <cellStyle name="Normal 8 2 4 2 6 2" xfId="6923" xr:uid="{00000000-0005-0000-0000-0000F61C0000}"/>
    <cellStyle name="Normal 8 2 4 2 6 2 2" xfId="15373" xr:uid="{3CC21E78-1233-43BF-8DE5-2413E3228FCB}"/>
    <cellStyle name="Normal 8 2 4 2 6 3" xfId="11155" xr:uid="{22F64B55-E07F-4851-B42E-206DB61C8BA3}"/>
    <cellStyle name="Normal 8 2 4 2 7" xfId="4858" xr:uid="{00000000-0005-0000-0000-0000F71C0000}"/>
    <cellStyle name="Normal 8 2 4 2 7 2" xfId="13308" xr:uid="{D0051243-B485-42E9-BFF8-0D349FB2CC45}"/>
    <cellStyle name="Normal 8 2 4 2 8" xfId="9090" xr:uid="{A6B73D9E-0C9C-48A0-8F4F-C14E86E96334}"/>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A8694ED0-0616-498B-BDEC-630D339203F4}"/>
    <cellStyle name="Normal 8 2 4 3 2 3" xfId="11647" xr:uid="{0E5E660B-3C69-48EB-BD49-E318DB026047}"/>
    <cellStyle name="Normal 8 2 4 3 3" xfId="5270" xr:uid="{00000000-0005-0000-0000-0000FB1C0000}"/>
    <cellStyle name="Normal 8 2 4 3 3 2" xfId="13720" xr:uid="{3962660A-71E7-4F79-9FC1-801FFF3DFCC5}"/>
    <cellStyle name="Normal 8 2 4 3 4" xfId="9502" xr:uid="{C8293519-5D1A-4D3D-99AB-B302C6545FFC}"/>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C9087341-ADA4-4E2A-BFF8-530BA1890148}"/>
    <cellStyle name="Normal 8 2 4 4 2 3" xfId="12060" xr:uid="{0D1D46DC-795D-4282-85C4-D05E3392B7C8}"/>
    <cellStyle name="Normal 8 2 4 4 3" xfId="5683" xr:uid="{00000000-0005-0000-0000-0000FF1C0000}"/>
    <cellStyle name="Normal 8 2 4 4 3 2" xfId="14133" xr:uid="{A7D6C8C0-C7B7-474D-A66B-C8ABF99C87C9}"/>
    <cellStyle name="Normal 8 2 4 4 4" xfId="9915" xr:uid="{C58038F7-1E40-47FB-B246-0AED4F39D2E3}"/>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A1D5EF44-476E-4F4B-A0D9-7AC0804207F2}"/>
    <cellStyle name="Normal 8 2 4 5 2 3" xfId="12473" xr:uid="{FC3398D3-ADA1-4570-9921-FBDC04E6AC01}"/>
    <cellStyle name="Normal 8 2 4 5 3" xfId="6096" xr:uid="{00000000-0005-0000-0000-0000031D0000}"/>
    <cellStyle name="Normal 8 2 4 5 3 2" xfId="14546" xr:uid="{A97C1501-E96F-47CA-B33A-E9618B618DB0}"/>
    <cellStyle name="Normal 8 2 4 5 4" xfId="10328" xr:uid="{C7918792-D696-4BA0-950A-75E74C1C52CB}"/>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1D7D07A9-AC9B-4E3A-B22A-6C4D3F6C1848}"/>
    <cellStyle name="Normal 8 2 4 6 2 3" xfId="12886" xr:uid="{128BCE0E-DF89-4419-A064-EDCBE5FA30E8}"/>
    <cellStyle name="Normal 8 2 4 6 3" xfId="6509" xr:uid="{00000000-0005-0000-0000-0000071D0000}"/>
    <cellStyle name="Normal 8 2 4 6 3 2" xfId="14959" xr:uid="{4221C9B3-58CF-4ADC-A1B6-749BE0518D71}"/>
    <cellStyle name="Normal 8 2 4 6 4" xfId="10741" xr:uid="{58CE63F1-763C-4031-B4A6-FC036F5A3112}"/>
    <cellStyle name="Normal 8 2 4 7" xfId="2639" xr:uid="{00000000-0005-0000-0000-0000081D0000}"/>
    <cellStyle name="Normal 8 2 4 7 2" xfId="6922" xr:uid="{00000000-0005-0000-0000-0000091D0000}"/>
    <cellStyle name="Normal 8 2 4 7 2 2" xfId="15372" xr:uid="{18B3F650-C91C-404F-AC7A-B83B0C6D8B74}"/>
    <cellStyle name="Normal 8 2 4 7 3" xfId="11154" xr:uid="{E5662FF4-0788-45E0-AD2D-E89925AFE9B6}"/>
    <cellStyle name="Normal 8 2 4 8" xfId="4857" xr:uid="{00000000-0005-0000-0000-00000A1D0000}"/>
    <cellStyle name="Normal 8 2 4 8 2" xfId="13307" xr:uid="{7CDE9F7B-9264-4CEA-A401-C4B588BE18C8}"/>
    <cellStyle name="Normal 8 2 4 9" xfId="9089" xr:uid="{898E3050-75FB-4DF5-AE47-00D73A674322}"/>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9BA603BB-7563-4CC7-A1F7-7B54EBD90472}"/>
    <cellStyle name="Normal 8 2 5 2 2 3" xfId="11649" xr:uid="{1C7FF2A0-5732-4E4C-BEED-AE8B7BFF5960}"/>
    <cellStyle name="Normal 8 2 5 2 3" xfId="5272" xr:uid="{00000000-0005-0000-0000-00000F1D0000}"/>
    <cellStyle name="Normal 8 2 5 2 3 2" xfId="13722" xr:uid="{0666C3C8-588E-409C-B88A-F604F2F45673}"/>
    <cellStyle name="Normal 8 2 5 2 4" xfId="9504" xr:uid="{9E000FAF-689A-4826-8FC5-A2D5F15688BF}"/>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D6A44A08-513F-4629-9129-9DE5984A6463}"/>
    <cellStyle name="Normal 8 2 5 3 2 3" xfId="12062" xr:uid="{1D60D1A8-1D5C-4853-8617-F804E728696E}"/>
    <cellStyle name="Normal 8 2 5 3 3" xfId="5685" xr:uid="{00000000-0005-0000-0000-0000131D0000}"/>
    <cellStyle name="Normal 8 2 5 3 3 2" xfId="14135" xr:uid="{064A4222-C319-4486-A2E0-8A68B67A6F84}"/>
    <cellStyle name="Normal 8 2 5 3 4" xfId="9917" xr:uid="{5F81965F-B2E2-45E1-A63E-FD6172A2D276}"/>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9A2E9D83-F8C4-4232-87E5-7B015AE0139D}"/>
    <cellStyle name="Normal 8 2 5 4 2 3" xfId="12475" xr:uid="{39D34F00-30E6-447C-A999-A80BA71F5578}"/>
    <cellStyle name="Normal 8 2 5 4 3" xfId="6098" xr:uid="{00000000-0005-0000-0000-0000171D0000}"/>
    <cellStyle name="Normal 8 2 5 4 3 2" xfId="14548" xr:uid="{1994371A-DF47-4540-9275-79B9AAED3190}"/>
    <cellStyle name="Normal 8 2 5 4 4" xfId="10330" xr:uid="{FA6E1900-D838-4F72-9825-A282EEAD0707}"/>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FD2F906A-43D2-48E8-8B8C-76A8434385D5}"/>
    <cellStyle name="Normal 8 2 5 5 2 3" xfId="12888" xr:uid="{47865332-5898-4C8D-B385-F5A22A03E981}"/>
    <cellStyle name="Normal 8 2 5 5 3" xfId="6511" xr:uid="{00000000-0005-0000-0000-00001B1D0000}"/>
    <cellStyle name="Normal 8 2 5 5 3 2" xfId="14961" xr:uid="{FFD65D98-1D7E-4976-B337-752F2C9D638D}"/>
    <cellStyle name="Normal 8 2 5 5 4" xfId="10743" xr:uid="{007534B9-E170-41CC-8213-5BBB5680016B}"/>
    <cellStyle name="Normal 8 2 5 6" xfId="2641" xr:uid="{00000000-0005-0000-0000-00001C1D0000}"/>
    <cellStyle name="Normal 8 2 5 6 2" xfId="6924" xr:uid="{00000000-0005-0000-0000-00001D1D0000}"/>
    <cellStyle name="Normal 8 2 5 6 2 2" xfId="15374" xr:uid="{8007CB1B-BAEF-4662-942E-35D2F0D2AA6A}"/>
    <cellStyle name="Normal 8 2 5 6 3" xfId="11156" xr:uid="{D16310F2-9877-401F-BC66-14F805E67B78}"/>
    <cellStyle name="Normal 8 2 5 7" xfId="4859" xr:uid="{00000000-0005-0000-0000-00001E1D0000}"/>
    <cellStyle name="Normal 8 2 5 7 2" xfId="13309" xr:uid="{AF7996AD-C312-4AEF-B7C1-AB6B6A3EDD5F}"/>
    <cellStyle name="Normal 8 2 5 8" xfId="9091" xr:uid="{9DDAA3C2-3EA5-41CD-BF00-C1798146FF32}"/>
    <cellStyle name="Normal 8 2 6" xfId="946" xr:uid="{00000000-0005-0000-0000-00001F1D0000}"/>
    <cellStyle name="Normal 8 2 6 2" xfId="3180" xr:uid="{00000000-0005-0000-0000-0000201D0000}"/>
    <cellStyle name="Normal 8 2 6 2 2" xfId="7402" xr:uid="{00000000-0005-0000-0000-0000211D0000}"/>
    <cellStyle name="Normal 8 2 6 2 2 2" xfId="15852" xr:uid="{1B7C7209-E376-45D6-8E2D-B00B300C33E1}"/>
    <cellStyle name="Normal 8 2 6 2 3" xfId="11634" xr:uid="{20322FE7-AA34-4C57-8FF7-5AF1DE3D8B16}"/>
    <cellStyle name="Normal 8 2 6 3" xfId="5257" xr:uid="{00000000-0005-0000-0000-0000221D0000}"/>
    <cellStyle name="Normal 8 2 6 3 2" xfId="13707" xr:uid="{4B7E0D42-3F14-4ABB-AEBE-A0012270ACB5}"/>
    <cellStyle name="Normal 8 2 6 4" xfId="9489" xr:uid="{0B8689B4-C62A-4E79-ADF3-F46D761C850F}"/>
    <cellStyle name="Normal 8 2 7" xfId="1363" xr:uid="{00000000-0005-0000-0000-0000231D0000}"/>
    <cellStyle name="Normal 8 2 7 2" xfId="3593" xr:uid="{00000000-0005-0000-0000-0000241D0000}"/>
    <cellStyle name="Normal 8 2 7 2 2" xfId="7815" xr:uid="{00000000-0005-0000-0000-0000251D0000}"/>
    <cellStyle name="Normal 8 2 7 2 2 2" xfId="16265" xr:uid="{0E943CEF-DED1-4456-AFE0-D6ACDA3E9F05}"/>
    <cellStyle name="Normal 8 2 7 2 3" xfId="12047" xr:uid="{0DB93C04-69A1-475A-AACD-ACC730A97F38}"/>
    <cellStyle name="Normal 8 2 7 3" xfId="5670" xr:uid="{00000000-0005-0000-0000-0000261D0000}"/>
    <cellStyle name="Normal 8 2 7 3 2" xfId="14120" xr:uid="{178A92DA-DB4A-4F64-B511-8226F013C01E}"/>
    <cellStyle name="Normal 8 2 7 4" xfId="9902" xr:uid="{FAC00B94-9F10-4BA5-98E2-64BB3561A64F}"/>
    <cellStyle name="Normal 8 2 8" xfId="1776" xr:uid="{00000000-0005-0000-0000-0000271D0000}"/>
    <cellStyle name="Normal 8 2 8 2" xfId="4006" xr:uid="{00000000-0005-0000-0000-0000281D0000}"/>
    <cellStyle name="Normal 8 2 8 2 2" xfId="8228" xr:uid="{00000000-0005-0000-0000-0000291D0000}"/>
    <cellStyle name="Normal 8 2 8 2 2 2" xfId="16678" xr:uid="{BFDBF666-A145-425C-9C19-148707C60548}"/>
    <cellStyle name="Normal 8 2 8 2 3" xfId="12460" xr:uid="{AE7C9C02-C192-4C77-81A2-2D59D9DD9611}"/>
    <cellStyle name="Normal 8 2 8 3" xfId="6083" xr:uid="{00000000-0005-0000-0000-00002A1D0000}"/>
    <cellStyle name="Normal 8 2 8 3 2" xfId="14533" xr:uid="{07D2C857-7BED-47AA-AC80-90219CF08025}"/>
    <cellStyle name="Normal 8 2 8 4" xfId="10315" xr:uid="{87158B74-6A60-401C-8E75-347052574737}"/>
    <cellStyle name="Normal 8 2 9" xfId="2190" xr:uid="{00000000-0005-0000-0000-00002B1D0000}"/>
    <cellStyle name="Normal 8 2 9 2" xfId="4419" xr:uid="{00000000-0005-0000-0000-00002C1D0000}"/>
    <cellStyle name="Normal 8 2 9 2 2" xfId="8641" xr:uid="{00000000-0005-0000-0000-00002D1D0000}"/>
    <cellStyle name="Normal 8 2 9 2 2 2" xfId="17091" xr:uid="{6CA7E63D-FBF7-403C-9274-7BF966089545}"/>
    <cellStyle name="Normal 8 2 9 2 3" xfId="12873" xr:uid="{E616E4EC-FB42-43E0-8AAB-A88E29B01708}"/>
    <cellStyle name="Normal 8 2 9 3" xfId="6496" xr:uid="{00000000-0005-0000-0000-00002E1D0000}"/>
    <cellStyle name="Normal 8 2 9 3 2" xfId="14946" xr:uid="{66D379DC-649E-4169-9233-A529CDA3C636}"/>
    <cellStyle name="Normal 8 2 9 4" xfId="10728" xr:uid="{DF852DCF-851E-401C-8A47-543B7671F708}"/>
    <cellStyle name="Normal 8 3" xfId="495" xr:uid="{00000000-0005-0000-0000-00002F1D0000}"/>
    <cellStyle name="Normal 8 3 10" xfId="4860" xr:uid="{00000000-0005-0000-0000-0000301D0000}"/>
    <cellStyle name="Normal 8 3 10 2" xfId="13310" xr:uid="{47BCE914-FF21-4E03-A09F-03D1B08C1809}"/>
    <cellStyle name="Normal 8 3 11" xfId="9092" xr:uid="{4F3FDB9A-D498-425D-8107-F03CC1B5A8E1}"/>
    <cellStyle name="Normal 8 3 2" xfId="496" xr:uid="{00000000-0005-0000-0000-0000311D0000}"/>
    <cellStyle name="Normal 8 3 2 10" xfId="9093" xr:uid="{5F7DA505-F194-412A-8067-468DD199B061}"/>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4DB8005F-4A25-4BE6-9985-5903F95FE10D}"/>
    <cellStyle name="Normal 8 3 2 2 2 2 2 3" xfId="11653" xr:uid="{21B7E630-C558-4FCD-9783-A05FDCA6978B}"/>
    <cellStyle name="Normal 8 3 2 2 2 2 3" xfId="5276" xr:uid="{00000000-0005-0000-0000-0000371D0000}"/>
    <cellStyle name="Normal 8 3 2 2 2 2 3 2" xfId="13726" xr:uid="{E28B7476-DD72-485C-8468-9EBF2D67EC97}"/>
    <cellStyle name="Normal 8 3 2 2 2 2 4" xfId="9508" xr:uid="{4C87AB10-B56F-4BCE-9019-C781E4F8ABE9}"/>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AE08ACE9-6EE3-4667-9378-860D8A10C687}"/>
    <cellStyle name="Normal 8 3 2 2 2 3 2 3" xfId="12066" xr:uid="{17EBB46D-ED0C-4E59-B7B6-D908F9B3BF2C}"/>
    <cellStyle name="Normal 8 3 2 2 2 3 3" xfId="5689" xr:uid="{00000000-0005-0000-0000-00003B1D0000}"/>
    <cellStyle name="Normal 8 3 2 2 2 3 3 2" xfId="14139" xr:uid="{D97B3233-1B9F-41A3-86E7-8B027CA773EC}"/>
    <cellStyle name="Normal 8 3 2 2 2 3 4" xfId="9921" xr:uid="{29F25627-D910-4E68-AF3C-7D4F4B0F3A27}"/>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CAC57A6A-0D76-490A-AF6C-F2020CAC1806}"/>
    <cellStyle name="Normal 8 3 2 2 2 4 2 3" xfId="12479" xr:uid="{874892C5-B5D5-4FFF-BCE5-C324BC887CF3}"/>
    <cellStyle name="Normal 8 3 2 2 2 4 3" xfId="6102" xr:uid="{00000000-0005-0000-0000-00003F1D0000}"/>
    <cellStyle name="Normal 8 3 2 2 2 4 3 2" xfId="14552" xr:uid="{EE6995F5-666F-4B4B-966E-7659FC339768}"/>
    <cellStyle name="Normal 8 3 2 2 2 4 4" xfId="10334" xr:uid="{645179FF-460B-4082-856C-235F348BD99F}"/>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B068B9D6-E7FD-46AF-94BB-41A45E9BD23B}"/>
    <cellStyle name="Normal 8 3 2 2 2 5 2 3" xfId="12892" xr:uid="{A226DCFC-7CD6-41EA-A088-3DBBD168EEA8}"/>
    <cellStyle name="Normal 8 3 2 2 2 5 3" xfId="6515" xr:uid="{00000000-0005-0000-0000-0000431D0000}"/>
    <cellStyle name="Normal 8 3 2 2 2 5 3 2" xfId="14965" xr:uid="{6B0E9EE2-18F3-4C40-9AF9-FD021EE6A733}"/>
    <cellStyle name="Normal 8 3 2 2 2 5 4" xfId="10747" xr:uid="{6F117C40-358F-4AA2-A508-5D3FE31C908E}"/>
    <cellStyle name="Normal 8 3 2 2 2 6" xfId="2645" xr:uid="{00000000-0005-0000-0000-0000441D0000}"/>
    <cellStyle name="Normal 8 3 2 2 2 6 2" xfId="6928" xr:uid="{00000000-0005-0000-0000-0000451D0000}"/>
    <cellStyle name="Normal 8 3 2 2 2 6 2 2" xfId="15378" xr:uid="{74925C05-042D-4C54-8B76-E3604E05BD3F}"/>
    <cellStyle name="Normal 8 3 2 2 2 6 3" xfId="11160" xr:uid="{E308325D-7053-4DBC-A4E8-014A91AC00CA}"/>
    <cellStyle name="Normal 8 3 2 2 2 7" xfId="4863" xr:uid="{00000000-0005-0000-0000-0000461D0000}"/>
    <cellStyle name="Normal 8 3 2 2 2 7 2" xfId="13313" xr:uid="{BBA9F748-63A6-4C7E-9741-C8B1687A548D}"/>
    <cellStyle name="Normal 8 3 2 2 2 8" xfId="9095" xr:uid="{12A4B77F-DFCF-4EE6-ACA4-82975EC63373}"/>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40652890-B37E-4FCB-BC80-1D884F838A13}"/>
    <cellStyle name="Normal 8 3 2 2 3 2 3" xfId="11652" xr:uid="{94D894A4-A4F8-4345-AB1E-4AB6C8DD31FE}"/>
    <cellStyle name="Normal 8 3 2 2 3 3" xfId="5275" xr:uid="{00000000-0005-0000-0000-00004A1D0000}"/>
    <cellStyle name="Normal 8 3 2 2 3 3 2" xfId="13725" xr:uid="{16ABE95C-9C69-431C-9F8E-AD0C08D79794}"/>
    <cellStyle name="Normal 8 3 2 2 3 4" xfId="9507" xr:uid="{23DD9035-F9C9-47B9-A619-66BD792D5AB0}"/>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2010AB59-B235-4DA2-A81C-CD0B56218DFF}"/>
    <cellStyle name="Normal 8 3 2 2 4 2 3" xfId="12065" xr:uid="{77EE4901-7D76-4A3A-B782-3EC949260409}"/>
    <cellStyle name="Normal 8 3 2 2 4 3" xfId="5688" xr:uid="{00000000-0005-0000-0000-00004E1D0000}"/>
    <cellStyle name="Normal 8 3 2 2 4 3 2" xfId="14138" xr:uid="{BB9296AA-B058-4018-BE2D-59065B6FA170}"/>
    <cellStyle name="Normal 8 3 2 2 4 4" xfId="9920" xr:uid="{7AEC5232-61C9-4DF1-A03B-B5B018D18297}"/>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1D697D94-4B91-4158-8866-642B0056B688}"/>
    <cellStyle name="Normal 8 3 2 2 5 2 3" xfId="12478" xr:uid="{3F641D39-82F2-4A5E-99FD-DE9C57C229E5}"/>
    <cellStyle name="Normal 8 3 2 2 5 3" xfId="6101" xr:uid="{00000000-0005-0000-0000-0000521D0000}"/>
    <cellStyle name="Normal 8 3 2 2 5 3 2" xfId="14551" xr:uid="{492343C9-A145-4965-8438-77BEB3679272}"/>
    <cellStyle name="Normal 8 3 2 2 5 4" xfId="10333" xr:uid="{93256177-3F57-4B92-9CBC-EB88382C9757}"/>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9ED3A7B7-671E-468F-B206-C7240281A1DD}"/>
    <cellStyle name="Normal 8 3 2 2 6 2 3" xfId="12891" xr:uid="{17B1D264-E70A-4DB1-BB6B-26A0E5E6F19F}"/>
    <cellStyle name="Normal 8 3 2 2 6 3" xfId="6514" xr:uid="{00000000-0005-0000-0000-0000561D0000}"/>
    <cellStyle name="Normal 8 3 2 2 6 3 2" xfId="14964" xr:uid="{2DDB4F52-4394-4F67-BC60-4D0F8812478B}"/>
    <cellStyle name="Normal 8 3 2 2 6 4" xfId="10746" xr:uid="{716D9D78-DFC1-48CA-945D-91880952A834}"/>
    <cellStyle name="Normal 8 3 2 2 7" xfId="2644" xr:uid="{00000000-0005-0000-0000-0000571D0000}"/>
    <cellStyle name="Normal 8 3 2 2 7 2" xfId="6927" xr:uid="{00000000-0005-0000-0000-0000581D0000}"/>
    <cellStyle name="Normal 8 3 2 2 7 2 2" xfId="15377" xr:uid="{45A7140C-9721-450E-920C-E98840790906}"/>
    <cellStyle name="Normal 8 3 2 2 7 3" xfId="11159" xr:uid="{B4F1DE73-E367-4D8F-9EEF-D19B2747C0AA}"/>
    <cellStyle name="Normal 8 3 2 2 8" xfId="4862" xr:uid="{00000000-0005-0000-0000-0000591D0000}"/>
    <cellStyle name="Normal 8 3 2 2 8 2" xfId="13312" xr:uid="{97E27CCB-8F6C-4A0B-8D50-8E234844B103}"/>
    <cellStyle name="Normal 8 3 2 2 9" xfId="9094" xr:uid="{FE6106B5-F8D0-47EB-80A8-BF3D4F669D59}"/>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F6D7CE8E-2F50-42E9-9CDB-F09A6A67CA50}"/>
    <cellStyle name="Normal 8 3 2 3 2 2 3" xfId="11654" xr:uid="{2FAE5605-25B5-427E-B3E9-C723D074651D}"/>
    <cellStyle name="Normal 8 3 2 3 2 3" xfId="5277" xr:uid="{00000000-0005-0000-0000-00005E1D0000}"/>
    <cellStyle name="Normal 8 3 2 3 2 3 2" xfId="13727" xr:uid="{CD0083A6-D93B-4959-AC2E-E4DA500042D3}"/>
    <cellStyle name="Normal 8 3 2 3 2 4" xfId="9509" xr:uid="{5B469F17-BCE0-4956-99E6-C472ABD94464}"/>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B4CCB778-D6AE-4D40-AC49-6DEF5C8D8221}"/>
    <cellStyle name="Normal 8 3 2 3 3 2 3" xfId="12067" xr:uid="{4ADA9495-3630-4BF1-A58A-0C9CF1B5E5B6}"/>
    <cellStyle name="Normal 8 3 2 3 3 3" xfId="5690" xr:uid="{00000000-0005-0000-0000-0000621D0000}"/>
    <cellStyle name="Normal 8 3 2 3 3 3 2" xfId="14140" xr:uid="{6E01933D-7578-4382-A6E9-D5A064C47765}"/>
    <cellStyle name="Normal 8 3 2 3 3 4" xfId="9922" xr:uid="{97C5C6F5-02B2-4D09-BD93-E27D7F1D003A}"/>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66FCF314-B58B-4091-84F1-D45D871F73D0}"/>
    <cellStyle name="Normal 8 3 2 3 4 2 3" xfId="12480" xr:uid="{01885266-D27C-4C7D-BF15-B7262CA55314}"/>
    <cellStyle name="Normal 8 3 2 3 4 3" xfId="6103" xr:uid="{00000000-0005-0000-0000-0000661D0000}"/>
    <cellStyle name="Normal 8 3 2 3 4 3 2" xfId="14553" xr:uid="{3CFD6BFE-A129-4B77-AA00-D708FB27533F}"/>
    <cellStyle name="Normal 8 3 2 3 4 4" xfId="10335" xr:uid="{C60693A3-D2D5-4D82-A26E-F2C861683082}"/>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A5F76D37-B181-4976-A681-8DE6EA236939}"/>
    <cellStyle name="Normal 8 3 2 3 5 2 3" xfId="12893" xr:uid="{B3C6D04B-0142-4256-A688-0C44D52AC2B9}"/>
    <cellStyle name="Normal 8 3 2 3 5 3" xfId="6516" xr:uid="{00000000-0005-0000-0000-00006A1D0000}"/>
    <cellStyle name="Normal 8 3 2 3 5 3 2" xfId="14966" xr:uid="{AE5C7E15-CA45-453F-938B-FE400474D30E}"/>
    <cellStyle name="Normal 8 3 2 3 5 4" xfId="10748" xr:uid="{5AE0DA9E-AC14-404C-A941-A0AFAFCB762F}"/>
    <cellStyle name="Normal 8 3 2 3 6" xfId="2646" xr:uid="{00000000-0005-0000-0000-00006B1D0000}"/>
    <cellStyle name="Normal 8 3 2 3 6 2" xfId="6929" xr:uid="{00000000-0005-0000-0000-00006C1D0000}"/>
    <cellStyle name="Normal 8 3 2 3 6 2 2" xfId="15379" xr:uid="{BB00FC14-91C1-464E-A551-149370E0F692}"/>
    <cellStyle name="Normal 8 3 2 3 6 3" xfId="11161" xr:uid="{5412EBFE-17FC-47EB-91D1-9C781DD4EF6B}"/>
    <cellStyle name="Normal 8 3 2 3 7" xfId="4864" xr:uid="{00000000-0005-0000-0000-00006D1D0000}"/>
    <cellStyle name="Normal 8 3 2 3 7 2" xfId="13314" xr:uid="{BBB46953-8C53-4C99-93CD-B95C085E3472}"/>
    <cellStyle name="Normal 8 3 2 3 8" xfId="9096" xr:uid="{A60D55A4-0882-4D1A-A2EE-671D0E4249CE}"/>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42EAAEEB-C4B4-4424-9C02-BF0C09134DFF}"/>
    <cellStyle name="Normal 8 3 2 4 2 3" xfId="11651" xr:uid="{C01D1A2F-C980-418E-B045-33BDF5888FB7}"/>
    <cellStyle name="Normal 8 3 2 4 3" xfId="5274" xr:uid="{00000000-0005-0000-0000-0000711D0000}"/>
    <cellStyle name="Normal 8 3 2 4 3 2" xfId="13724" xr:uid="{28A481FE-2A3A-458E-AC71-D53D00029097}"/>
    <cellStyle name="Normal 8 3 2 4 4" xfId="9506" xr:uid="{757F28E5-4A47-4FD2-B826-7D1E2C1F5ADC}"/>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C514C50C-C301-49DB-A81F-CD92F9CDAD1F}"/>
    <cellStyle name="Normal 8 3 2 5 2 3" xfId="12064" xr:uid="{46572735-B761-406B-B5C6-68114BD6DD22}"/>
    <cellStyle name="Normal 8 3 2 5 3" xfId="5687" xr:uid="{00000000-0005-0000-0000-0000751D0000}"/>
    <cellStyle name="Normal 8 3 2 5 3 2" xfId="14137" xr:uid="{3764D43E-6D2D-4F47-AB12-8725EABBAFD3}"/>
    <cellStyle name="Normal 8 3 2 5 4" xfId="9919" xr:uid="{F9C53998-81CA-49E9-813C-94C47EE58B16}"/>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424ADFAB-82C0-44BE-AA55-6973312EF163}"/>
    <cellStyle name="Normal 8 3 2 6 2 3" xfId="12477" xr:uid="{A411F7F4-F752-49F6-83C3-D058F36F123F}"/>
    <cellStyle name="Normal 8 3 2 6 3" xfId="6100" xr:uid="{00000000-0005-0000-0000-0000791D0000}"/>
    <cellStyle name="Normal 8 3 2 6 3 2" xfId="14550" xr:uid="{55D01EC0-1E1A-41CD-A790-BAD6705E8E27}"/>
    <cellStyle name="Normal 8 3 2 6 4" xfId="10332" xr:uid="{F331EF71-D83E-4828-A8A6-1ED2E2AB6FDC}"/>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6F68B554-B4CD-41ED-909A-23F941029A3A}"/>
    <cellStyle name="Normal 8 3 2 7 2 3" xfId="12890" xr:uid="{4E877B07-86F6-4FB2-93E9-2F90BC56C790}"/>
    <cellStyle name="Normal 8 3 2 7 3" xfId="6513" xr:uid="{00000000-0005-0000-0000-00007D1D0000}"/>
    <cellStyle name="Normal 8 3 2 7 3 2" xfId="14963" xr:uid="{2A0197AC-E0EC-4589-9071-BAD711D77B99}"/>
    <cellStyle name="Normal 8 3 2 7 4" xfId="10745" xr:uid="{90BA6F9C-2AA8-4A25-AACD-A303A768A743}"/>
    <cellStyle name="Normal 8 3 2 8" xfId="2643" xr:uid="{00000000-0005-0000-0000-00007E1D0000}"/>
    <cellStyle name="Normal 8 3 2 8 2" xfId="6926" xr:uid="{00000000-0005-0000-0000-00007F1D0000}"/>
    <cellStyle name="Normal 8 3 2 8 2 2" xfId="15376" xr:uid="{3989E1ED-D33E-4442-97EA-01C708AC3E62}"/>
    <cellStyle name="Normal 8 3 2 8 3" xfId="11158" xr:uid="{E96C17DE-D66E-45B1-9C60-184B75B75544}"/>
    <cellStyle name="Normal 8 3 2 9" xfId="4861" xr:uid="{00000000-0005-0000-0000-0000801D0000}"/>
    <cellStyle name="Normal 8 3 2 9 2" xfId="13311" xr:uid="{F14E6AF7-DC10-4AFB-A998-9A11982941E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A1F26303-8244-4F49-A804-1E84296DED6F}"/>
    <cellStyle name="Normal 8 3 3 2 2 2 3" xfId="11656" xr:uid="{AD26AC9C-0520-4E9E-AFDD-B891B34CC320}"/>
    <cellStyle name="Normal 8 3 3 2 2 3" xfId="5279" xr:uid="{00000000-0005-0000-0000-0000861D0000}"/>
    <cellStyle name="Normal 8 3 3 2 2 3 2" xfId="13729" xr:uid="{CE146020-AB55-41AB-82AC-3844ECAD4F95}"/>
    <cellStyle name="Normal 8 3 3 2 2 4" xfId="9511" xr:uid="{48A86A50-3B98-42F3-BF4C-E2C0A6150C9D}"/>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3C5ED087-CF01-4B72-8339-0933EB4E8B41}"/>
    <cellStyle name="Normal 8 3 3 2 3 2 3" xfId="12069" xr:uid="{ADE31078-DDB4-4664-A3ED-22F2A3C6443D}"/>
    <cellStyle name="Normal 8 3 3 2 3 3" xfId="5692" xr:uid="{00000000-0005-0000-0000-00008A1D0000}"/>
    <cellStyle name="Normal 8 3 3 2 3 3 2" xfId="14142" xr:uid="{1BF15782-A1FE-46D7-A1C0-5434357445B2}"/>
    <cellStyle name="Normal 8 3 3 2 3 4" xfId="9924" xr:uid="{52D6DAFB-CBC4-47A1-8E3A-A8CCD81E9C32}"/>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82D6C650-B677-4779-9E4F-9A9D662EF06B}"/>
    <cellStyle name="Normal 8 3 3 2 4 2 3" xfId="12482" xr:uid="{D938CE3C-1B2F-46BD-B6EA-F72FF4BFA9AD}"/>
    <cellStyle name="Normal 8 3 3 2 4 3" xfId="6105" xr:uid="{00000000-0005-0000-0000-00008E1D0000}"/>
    <cellStyle name="Normal 8 3 3 2 4 3 2" xfId="14555" xr:uid="{F213E2AA-7B53-4766-A002-FF17595BF0A2}"/>
    <cellStyle name="Normal 8 3 3 2 4 4" xfId="10337" xr:uid="{FCDFB3BA-8568-44AE-8098-187BF761CD3F}"/>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57284B43-4719-4D06-9114-1333E99EE3BE}"/>
    <cellStyle name="Normal 8 3 3 2 5 2 3" xfId="12895" xr:uid="{B458EA38-2539-48ED-AEF3-46D944901C7D}"/>
    <cellStyle name="Normal 8 3 3 2 5 3" xfId="6518" xr:uid="{00000000-0005-0000-0000-0000921D0000}"/>
    <cellStyle name="Normal 8 3 3 2 5 3 2" xfId="14968" xr:uid="{62D28A2F-2201-4BB2-98A3-2057E15B881C}"/>
    <cellStyle name="Normal 8 3 3 2 5 4" xfId="10750" xr:uid="{C2B9DCA7-4522-4A60-8F41-5A4796B48478}"/>
    <cellStyle name="Normal 8 3 3 2 6" xfId="2648" xr:uid="{00000000-0005-0000-0000-0000931D0000}"/>
    <cellStyle name="Normal 8 3 3 2 6 2" xfId="6931" xr:uid="{00000000-0005-0000-0000-0000941D0000}"/>
    <cellStyle name="Normal 8 3 3 2 6 2 2" xfId="15381" xr:uid="{3016DA5F-457A-4295-BC01-1CC228292B11}"/>
    <cellStyle name="Normal 8 3 3 2 6 3" xfId="11163" xr:uid="{EAEAE18A-7170-4FA4-ADC9-C2E5D453FB00}"/>
    <cellStyle name="Normal 8 3 3 2 7" xfId="4866" xr:uid="{00000000-0005-0000-0000-0000951D0000}"/>
    <cellStyle name="Normal 8 3 3 2 7 2" xfId="13316" xr:uid="{464AEF5B-8B78-4E23-A6A7-CD28C2C96923}"/>
    <cellStyle name="Normal 8 3 3 2 8" xfId="9098" xr:uid="{2750521A-7214-4A80-9CD5-E2AB2FF9A8F0}"/>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4476E817-2392-40C3-BEEB-D52F1D22F194}"/>
    <cellStyle name="Normal 8 3 3 3 2 3" xfId="11655" xr:uid="{CDB3ACB8-A400-4634-8886-FFF874A8E461}"/>
    <cellStyle name="Normal 8 3 3 3 3" xfId="5278" xr:uid="{00000000-0005-0000-0000-0000991D0000}"/>
    <cellStyle name="Normal 8 3 3 3 3 2" xfId="13728" xr:uid="{36A8D8A4-4239-4951-A903-D6156731CACA}"/>
    <cellStyle name="Normal 8 3 3 3 4" xfId="9510" xr:uid="{AC103A96-F1B5-4B6A-B4E8-C655C9C0B07B}"/>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43D5B1D1-A797-4672-A57E-3D6A50051B75}"/>
    <cellStyle name="Normal 8 3 3 4 2 3" xfId="12068" xr:uid="{076B60EF-6411-4F44-8627-EC93B6DC1E83}"/>
    <cellStyle name="Normal 8 3 3 4 3" xfId="5691" xr:uid="{00000000-0005-0000-0000-00009D1D0000}"/>
    <cellStyle name="Normal 8 3 3 4 3 2" xfId="14141" xr:uid="{0165AAE2-2E76-4F02-9A2D-C2D966DFB656}"/>
    <cellStyle name="Normal 8 3 3 4 4" xfId="9923" xr:uid="{1726CD3A-39F3-4014-AF52-722602715B36}"/>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14A2E83F-A3EA-4853-969A-A78C494873C7}"/>
    <cellStyle name="Normal 8 3 3 5 2 3" xfId="12481" xr:uid="{D935525E-F85E-4FF1-9900-C5DF939E1BB1}"/>
    <cellStyle name="Normal 8 3 3 5 3" xfId="6104" xr:uid="{00000000-0005-0000-0000-0000A11D0000}"/>
    <cellStyle name="Normal 8 3 3 5 3 2" xfId="14554" xr:uid="{367E2050-568A-483B-BB5B-2F443CAC9834}"/>
    <cellStyle name="Normal 8 3 3 5 4" xfId="10336" xr:uid="{0F42C9D5-9FC8-473E-A1E5-4549552448A6}"/>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D8933F79-8148-4B0D-8372-B383CD13C340}"/>
    <cellStyle name="Normal 8 3 3 6 2 3" xfId="12894" xr:uid="{A119EB15-08E4-4E56-A867-AC51B0AEF6A9}"/>
    <cellStyle name="Normal 8 3 3 6 3" xfId="6517" xr:uid="{00000000-0005-0000-0000-0000A51D0000}"/>
    <cellStyle name="Normal 8 3 3 6 3 2" xfId="14967" xr:uid="{5AE84A3F-5D31-4453-8340-48DCA18C5CC4}"/>
    <cellStyle name="Normal 8 3 3 6 4" xfId="10749" xr:uid="{594D6D82-B183-4539-953A-BDEE0F14332F}"/>
    <cellStyle name="Normal 8 3 3 7" xfId="2647" xr:uid="{00000000-0005-0000-0000-0000A61D0000}"/>
    <cellStyle name="Normal 8 3 3 7 2" xfId="6930" xr:uid="{00000000-0005-0000-0000-0000A71D0000}"/>
    <cellStyle name="Normal 8 3 3 7 2 2" xfId="15380" xr:uid="{FCAD5DE2-FA9C-40F4-8516-7AEAD3693F81}"/>
    <cellStyle name="Normal 8 3 3 7 3" xfId="11162" xr:uid="{40FB05CF-811A-40CC-8037-5DC37381F821}"/>
    <cellStyle name="Normal 8 3 3 8" xfId="4865" xr:uid="{00000000-0005-0000-0000-0000A81D0000}"/>
    <cellStyle name="Normal 8 3 3 8 2" xfId="13315" xr:uid="{59A60EC0-5CD7-4DB3-90AE-E35C11B4D4A7}"/>
    <cellStyle name="Normal 8 3 3 9" xfId="9097" xr:uid="{709D0DD7-8A4A-4CC3-9503-4D7FDA97AF79}"/>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F4C77D57-73D1-4EE4-8D11-1D30E2C10DF9}"/>
    <cellStyle name="Normal 8 3 4 2 2 3" xfId="11657" xr:uid="{E1C07B2F-BF19-40C6-A4C3-AF1B3DE2F4FE}"/>
    <cellStyle name="Normal 8 3 4 2 3" xfId="5280" xr:uid="{00000000-0005-0000-0000-0000AD1D0000}"/>
    <cellStyle name="Normal 8 3 4 2 3 2" xfId="13730" xr:uid="{CE7EF1D1-D7AC-41FC-9A38-500D49825EF4}"/>
    <cellStyle name="Normal 8 3 4 2 4" xfId="9512" xr:uid="{49B46814-030B-481D-A5E0-5C0584DCD93A}"/>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D9DBDE39-0539-49E8-8CCD-C5163CFA14B2}"/>
    <cellStyle name="Normal 8 3 4 3 2 3" xfId="12070" xr:uid="{829E49E7-5173-4514-BD73-1C277D353629}"/>
    <cellStyle name="Normal 8 3 4 3 3" xfId="5693" xr:uid="{00000000-0005-0000-0000-0000B11D0000}"/>
    <cellStyle name="Normal 8 3 4 3 3 2" xfId="14143" xr:uid="{211F0359-4915-40F6-ACD2-F3B933B9D86A}"/>
    <cellStyle name="Normal 8 3 4 3 4" xfId="9925" xr:uid="{1A2C4ABE-7B54-4B32-AAC3-D1F9877BAD5F}"/>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EA1A4937-1E0A-4C10-BAC6-97FC3EBEE52D}"/>
    <cellStyle name="Normal 8 3 4 4 2 3" xfId="12483" xr:uid="{D24932E1-A6EA-4819-9604-607965B91A20}"/>
    <cellStyle name="Normal 8 3 4 4 3" xfId="6106" xr:uid="{00000000-0005-0000-0000-0000B51D0000}"/>
    <cellStyle name="Normal 8 3 4 4 3 2" xfId="14556" xr:uid="{17A8DCBE-829F-47E0-A283-0F3907EACA0E}"/>
    <cellStyle name="Normal 8 3 4 4 4" xfId="10338" xr:uid="{3735048D-CE82-45F0-BC60-980B3D6F1814}"/>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5A8E6776-C524-4A91-AE06-AC0E9851272F}"/>
    <cellStyle name="Normal 8 3 4 5 2 3" xfId="12896" xr:uid="{E2BD55F4-E1A3-4D93-A3B3-9AF4FF36C868}"/>
    <cellStyle name="Normal 8 3 4 5 3" xfId="6519" xr:uid="{00000000-0005-0000-0000-0000B91D0000}"/>
    <cellStyle name="Normal 8 3 4 5 3 2" xfId="14969" xr:uid="{D54B830E-CDCD-480F-A936-07949BE2C7DA}"/>
    <cellStyle name="Normal 8 3 4 5 4" xfId="10751" xr:uid="{F481A309-1857-47B1-ABEB-97DA0E5CF00A}"/>
    <cellStyle name="Normal 8 3 4 6" xfId="2649" xr:uid="{00000000-0005-0000-0000-0000BA1D0000}"/>
    <cellStyle name="Normal 8 3 4 6 2" xfId="6932" xr:uid="{00000000-0005-0000-0000-0000BB1D0000}"/>
    <cellStyle name="Normal 8 3 4 6 2 2" xfId="15382" xr:uid="{E12417A6-CD42-4A7E-B9F9-A7D073E6AF27}"/>
    <cellStyle name="Normal 8 3 4 6 3" xfId="11164" xr:uid="{7BCD848F-2B77-40BE-9F68-41A2743E5BCD}"/>
    <cellStyle name="Normal 8 3 4 7" xfId="4867" xr:uid="{00000000-0005-0000-0000-0000BC1D0000}"/>
    <cellStyle name="Normal 8 3 4 7 2" xfId="13317" xr:uid="{4B6C0698-829F-473D-94FD-ADBF3BCB1938}"/>
    <cellStyle name="Normal 8 3 4 8" xfId="9099" xr:uid="{DFD0DFBA-71E5-4C0C-9067-6C17A17C32AB}"/>
    <cellStyle name="Normal 8 3 5" xfId="962" xr:uid="{00000000-0005-0000-0000-0000BD1D0000}"/>
    <cellStyle name="Normal 8 3 5 2" xfId="3196" xr:uid="{00000000-0005-0000-0000-0000BE1D0000}"/>
    <cellStyle name="Normal 8 3 5 2 2" xfId="7418" xr:uid="{00000000-0005-0000-0000-0000BF1D0000}"/>
    <cellStyle name="Normal 8 3 5 2 2 2" xfId="15868" xr:uid="{6BA3528E-9F96-4A29-8C0B-AFD9E65FF3D9}"/>
    <cellStyle name="Normal 8 3 5 2 3" xfId="11650" xr:uid="{26B69CE2-35FB-4409-A1CE-A4E2215951BF}"/>
    <cellStyle name="Normal 8 3 5 3" xfId="5273" xr:uid="{00000000-0005-0000-0000-0000C01D0000}"/>
    <cellStyle name="Normal 8 3 5 3 2" xfId="13723" xr:uid="{2E404782-AF6C-411A-A769-7DFFB0C5B0D0}"/>
    <cellStyle name="Normal 8 3 5 4" xfId="9505" xr:uid="{A1A366A1-C76C-491B-AF82-4BE74D3FC293}"/>
    <cellStyle name="Normal 8 3 6" xfId="1379" xr:uid="{00000000-0005-0000-0000-0000C11D0000}"/>
    <cellStyle name="Normal 8 3 6 2" xfId="3609" xr:uid="{00000000-0005-0000-0000-0000C21D0000}"/>
    <cellStyle name="Normal 8 3 6 2 2" xfId="7831" xr:uid="{00000000-0005-0000-0000-0000C31D0000}"/>
    <cellStyle name="Normal 8 3 6 2 2 2" xfId="16281" xr:uid="{CC9328B3-315A-4CED-BE59-48D1998F798C}"/>
    <cellStyle name="Normal 8 3 6 2 3" xfId="12063" xr:uid="{81667B83-D553-4A29-92D5-BFB3FF1462C5}"/>
    <cellStyle name="Normal 8 3 6 3" xfId="5686" xr:uid="{00000000-0005-0000-0000-0000C41D0000}"/>
    <cellStyle name="Normal 8 3 6 3 2" xfId="14136" xr:uid="{902A8220-DD46-4A2F-9A28-B625800976F7}"/>
    <cellStyle name="Normal 8 3 6 4" xfId="9918" xr:uid="{52168783-0941-4B69-A73F-9902FD7F2347}"/>
    <cellStyle name="Normal 8 3 7" xfId="1792" xr:uid="{00000000-0005-0000-0000-0000C51D0000}"/>
    <cellStyle name="Normal 8 3 7 2" xfId="4022" xr:uid="{00000000-0005-0000-0000-0000C61D0000}"/>
    <cellStyle name="Normal 8 3 7 2 2" xfId="8244" xr:uid="{00000000-0005-0000-0000-0000C71D0000}"/>
    <cellStyle name="Normal 8 3 7 2 2 2" xfId="16694" xr:uid="{EABAB7A1-2F2A-4CE7-9A53-E6F530F47EF6}"/>
    <cellStyle name="Normal 8 3 7 2 3" xfId="12476" xr:uid="{776DB027-549F-49B9-88C3-8992448753C8}"/>
    <cellStyle name="Normal 8 3 7 3" xfId="6099" xr:uid="{00000000-0005-0000-0000-0000C81D0000}"/>
    <cellStyle name="Normal 8 3 7 3 2" xfId="14549" xr:uid="{F97DDB04-F272-4733-8D68-D5D22EB9FB7E}"/>
    <cellStyle name="Normal 8 3 7 4" xfId="10331" xr:uid="{5D401EF2-2D7F-4AC8-A2FF-F635799956C5}"/>
    <cellStyle name="Normal 8 3 8" xfId="2206" xr:uid="{00000000-0005-0000-0000-0000C91D0000}"/>
    <cellStyle name="Normal 8 3 8 2" xfId="4435" xr:uid="{00000000-0005-0000-0000-0000CA1D0000}"/>
    <cellStyle name="Normal 8 3 8 2 2" xfId="8657" xr:uid="{00000000-0005-0000-0000-0000CB1D0000}"/>
    <cellStyle name="Normal 8 3 8 2 2 2" xfId="17107" xr:uid="{4270E9B5-9A3C-42FC-8B81-D68702B4A783}"/>
    <cellStyle name="Normal 8 3 8 2 3" xfId="12889" xr:uid="{F5142F23-0A10-4573-B463-A9936040C80F}"/>
    <cellStyle name="Normal 8 3 8 3" xfId="6512" xr:uid="{00000000-0005-0000-0000-0000CC1D0000}"/>
    <cellStyle name="Normal 8 3 8 3 2" xfId="14962" xr:uid="{7AFA012C-200A-4B2B-931E-6BA921CCB3FE}"/>
    <cellStyle name="Normal 8 3 8 4" xfId="10744" xr:uid="{93BF0A55-F0AB-4D40-8693-322AF1100CF2}"/>
    <cellStyle name="Normal 8 3 9" xfId="2642" xr:uid="{00000000-0005-0000-0000-0000CD1D0000}"/>
    <cellStyle name="Normal 8 3 9 2" xfId="6925" xr:uid="{00000000-0005-0000-0000-0000CE1D0000}"/>
    <cellStyle name="Normal 8 3 9 2 2" xfId="15375" xr:uid="{C03720DA-E137-4C03-AED9-A3427CD7A435}"/>
    <cellStyle name="Normal 8 3 9 3" xfId="11157" xr:uid="{6DAD61DF-6FDD-41DC-8CDA-B8FD9D29CEFB}"/>
    <cellStyle name="Normal 8 4" xfId="503" xr:uid="{00000000-0005-0000-0000-0000CF1D0000}"/>
    <cellStyle name="Normal 8 4 10" xfId="9100" xr:uid="{5D02B435-2B95-40D1-9903-813CBB562D4D}"/>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EB92E559-B217-43EF-961E-8012B42C9459}"/>
    <cellStyle name="Normal 8 4 2 2 2 2 3" xfId="11660" xr:uid="{708F2D74-2D86-46A2-ABE5-9E3C47C6244E}"/>
    <cellStyle name="Normal 8 4 2 2 2 3" xfId="5283" xr:uid="{00000000-0005-0000-0000-0000D51D0000}"/>
    <cellStyle name="Normal 8 4 2 2 2 3 2" xfId="13733" xr:uid="{76CD4C63-1CA2-46EC-8824-267E17894800}"/>
    <cellStyle name="Normal 8 4 2 2 2 4" xfId="9515" xr:uid="{D62E37F6-2F3A-468B-9C8F-0881CD516553}"/>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42B904CD-7267-4DA9-AE45-360CDDEB064A}"/>
    <cellStyle name="Normal 8 4 2 2 3 2 3" xfId="12073" xr:uid="{CBCEE28A-7913-41E3-9751-D3AF4AE20CB5}"/>
    <cellStyle name="Normal 8 4 2 2 3 3" xfId="5696" xr:uid="{00000000-0005-0000-0000-0000D91D0000}"/>
    <cellStyle name="Normal 8 4 2 2 3 3 2" xfId="14146" xr:uid="{7C89AAAC-8743-4672-BA26-83E6F5800DA9}"/>
    <cellStyle name="Normal 8 4 2 2 3 4" xfId="9928" xr:uid="{64EA03B5-DD66-4E1C-AFAB-ABFB99FE6D49}"/>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DDC6CF8A-BDF7-447D-BE9B-A3937EDE1128}"/>
    <cellStyle name="Normal 8 4 2 2 4 2 3" xfId="12486" xr:uid="{4C1FAAA0-50E7-4190-88E7-32E4DFD59BC7}"/>
    <cellStyle name="Normal 8 4 2 2 4 3" xfId="6109" xr:uid="{00000000-0005-0000-0000-0000DD1D0000}"/>
    <cellStyle name="Normal 8 4 2 2 4 3 2" xfId="14559" xr:uid="{CE13A631-83A0-44A4-A27C-E5323BB503F3}"/>
    <cellStyle name="Normal 8 4 2 2 4 4" xfId="10341" xr:uid="{5FE0AA9F-D09B-4662-A29F-EAE14EFE5661}"/>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BD1157F2-6B94-4B25-8F57-55FFC78119C5}"/>
    <cellStyle name="Normal 8 4 2 2 5 2 3" xfId="12899" xr:uid="{39A13B12-5486-433B-BF01-252969D28EEA}"/>
    <cellStyle name="Normal 8 4 2 2 5 3" xfId="6522" xr:uid="{00000000-0005-0000-0000-0000E11D0000}"/>
    <cellStyle name="Normal 8 4 2 2 5 3 2" xfId="14972" xr:uid="{F8F50620-2B6B-4126-86C2-E1E559216FCF}"/>
    <cellStyle name="Normal 8 4 2 2 5 4" xfId="10754" xr:uid="{BF5DC951-837B-4C49-A22E-8E2CF59AF30A}"/>
    <cellStyle name="Normal 8 4 2 2 6" xfId="2652" xr:uid="{00000000-0005-0000-0000-0000E21D0000}"/>
    <cellStyle name="Normal 8 4 2 2 6 2" xfId="6935" xr:uid="{00000000-0005-0000-0000-0000E31D0000}"/>
    <cellStyle name="Normal 8 4 2 2 6 2 2" xfId="15385" xr:uid="{EAD9112F-59B5-4F75-9554-330730013286}"/>
    <cellStyle name="Normal 8 4 2 2 6 3" xfId="11167" xr:uid="{B874D02E-DE47-480E-B4BC-A25A15B672D9}"/>
    <cellStyle name="Normal 8 4 2 2 7" xfId="4870" xr:uid="{00000000-0005-0000-0000-0000E41D0000}"/>
    <cellStyle name="Normal 8 4 2 2 7 2" xfId="13320" xr:uid="{624630C6-A974-4231-A0CD-95591165857E}"/>
    <cellStyle name="Normal 8 4 2 2 8" xfId="9102" xr:uid="{E7762E77-50E6-4D4B-9A65-ECF4CC688D62}"/>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55E6A957-2A11-4132-B339-7381ED4237BF}"/>
    <cellStyle name="Normal 8 4 2 3 2 3" xfId="11659" xr:uid="{3C8BA0D3-0D44-42DF-A806-9105CA8BB7E7}"/>
    <cellStyle name="Normal 8 4 2 3 3" xfId="5282" xr:uid="{00000000-0005-0000-0000-0000E81D0000}"/>
    <cellStyle name="Normal 8 4 2 3 3 2" xfId="13732" xr:uid="{7926D535-A138-4D41-8B98-0DB397E945DD}"/>
    <cellStyle name="Normal 8 4 2 3 4" xfId="9514" xr:uid="{6F7AD92C-8E99-4B76-92FB-34631D314228}"/>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297E9D8A-2833-4250-9EE5-840A9F14ABC1}"/>
    <cellStyle name="Normal 8 4 2 4 2 3" xfId="12072" xr:uid="{4A80503D-1170-4593-BCFD-2AFF542BE96D}"/>
    <cellStyle name="Normal 8 4 2 4 3" xfId="5695" xr:uid="{00000000-0005-0000-0000-0000EC1D0000}"/>
    <cellStyle name="Normal 8 4 2 4 3 2" xfId="14145" xr:uid="{55B2245F-478D-4056-8D61-79687A71F131}"/>
    <cellStyle name="Normal 8 4 2 4 4" xfId="9927" xr:uid="{0A62D458-0C93-4F4C-9E70-CD5BF56D3D44}"/>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8B9E8731-7356-484F-B795-DEF59543BEF4}"/>
    <cellStyle name="Normal 8 4 2 5 2 3" xfId="12485" xr:uid="{8064F201-2AF4-477C-8312-5EC68347F728}"/>
    <cellStyle name="Normal 8 4 2 5 3" xfId="6108" xr:uid="{00000000-0005-0000-0000-0000F01D0000}"/>
    <cellStyle name="Normal 8 4 2 5 3 2" xfId="14558" xr:uid="{5DBCDC62-43D0-4146-9C67-2A651EC5B383}"/>
    <cellStyle name="Normal 8 4 2 5 4" xfId="10340" xr:uid="{7ACDAC40-007C-4C0E-88F0-80C8B4B5DE8A}"/>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D50541E6-ECE9-4B16-9E45-B1954AEE6B4E}"/>
    <cellStyle name="Normal 8 4 2 6 2 3" xfId="12898" xr:uid="{6A852AF0-ACA5-424F-A40F-2E6092DE963D}"/>
    <cellStyle name="Normal 8 4 2 6 3" xfId="6521" xr:uid="{00000000-0005-0000-0000-0000F41D0000}"/>
    <cellStyle name="Normal 8 4 2 6 3 2" xfId="14971" xr:uid="{21152ED1-6BE5-437F-A8D5-E3E667D1DDB7}"/>
    <cellStyle name="Normal 8 4 2 6 4" xfId="10753" xr:uid="{8E6B08EA-1250-4436-B7F4-FDA9B866E2D0}"/>
    <cellStyle name="Normal 8 4 2 7" xfId="2651" xr:uid="{00000000-0005-0000-0000-0000F51D0000}"/>
    <cellStyle name="Normal 8 4 2 7 2" xfId="6934" xr:uid="{00000000-0005-0000-0000-0000F61D0000}"/>
    <cellStyle name="Normal 8 4 2 7 2 2" xfId="15384" xr:uid="{1044E563-94DD-4B23-AB7F-E4E33D505F5F}"/>
    <cellStyle name="Normal 8 4 2 7 3" xfId="11166" xr:uid="{302EF339-8C42-4614-9257-3285F0C234DB}"/>
    <cellStyle name="Normal 8 4 2 8" xfId="4869" xr:uid="{00000000-0005-0000-0000-0000F71D0000}"/>
    <cellStyle name="Normal 8 4 2 8 2" xfId="13319" xr:uid="{B6D03391-19CB-4BBD-8B6F-44070E897242}"/>
    <cellStyle name="Normal 8 4 2 9" xfId="9101" xr:uid="{E0B8AB92-5282-48FA-9E51-D223A3327BE3}"/>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225E4CD4-4E70-4A77-8194-C6864B99B15D}"/>
    <cellStyle name="Normal 8 4 3 2 2 3" xfId="11661" xr:uid="{369C9481-2895-4B89-BAED-006F2744056B}"/>
    <cellStyle name="Normal 8 4 3 2 3" xfId="5284" xr:uid="{00000000-0005-0000-0000-0000FC1D0000}"/>
    <cellStyle name="Normal 8 4 3 2 3 2" xfId="13734" xr:uid="{C88D4ADE-0929-484F-8536-03823438C4AB}"/>
    <cellStyle name="Normal 8 4 3 2 4" xfId="9516" xr:uid="{CBDA971C-5F09-4137-B1CA-3B5256FC5E85}"/>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72A7162A-EC2F-4D84-B97D-BFEC4490D5ED}"/>
    <cellStyle name="Normal 8 4 3 3 2 3" xfId="12074" xr:uid="{F0BC4EEB-A1AF-47FF-9A59-4F8A8F846CBB}"/>
    <cellStyle name="Normal 8 4 3 3 3" xfId="5697" xr:uid="{00000000-0005-0000-0000-0000001E0000}"/>
    <cellStyle name="Normal 8 4 3 3 3 2" xfId="14147" xr:uid="{59E559AE-3D6C-476A-9456-82532711436D}"/>
    <cellStyle name="Normal 8 4 3 3 4" xfId="9929" xr:uid="{59BE788C-2B19-4F0E-BD68-E55B5648DA41}"/>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C0810363-E500-4B0D-8B11-6EFC16875059}"/>
    <cellStyle name="Normal 8 4 3 4 2 3" xfId="12487" xr:uid="{F3FE8A87-8005-43A3-BEFC-6D131F23958D}"/>
    <cellStyle name="Normal 8 4 3 4 3" xfId="6110" xr:uid="{00000000-0005-0000-0000-0000041E0000}"/>
    <cellStyle name="Normal 8 4 3 4 3 2" xfId="14560" xr:uid="{04761DC7-ECA7-4C64-A704-932186168A56}"/>
    <cellStyle name="Normal 8 4 3 4 4" xfId="10342" xr:uid="{7E8D1938-5418-4959-AA3B-75530C6959A2}"/>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DB85B8E1-1BCA-44CF-97F0-9FEEBBDA9691}"/>
    <cellStyle name="Normal 8 4 3 5 2 3" xfId="12900" xr:uid="{F749974D-406F-4EDF-8413-B67F49E9616F}"/>
    <cellStyle name="Normal 8 4 3 5 3" xfId="6523" xr:uid="{00000000-0005-0000-0000-0000081E0000}"/>
    <cellStyle name="Normal 8 4 3 5 3 2" xfId="14973" xr:uid="{3602B2DE-3B3E-4AD0-804C-D3E21FA9D54E}"/>
    <cellStyle name="Normal 8 4 3 5 4" xfId="10755" xr:uid="{90A4863D-0E29-4D14-86E5-78977352E8A5}"/>
    <cellStyle name="Normal 8 4 3 6" xfId="2653" xr:uid="{00000000-0005-0000-0000-0000091E0000}"/>
    <cellStyle name="Normal 8 4 3 6 2" xfId="6936" xr:uid="{00000000-0005-0000-0000-00000A1E0000}"/>
    <cellStyle name="Normal 8 4 3 6 2 2" xfId="15386" xr:uid="{ADD09528-C581-46CB-B8BB-91B269736AEE}"/>
    <cellStyle name="Normal 8 4 3 6 3" xfId="11168" xr:uid="{0AB8DD99-9093-4B98-81EB-19B8B80BB667}"/>
    <cellStyle name="Normal 8 4 3 7" xfId="4871" xr:uid="{00000000-0005-0000-0000-00000B1E0000}"/>
    <cellStyle name="Normal 8 4 3 7 2" xfId="13321" xr:uid="{B720C10D-ACB6-465C-A3A2-0FE87A8217D9}"/>
    <cellStyle name="Normal 8 4 3 8" xfId="9103" xr:uid="{E4EFB5C1-04EE-4D06-BC6E-E5808BEE1E3E}"/>
    <cellStyle name="Normal 8 4 4" xfId="970" xr:uid="{00000000-0005-0000-0000-00000C1E0000}"/>
    <cellStyle name="Normal 8 4 4 2" xfId="3204" xr:uid="{00000000-0005-0000-0000-00000D1E0000}"/>
    <cellStyle name="Normal 8 4 4 2 2" xfId="7426" xr:uid="{00000000-0005-0000-0000-00000E1E0000}"/>
    <cellStyle name="Normal 8 4 4 2 2 2" xfId="15876" xr:uid="{D31BBA40-547B-4A44-87C0-1C60B4DBE397}"/>
    <cellStyle name="Normal 8 4 4 2 3" xfId="11658" xr:uid="{C59B996C-9FCA-48DD-8909-840891B655A5}"/>
    <cellStyle name="Normal 8 4 4 3" xfId="5281" xr:uid="{00000000-0005-0000-0000-00000F1E0000}"/>
    <cellStyle name="Normal 8 4 4 3 2" xfId="13731" xr:uid="{270C532E-4A3A-425D-BE4A-9146EB6ACAC1}"/>
    <cellStyle name="Normal 8 4 4 4" xfId="9513" xr:uid="{9042606F-C403-487C-9702-A30A9B6F0BE0}"/>
    <cellStyle name="Normal 8 4 5" xfId="1387" xr:uid="{00000000-0005-0000-0000-0000101E0000}"/>
    <cellStyle name="Normal 8 4 5 2" xfId="3617" xr:uid="{00000000-0005-0000-0000-0000111E0000}"/>
    <cellStyle name="Normal 8 4 5 2 2" xfId="7839" xr:uid="{00000000-0005-0000-0000-0000121E0000}"/>
    <cellStyle name="Normal 8 4 5 2 2 2" xfId="16289" xr:uid="{F91AB9A7-5BAB-4156-BCC0-E753794F0680}"/>
    <cellStyle name="Normal 8 4 5 2 3" xfId="12071" xr:uid="{3C026F7B-345D-483A-92BF-B825AC520D43}"/>
    <cellStyle name="Normal 8 4 5 3" xfId="5694" xr:uid="{00000000-0005-0000-0000-0000131E0000}"/>
    <cellStyle name="Normal 8 4 5 3 2" xfId="14144" xr:uid="{78BFB6C9-1481-4994-B496-818E8CFB6D43}"/>
    <cellStyle name="Normal 8 4 5 4" xfId="9926" xr:uid="{2FB24399-7316-4D3B-A7D4-19F8E95E0AD5}"/>
    <cellStyle name="Normal 8 4 6" xfId="1800" xr:uid="{00000000-0005-0000-0000-0000141E0000}"/>
    <cellStyle name="Normal 8 4 6 2" xfId="4030" xr:uid="{00000000-0005-0000-0000-0000151E0000}"/>
    <cellStyle name="Normal 8 4 6 2 2" xfId="8252" xr:uid="{00000000-0005-0000-0000-0000161E0000}"/>
    <cellStyle name="Normal 8 4 6 2 2 2" xfId="16702" xr:uid="{4ACC1B38-BED7-4802-839A-33F7B48DBC72}"/>
    <cellStyle name="Normal 8 4 6 2 3" xfId="12484" xr:uid="{549686FF-B0BA-4EEC-B170-9F806132FDE6}"/>
    <cellStyle name="Normal 8 4 6 3" xfId="6107" xr:uid="{00000000-0005-0000-0000-0000171E0000}"/>
    <cellStyle name="Normal 8 4 6 3 2" xfId="14557" xr:uid="{4EDEC760-AFFA-4CF4-803A-2C32E06D478C}"/>
    <cellStyle name="Normal 8 4 6 4" xfId="10339" xr:uid="{9D96EB58-4B2B-45E9-8A6A-CEAF1536D51C}"/>
    <cellStyle name="Normal 8 4 7" xfId="2214" xr:uid="{00000000-0005-0000-0000-0000181E0000}"/>
    <cellStyle name="Normal 8 4 7 2" xfId="4443" xr:uid="{00000000-0005-0000-0000-0000191E0000}"/>
    <cellStyle name="Normal 8 4 7 2 2" xfId="8665" xr:uid="{00000000-0005-0000-0000-00001A1E0000}"/>
    <cellStyle name="Normal 8 4 7 2 2 2" xfId="17115" xr:uid="{77CE9D9A-EF7F-45CD-9B84-13785719DE5E}"/>
    <cellStyle name="Normal 8 4 7 2 3" xfId="12897" xr:uid="{6248185A-D7AA-4893-8997-C5A050DF117A}"/>
    <cellStyle name="Normal 8 4 7 3" xfId="6520" xr:uid="{00000000-0005-0000-0000-00001B1E0000}"/>
    <cellStyle name="Normal 8 4 7 3 2" xfId="14970" xr:uid="{0B0DAC88-D2B9-4BA4-B27C-7C96E83DBE28}"/>
    <cellStyle name="Normal 8 4 7 4" xfId="10752" xr:uid="{F2DFA401-D9DF-4262-A4D6-78D05652D3B7}"/>
    <cellStyle name="Normal 8 4 8" xfId="2650" xr:uid="{00000000-0005-0000-0000-00001C1E0000}"/>
    <cellStyle name="Normal 8 4 8 2" xfId="6933" xr:uid="{00000000-0005-0000-0000-00001D1E0000}"/>
    <cellStyle name="Normal 8 4 8 2 2" xfId="15383" xr:uid="{2F456DE8-F572-4311-8F98-0279418A999B}"/>
    <cellStyle name="Normal 8 4 8 3" xfId="11165" xr:uid="{FE61C736-53D4-4C43-87B4-97D67CE7F6F1}"/>
    <cellStyle name="Normal 8 4 9" xfId="4868" xr:uid="{00000000-0005-0000-0000-00001E1E0000}"/>
    <cellStyle name="Normal 8 4 9 2" xfId="13318" xr:uid="{21254D6F-E2A6-4E4C-BAED-90D17DA15268}"/>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93B9E034-88E2-419B-B0BD-202C9F26960E}"/>
    <cellStyle name="Normal 8 5 2 2 2 3" xfId="11663" xr:uid="{0C2399BF-ABD3-456D-8303-3FA0EDE7D333}"/>
    <cellStyle name="Normal 8 5 2 2 3" xfId="5286" xr:uid="{00000000-0005-0000-0000-0000241E0000}"/>
    <cellStyle name="Normal 8 5 2 2 3 2" xfId="13736" xr:uid="{DF287498-7065-4049-8A5B-1124D2C06C00}"/>
    <cellStyle name="Normal 8 5 2 2 4" xfId="9518" xr:uid="{E6589235-C0EB-4CCE-807E-3FD18B21B8F4}"/>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931657E1-256A-4832-A98B-504420BED40E}"/>
    <cellStyle name="Normal 8 5 2 3 2 3" xfId="12076" xr:uid="{78505DD5-6AB1-467D-A7CA-19DDE026A61E}"/>
    <cellStyle name="Normal 8 5 2 3 3" xfId="5699" xr:uid="{00000000-0005-0000-0000-0000281E0000}"/>
    <cellStyle name="Normal 8 5 2 3 3 2" xfId="14149" xr:uid="{634F00C3-1A88-4B27-9015-24A54C78C518}"/>
    <cellStyle name="Normal 8 5 2 3 4" xfId="9931" xr:uid="{A6645D3E-3395-4AB2-99EA-ED48D71532F4}"/>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9D6DF150-C9AE-4F2D-9E38-D63246E02266}"/>
    <cellStyle name="Normal 8 5 2 4 2 3" xfId="12489" xr:uid="{7AA5058A-E800-471C-B664-E91D3CEAD807}"/>
    <cellStyle name="Normal 8 5 2 4 3" xfId="6112" xr:uid="{00000000-0005-0000-0000-00002C1E0000}"/>
    <cellStyle name="Normal 8 5 2 4 3 2" xfId="14562" xr:uid="{8D605209-9F9B-4214-9F70-FC9B5C20FBAD}"/>
    <cellStyle name="Normal 8 5 2 4 4" xfId="10344" xr:uid="{CAD0BFCB-7D55-4E02-BEB0-397050A3640D}"/>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8D33A4D5-A83B-4868-971F-4BF078386DDC}"/>
    <cellStyle name="Normal 8 5 2 5 2 3" xfId="12902" xr:uid="{284FA8C5-98A1-4A64-9B92-6696333C82D3}"/>
    <cellStyle name="Normal 8 5 2 5 3" xfId="6525" xr:uid="{00000000-0005-0000-0000-0000301E0000}"/>
    <cellStyle name="Normal 8 5 2 5 3 2" xfId="14975" xr:uid="{64621717-643E-4D58-B490-4C8792B3463D}"/>
    <cellStyle name="Normal 8 5 2 5 4" xfId="10757" xr:uid="{8191FFCC-3F3B-43DC-93B4-7403AA928F72}"/>
    <cellStyle name="Normal 8 5 2 6" xfId="2655" xr:uid="{00000000-0005-0000-0000-0000311E0000}"/>
    <cellStyle name="Normal 8 5 2 6 2" xfId="6938" xr:uid="{00000000-0005-0000-0000-0000321E0000}"/>
    <cellStyle name="Normal 8 5 2 6 2 2" xfId="15388" xr:uid="{B960991F-552C-45C7-B2F4-641A124D3220}"/>
    <cellStyle name="Normal 8 5 2 6 3" xfId="11170" xr:uid="{C2FE2F4D-509E-43E3-9019-B1DCB0084FF1}"/>
    <cellStyle name="Normal 8 5 2 7" xfId="4873" xr:uid="{00000000-0005-0000-0000-0000331E0000}"/>
    <cellStyle name="Normal 8 5 2 7 2" xfId="13323" xr:uid="{5AB33093-18B2-4211-927E-FB2556CE1F3D}"/>
    <cellStyle name="Normal 8 5 2 8" xfId="9105" xr:uid="{319F04F9-CCA7-49AB-994D-BDE5DF2EEEAB}"/>
    <cellStyle name="Normal 8 5 3" xfId="974" xr:uid="{00000000-0005-0000-0000-0000341E0000}"/>
    <cellStyle name="Normal 8 5 3 2" xfId="3208" xr:uid="{00000000-0005-0000-0000-0000351E0000}"/>
    <cellStyle name="Normal 8 5 3 2 2" xfId="7430" xr:uid="{00000000-0005-0000-0000-0000361E0000}"/>
    <cellStyle name="Normal 8 5 3 2 2 2" xfId="15880" xr:uid="{D721F386-4F79-4B46-951F-D9C4B819564B}"/>
    <cellStyle name="Normal 8 5 3 2 3" xfId="11662" xr:uid="{FA6BB239-3D12-4375-8D17-FB571B24BE92}"/>
    <cellStyle name="Normal 8 5 3 3" xfId="5285" xr:uid="{00000000-0005-0000-0000-0000371E0000}"/>
    <cellStyle name="Normal 8 5 3 3 2" xfId="13735" xr:uid="{7A0B2840-D753-4005-A5B6-0D90E282E6F4}"/>
    <cellStyle name="Normal 8 5 3 4" xfId="9517" xr:uid="{C33951C0-4DC0-4D17-BFA9-94341106E5F5}"/>
    <cellStyle name="Normal 8 5 4" xfId="1391" xr:uid="{00000000-0005-0000-0000-0000381E0000}"/>
    <cellStyle name="Normal 8 5 4 2" xfId="3621" xr:uid="{00000000-0005-0000-0000-0000391E0000}"/>
    <cellStyle name="Normal 8 5 4 2 2" xfId="7843" xr:uid="{00000000-0005-0000-0000-00003A1E0000}"/>
    <cellStyle name="Normal 8 5 4 2 2 2" xfId="16293" xr:uid="{B7C5869C-68D1-465F-BC95-312352E18FBB}"/>
    <cellStyle name="Normal 8 5 4 2 3" xfId="12075" xr:uid="{6A66E821-7B09-475A-B03D-47854DC5841A}"/>
    <cellStyle name="Normal 8 5 4 3" xfId="5698" xr:uid="{00000000-0005-0000-0000-00003B1E0000}"/>
    <cellStyle name="Normal 8 5 4 3 2" xfId="14148" xr:uid="{073D7568-91B7-44B3-AC50-75251CBAA29A}"/>
    <cellStyle name="Normal 8 5 4 4" xfId="9930" xr:uid="{F742626F-47D0-4991-AF0B-F12ECEB10A97}"/>
    <cellStyle name="Normal 8 5 5" xfId="1804" xr:uid="{00000000-0005-0000-0000-00003C1E0000}"/>
    <cellStyle name="Normal 8 5 5 2" xfId="4034" xr:uid="{00000000-0005-0000-0000-00003D1E0000}"/>
    <cellStyle name="Normal 8 5 5 2 2" xfId="8256" xr:uid="{00000000-0005-0000-0000-00003E1E0000}"/>
    <cellStyle name="Normal 8 5 5 2 2 2" xfId="16706" xr:uid="{778DFD8C-4B85-45CD-837D-4F433D9C54A1}"/>
    <cellStyle name="Normal 8 5 5 2 3" xfId="12488" xr:uid="{0898E7AC-6702-423F-885A-87B9CCCC0822}"/>
    <cellStyle name="Normal 8 5 5 3" xfId="6111" xr:uid="{00000000-0005-0000-0000-00003F1E0000}"/>
    <cellStyle name="Normal 8 5 5 3 2" xfId="14561" xr:uid="{8A95A97B-EE53-4C6A-B490-A1A3BF257E96}"/>
    <cellStyle name="Normal 8 5 5 4" xfId="10343" xr:uid="{1A75B041-5091-414D-B9D9-43969A657C7B}"/>
    <cellStyle name="Normal 8 5 6" xfId="2218" xr:uid="{00000000-0005-0000-0000-0000401E0000}"/>
    <cellStyle name="Normal 8 5 6 2" xfId="4447" xr:uid="{00000000-0005-0000-0000-0000411E0000}"/>
    <cellStyle name="Normal 8 5 6 2 2" xfId="8669" xr:uid="{00000000-0005-0000-0000-0000421E0000}"/>
    <cellStyle name="Normal 8 5 6 2 2 2" xfId="17119" xr:uid="{4AA27C92-70D8-4DE6-B738-02379051C0D4}"/>
    <cellStyle name="Normal 8 5 6 2 3" xfId="12901" xr:uid="{8922E1F0-E8E3-433D-9170-578E2BB5985E}"/>
    <cellStyle name="Normal 8 5 6 3" xfId="6524" xr:uid="{00000000-0005-0000-0000-0000431E0000}"/>
    <cellStyle name="Normal 8 5 6 3 2" xfId="14974" xr:uid="{72EC6F3A-4A18-4AA5-ACAF-E3CED752DC28}"/>
    <cellStyle name="Normal 8 5 6 4" xfId="10756" xr:uid="{BA953D8B-02AA-4551-A24B-D3AB382985ED}"/>
    <cellStyle name="Normal 8 5 7" xfId="2654" xr:uid="{00000000-0005-0000-0000-0000441E0000}"/>
    <cellStyle name="Normal 8 5 7 2" xfId="6937" xr:uid="{00000000-0005-0000-0000-0000451E0000}"/>
    <cellStyle name="Normal 8 5 7 2 2" xfId="15387" xr:uid="{83F95F6B-A218-4081-B586-C110C1391FD3}"/>
    <cellStyle name="Normal 8 5 7 3" xfId="11169" xr:uid="{1D39FE78-9564-4FB1-B9EF-A05ADC5522D5}"/>
    <cellStyle name="Normal 8 5 8" xfId="4872" xr:uid="{00000000-0005-0000-0000-0000461E0000}"/>
    <cellStyle name="Normal 8 5 8 2" xfId="13322" xr:uid="{590DA275-04BB-4EC4-844B-9B7F542B9C30}"/>
    <cellStyle name="Normal 8 5 9" xfId="9104" xr:uid="{205195A9-B876-484F-B0FE-AF5AE5DB7079}"/>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882" xr:uid="{73A34F66-5E46-45A9-9C7B-54A85F36DFCB}"/>
    <cellStyle name="Normal 8 6 2 2 3" xfId="11664" xr:uid="{87C1AFB9-4220-4C6C-9FC3-4DE56A72DE7C}"/>
    <cellStyle name="Normal 8 6 2 3" xfId="5287" xr:uid="{00000000-0005-0000-0000-00004B1E0000}"/>
    <cellStyle name="Normal 8 6 2 3 2" xfId="13737" xr:uid="{1C67633D-E4EC-4B72-960A-A9D66421EB6C}"/>
    <cellStyle name="Normal 8 6 2 4" xfId="9519" xr:uid="{B9B95675-8305-4440-9009-D2C4CAA103B7}"/>
    <cellStyle name="Normal 8 6 3" xfId="1393" xr:uid="{00000000-0005-0000-0000-00004C1E0000}"/>
    <cellStyle name="Normal 8 6 3 2" xfId="3623" xr:uid="{00000000-0005-0000-0000-00004D1E0000}"/>
    <cellStyle name="Normal 8 6 3 2 2" xfId="7845" xr:uid="{00000000-0005-0000-0000-00004E1E0000}"/>
    <cellStyle name="Normal 8 6 3 2 2 2" xfId="16295" xr:uid="{2D3DB65D-B296-47C4-B55C-549C604A98ED}"/>
    <cellStyle name="Normal 8 6 3 2 3" xfId="12077" xr:uid="{985E7E28-3E87-4C54-BAFF-91ADCDB0ECE3}"/>
    <cellStyle name="Normal 8 6 3 3" xfId="5700" xr:uid="{00000000-0005-0000-0000-00004F1E0000}"/>
    <cellStyle name="Normal 8 6 3 3 2" xfId="14150" xr:uid="{6E4223C8-B47C-4670-943D-CE334A860A80}"/>
    <cellStyle name="Normal 8 6 3 4" xfId="9932" xr:uid="{E21A5396-B8D0-463E-A7E6-430EF7784446}"/>
    <cellStyle name="Normal 8 6 4" xfId="1806" xr:uid="{00000000-0005-0000-0000-0000501E0000}"/>
    <cellStyle name="Normal 8 6 4 2" xfId="4036" xr:uid="{00000000-0005-0000-0000-0000511E0000}"/>
    <cellStyle name="Normal 8 6 4 2 2" xfId="8258" xr:uid="{00000000-0005-0000-0000-0000521E0000}"/>
    <cellStyle name="Normal 8 6 4 2 2 2" xfId="16708" xr:uid="{DFD9D288-EB4E-4A26-B74D-1A0901CB12A2}"/>
    <cellStyle name="Normal 8 6 4 2 3" xfId="12490" xr:uid="{DF431C23-54F8-4D2E-8129-E40A14F097DB}"/>
    <cellStyle name="Normal 8 6 4 3" xfId="6113" xr:uid="{00000000-0005-0000-0000-0000531E0000}"/>
    <cellStyle name="Normal 8 6 4 3 2" xfId="14563" xr:uid="{4E2A9159-CD49-4440-AC1D-FB0B7CEF4465}"/>
    <cellStyle name="Normal 8 6 4 4" xfId="10345" xr:uid="{8F760892-D54B-4F70-B374-3BCE72442249}"/>
    <cellStyle name="Normal 8 6 5" xfId="2220" xr:uid="{00000000-0005-0000-0000-0000541E0000}"/>
    <cellStyle name="Normal 8 6 5 2" xfId="4449" xr:uid="{00000000-0005-0000-0000-0000551E0000}"/>
    <cellStyle name="Normal 8 6 5 2 2" xfId="8671" xr:uid="{00000000-0005-0000-0000-0000561E0000}"/>
    <cellStyle name="Normal 8 6 5 2 2 2" xfId="17121" xr:uid="{8DC213DE-FB30-481A-ADB2-70588E9A24E1}"/>
    <cellStyle name="Normal 8 6 5 2 3" xfId="12903" xr:uid="{C629F062-F3B6-4F5C-A43B-8892CB51287E}"/>
    <cellStyle name="Normal 8 6 5 3" xfId="6526" xr:uid="{00000000-0005-0000-0000-0000571E0000}"/>
    <cellStyle name="Normal 8 6 5 3 2" xfId="14976" xr:uid="{CCF35E52-E000-421A-89D9-AFC8E361FA39}"/>
    <cellStyle name="Normal 8 6 5 4" xfId="10758" xr:uid="{E6B9DB87-E4B6-4617-8C3E-3251ED265F26}"/>
    <cellStyle name="Normal 8 6 6" xfId="2656" xr:uid="{00000000-0005-0000-0000-0000581E0000}"/>
    <cellStyle name="Normal 8 6 6 2" xfId="6939" xr:uid="{00000000-0005-0000-0000-0000591E0000}"/>
    <cellStyle name="Normal 8 6 6 2 2" xfId="15389" xr:uid="{4E5F3EE1-7ECF-4F9D-8D0B-527B042DE0CF}"/>
    <cellStyle name="Normal 8 6 6 3" xfId="11171" xr:uid="{F627D505-4982-41A4-920C-16EBB6A60DC1}"/>
    <cellStyle name="Normal 8 6 7" xfId="4874" xr:uid="{00000000-0005-0000-0000-00005A1E0000}"/>
    <cellStyle name="Normal 8 6 7 2" xfId="13324" xr:uid="{E1F00EF0-3A7F-455F-9CE1-78F40CC02215}"/>
    <cellStyle name="Normal 8 6 8" xfId="9106" xr:uid="{9CA87F51-D0F4-4369-AF60-3D0F2B2B4960}"/>
    <cellStyle name="Normal 8 7" xfId="945" xr:uid="{00000000-0005-0000-0000-00005B1E0000}"/>
    <cellStyle name="Normal 8 7 2" xfId="3179" xr:uid="{00000000-0005-0000-0000-00005C1E0000}"/>
    <cellStyle name="Normal 8 7 2 2" xfId="7401" xr:uid="{00000000-0005-0000-0000-00005D1E0000}"/>
    <cellStyle name="Normal 8 7 2 2 2" xfId="15851" xr:uid="{D9139F44-5079-4226-948C-863111EBA0E6}"/>
    <cellStyle name="Normal 8 7 2 3" xfId="11633" xr:uid="{FB5EBF25-F6CD-41A5-BEBB-86D23EDC4BE9}"/>
    <cellStyle name="Normal 8 7 3" xfId="5256" xr:uid="{00000000-0005-0000-0000-00005E1E0000}"/>
    <cellStyle name="Normal 8 7 3 2" xfId="13706" xr:uid="{C3629F2E-4FE6-474B-A2E6-FA44FB053D45}"/>
    <cellStyle name="Normal 8 7 4" xfId="9488" xr:uid="{605EECFC-65A2-49A9-A70D-FF0476DCC9BE}"/>
    <cellStyle name="Normal 8 8" xfId="1362" xr:uid="{00000000-0005-0000-0000-00005F1E0000}"/>
    <cellStyle name="Normal 8 8 2" xfId="3592" xr:uid="{00000000-0005-0000-0000-0000601E0000}"/>
    <cellStyle name="Normal 8 8 2 2" xfId="7814" xr:uid="{00000000-0005-0000-0000-0000611E0000}"/>
    <cellStyle name="Normal 8 8 2 2 2" xfId="16264" xr:uid="{759E7B04-5FEC-41A0-86D8-72AC5A22CB6E}"/>
    <cellStyle name="Normal 8 8 2 3" xfId="12046" xr:uid="{CAF5D4FE-D5D2-496E-84CC-09FEACEEF3E3}"/>
    <cellStyle name="Normal 8 8 3" xfId="5669" xr:uid="{00000000-0005-0000-0000-0000621E0000}"/>
    <cellStyle name="Normal 8 8 3 2" xfId="14119" xr:uid="{917FB9B4-9CBD-4651-985F-E69D8E2E9578}"/>
    <cellStyle name="Normal 8 8 4" xfId="9901" xr:uid="{DDDD35B0-8367-4E14-B538-7B5BF9C829C2}"/>
    <cellStyle name="Normal 8 9" xfId="1775" xr:uid="{00000000-0005-0000-0000-0000631E0000}"/>
    <cellStyle name="Normal 8 9 2" xfId="4005" xr:uid="{00000000-0005-0000-0000-0000641E0000}"/>
    <cellStyle name="Normal 8 9 2 2" xfId="8227" xr:uid="{00000000-0005-0000-0000-0000651E0000}"/>
    <cellStyle name="Normal 8 9 2 2 2" xfId="16677" xr:uid="{B48DB116-B119-43C3-A5EE-585EEFA2F502}"/>
    <cellStyle name="Normal 8 9 2 3" xfId="12459" xr:uid="{8F06EB73-3BCA-463B-A9D9-DA5E247D9CCD}"/>
    <cellStyle name="Normal 8 9 3" xfId="6082" xr:uid="{00000000-0005-0000-0000-0000661E0000}"/>
    <cellStyle name="Normal 8 9 3 2" xfId="14532" xr:uid="{2A89FE65-915C-4FF8-B2F0-54831B5ED8AD}"/>
    <cellStyle name="Normal 8 9 4" xfId="10314" xr:uid="{EA2ED7EA-45CA-4704-9D20-9379D6E59595}"/>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F101B21C-47F4-41AB-A4B2-BA919ADF39C2}"/>
    <cellStyle name="Normal 9 2 10 3" xfId="11172" xr:uid="{C868E20E-324F-498A-9A47-0F8876E72F5B}"/>
    <cellStyle name="Normal 9 2 11" xfId="4875" xr:uid="{00000000-0005-0000-0000-00006B1E0000}"/>
    <cellStyle name="Normal 9 2 11 2" xfId="13325" xr:uid="{20D26A30-2D0B-4138-8A8E-E1872513C2B8}"/>
    <cellStyle name="Normal 9 2 12" xfId="9107" xr:uid="{51331783-8812-4C9C-8B34-4C82C0882F22}"/>
    <cellStyle name="Normal 9 2 2" xfId="512" xr:uid="{00000000-0005-0000-0000-00006C1E0000}"/>
    <cellStyle name="Normal 9 2 2 10" xfId="4876" xr:uid="{00000000-0005-0000-0000-00006D1E0000}"/>
    <cellStyle name="Normal 9 2 2 10 2" xfId="13326" xr:uid="{2B447815-C191-498B-A2E2-CA3D7156777E}"/>
    <cellStyle name="Normal 9 2 2 11" xfId="9108" xr:uid="{D8DF574B-D6C5-4629-A9F1-A8A4B11F5F7A}"/>
    <cellStyle name="Normal 9 2 2 2" xfId="513" xr:uid="{00000000-0005-0000-0000-00006E1E0000}"/>
    <cellStyle name="Normal 9 2 2 2 10" xfId="9109" xr:uid="{19B7CF5A-F307-4341-BBED-43DF50936331}"/>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A4D5776A-1FC6-4055-9238-3657CE8519B0}"/>
    <cellStyle name="Normal 9 2 2 2 2 2 2 2 3" xfId="11669" xr:uid="{BC547306-E1BC-4273-904F-2DDA39B72E67}"/>
    <cellStyle name="Normal 9 2 2 2 2 2 2 3" xfId="5292" xr:uid="{00000000-0005-0000-0000-0000741E0000}"/>
    <cellStyle name="Normal 9 2 2 2 2 2 2 3 2" xfId="13742" xr:uid="{46BC5F00-D7E3-42AF-8F7C-E1DEDC8C8AA0}"/>
    <cellStyle name="Normal 9 2 2 2 2 2 2 4" xfId="9524" xr:uid="{CBAE3FD5-B978-4490-85F0-A81DB96D4BB6}"/>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089C2597-3DAF-4DC3-80A3-23F3F8E0739E}"/>
    <cellStyle name="Normal 9 2 2 2 2 2 3 2 3" xfId="12082" xr:uid="{912399C3-A5F5-4D3D-8578-06E3597A5A75}"/>
    <cellStyle name="Normal 9 2 2 2 2 2 3 3" xfId="5705" xr:uid="{00000000-0005-0000-0000-0000781E0000}"/>
    <cellStyle name="Normal 9 2 2 2 2 2 3 3 2" xfId="14155" xr:uid="{2F957697-24D6-41DD-89CD-52D48C04DAB6}"/>
    <cellStyle name="Normal 9 2 2 2 2 2 3 4" xfId="9937" xr:uid="{A67EAB22-9016-4AB3-8E3F-1EEEEB45B161}"/>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205DF3CF-ACDF-46CF-9199-1A767EFC7A4A}"/>
    <cellStyle name="Normal 9 2 2 2 2 2 4 2 3" xfId="12495" xr:uid="{48820EA3-E290-4CF8-99FC-53B1C92CD44F}"/>
    <cellStyle name="Normal 9 2 2 2 2 2 4 3" xfId="6118" xr:uid="{00000000-0005-0000-0000-00007C1E0000}"/>
    <cellStyle name="Normal 9 2 2 2 2 2 4 3 2" xfId="14568" xr:uid="{BB3133C5-B2FD-47DB-9AAB-F3E2F7F4E3B7}"/>
    <cellStyle name="Normal 9 2 2 2 2 2 4 4" xfId="10350" xr:uid="{E08338B1-BBD5-4B88-9D1E-43C3FB750242}"/>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E300B8BB-E1FD-4659-9283-9096C6B6D324}"/>
    <cellStyle name="Normal 9 2 2 2 2 2 5 2 3" xfId="12908" xr:uid="{9393BDE3-DE41-4C56-A2F0-4C884F5E24E4}"/>
    <cellStyle name="Normal 9 2 2 2 2 2 5 3" xfId="6531" xr:uid="{00000000-0005-0000-0000-0000801E0000}"/>
    <cellStyle name="Normal 9 2 2 2 2 2 5 3 2" xfId="14981" xr:uid="{5635F26F-290C-4EC2-83CF-6960D0CCB069}"/>
    <cellStyle name="Normal 9 2 2 2 2 2 5 4" xfId="10763" xr:uid="{D5E1B5F4-5BD5-40A1-A792-1D1D6B8A0CC2}"/>
    <cellStyle name="Normal 9 2 2 2 2 2 6" xfId="2661" xr:uid="{00000000-0005-0000-0000-0000811E0000}"/>
    <cellStyle name="Normal 9 2 2 2 2 2 6 2" xfId="6944" xr:uid="{00000000-0005-0000-0000-0000821E0000}"/>
    <cellStyle name="Normal 9 2 2 2 2 2 6 2 2" xfId="15394" xr:uid="{1CBF5EE1-51F5-498A-8F70-DE61C33B1428}"/>
    <cellStyle name="Normal 9 2 2 2 2 2 6 3" xfId="11176" xr:uid="{23EB3D39-8604-429D-B9E2-9A68E54A74EA}"/>
    <cellStyle name="Normal 9 2 2 2 2 2 7" xfId="4879" xr:uid="{00000000-0005-0000-0000-0000831E0000}"/>
    <cellStyle name="Normal 9 2 2 2 2 2 7 2" xfId="13329" xr:uid="{716D3827-1239-4BFA-979F-351E1192A7A2}"/>
    <cellStyle name="Normal 9 2 2 2 2 2 8" xfId="9111" xr:uid="{EEE65EB4-79D4-4F6E-9568-B5956EB114C2}"/>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96EADF9C-E7DD-41B3-962E-16CDE424FF3E}"/>
    <cellStyle name="Normal 9 2 2 2 2 3 2 3" xfId="11668" xr:uid="{E81E47BB-9BD1-47F4-BA16-0744DCF37408}"/>
    <cellStyle name="Normal 9 2 2 2 2 3 3" xfId="5291" xr:uid="{00000000-0005-0000-0000-0000871E0000}"/>
    <cellStyle name="Normal 9 2 2 2 2 3 3 2" xfId="13741" xr:uid="{84C64E87-F148-42BB-92E9-65CEE34873E3}"/>
    <cellStyle name="Normal 9 2 2 2 2 3 4" xfId="9523" xr:uid="{6BC705D1-63F9-458C-AA20-E0FD330C7372}"/>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36658BB0-2B3F-4E17-9C8F-E4F4CDBFA5D3}"/>
    <cellStyle name="Normal 9 2 2 2 2 4 2 3" xfId="12081" xr:uid="{CAF9D7FC-D76E-4806-8B81-03BA610817FF}"/>
    <cellStyle name="Normal 9 2 2 2 2 4 3" xfId="5704" xr:uid="{00000000-0005-0000-0000-00008B1E0000}"/>
    <cellStyle name="Normal 9 2 2 2 2 4 3 2" xfId="14154" xr:uid="{B5F79909-14A2-4F54-BBCB-6DF383B3ED4F}"/>
    <cellStyle name="Normal 9 2 2 2 2 4 4" xfId="9936" xr:uid="{B61BE768-E531-4161-9EDA-085BBC4EC0C8}"/>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DE938D2C-6E65-4C74-87EB-696FBC9BEAB0}"/>
    <cellStyle name="Normal 9 2 2 2 2 5 2 3" xfId="12494" xr:uid="{5B92B074-C624-442A-A4CE-E41B69F64A02}"/>
    <cellStyle name="Normal 9 2 2 2 2 5 3" xfId="6117" xr:uid="{00000000-0005-0000-0000-00008F1E0000}"/>
    <cellStyle name="Normal 9 2 2 2 2 5 3 2" xfId="14567" xr:uid="{1F4804A9-65AD-41A3-B45D-6CB2CC6C9F0B}"/>
    <cellStyle name="Normal 9 2 2 2 2 5 4" xfId="10349" xr:uid="{1B8F415E-BF7F-4AA6-B979-6CBACA1F6267}"/>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651A6398-6DB8-421C-9524-373F33D590A1}"/>
    <cellStyle name="Normal 9 2 2 2 2 6 2 3" xfId="12907" xr:uid="{546D38FE-830D-470B-9534-79ABA62ABEAD}"/>
    <cellStyle name="Normal 9 2 2 2 2 6 3" xfId="6530" xr:uid="{00000000-0005-0000-0000-0000931E0000}"/>
    <cellStyle name="Normal 9 2 2 2 2 6 3 2" xfId="14980" xr:uid="{5FAE2B0F-8444-4C1A-86F5-72F87CE0B301}"/>
    <cellStyle name="Normal 9 2 2 2 2 6 4" xfId="10762" xr:uid="{063F2087-A5D0-438F-A51C-FCA71F4915DD}"/>
    <cellStyle name="Normal 9 2 2 2 2 7" xfId="2660" xr:uid="{00000000-0005-0000-0000-0000941E0000}"/>
    <cellStyle name="Normal 9 2 2 2 2 7 2" xfId="6943" xr:uid="{00000000-0005-0000-0000-0000951E0000}"/>
    <cellStyle name="Normal 9 2 2 2 2 7 2 2" xfId="15393" xr:uid="{5BB0EFED-F381-41FE-99DB-7E282AB8E56A}"/>
    <cellStyle name="Normal 9 2 2 2 2 7 3" xfId="11175" xr:uid="{17D24A85-74DD-4BA6-A409-7CA4BA37ACBB}"/>
    <cellStyle name="Normal 9 2 2 2 2 8" xfId="4878" xr:uid="{00000000-0005-0000-0000-0000961E0000}"/>
    <cellStyle name="Normal 9 2 2 2 2 8 2" xfId="13328" xr:uid="{3FD2FE9A-CFC1-4B4F-8A3A-17DBCFFD9CA1}"/>
    <cellStyle name="Normal 9 2 2 2 2 9" xfId="9110" xr:uid="{C777D0FC-DAAE-452C-B312-23F78FF36C31}"/>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7CF008AA-8C9C-475C-B8AB-ABE49778CD77}"/>
    <cellStyle name="Normal 9 2 2 2 3 2 2 3" xfId="11670" xr:uid="{5967AC02-BFE6-41C3-883F-3BBE8F753281}"/>
    <cellStyle name="Normal 9 2 2 2 3 2 3" xfId="5293" xr:uid="{00000000-0005-0000-0000-00009B1E0000}"/>
    <cellStyle name="Normal 9 2 2 2 3 2 3 2" xfId="13743" xr:uid="{12AC917A-834A-4BBD-919C-361D9EFE9735}"/>
    <cellStyle name="Normal 9 2 2 2 3 2 4" xfId="9525" xr:uid="{44B438F8-9B57-4342-A042-FCB65F41AF57}"/>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D0118831-6B74-40CF-964E-D8C4904125AA}"/>
    <cellStyle name="Normal 9 2 2 2 3 3 2 3" xfId="12083" xr:uid="{0575AA92-69E1-4108-AF48-952EF0FFA19E}"/>
    <cellStyle name="Normal 9 2 2 2 3 3 3" xfId="5706" xr:uid="{00000000-0005-0000-0000-00009F1E0000}"/>
    <cellStyle name="Normal 9 2 2 2 3 3 3 2" xfId="14156" xr:uid="{81B3341A-B2BC-400D-B34D-C3366999F15B}"/>
    <cellStyle name="Normal 9 2 2 2 3 3 4" xfId="9938" xr:uid="{119AAD62-FE8E-4BA0-912F-BB1A1A1EDBAD}"/>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6E4EE27A-167E-4B3C-A120-50F2E1D8F3BE}"/>
    <cellStyle name="Normal 9 2 2 2 3 4 2 3" xfId="12496" xr:uid="{D68BB3D4-92CA-4219-9FC2-498D413B5455}"/>
    <cellStyle name="Normal 9 2 2 2 3 4 3" xfId="6119" xr:uid="{00000000-0005-0000-0000-0000A31E0000}"/>
    <cellStyle name="Normal 9 2 2 2 3 4 3 2" xfId="14569" xr:uid="{A1989C60-820E-4A46-8AC3-C595CE1822C3}"/>
    <cellStyle name="Normal 9 2 2 2 3 4 4" xfId="10351" xr:uid="{89093D4E-A052-49CB-9D65-3685C037D54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E9671D06-A813-4950-92E9-8B8D5E0FFC2B}"/>
    <cellStyle name="Normal 9 2 2 2 3 5 2 3" xfId="12909" xr:uid="{8BD378F1-E79C-4777-B5BC-5369EF0A8AC8}"/>
    <cellStyle name="Normal 9 2 2 2 3 5 3" xfId="6532" xr:uid="{00000000-0005-0000-0000-0000A71E0000}"/>
    <cellStyle name="Normal 9 2 2 2 3 5 3 2" xfId="14982" xr:uid="{5D10C4D4-C804-4447-B823-68A8913EFFD4}"/>
    <cellStyle name="Normal 9 2 2 2 3 5 4" xfId="10764" xr:uid="{1C6355B5-9388-41BA-962C-1F1C65F3B13E}"/>
    <cellStyle name="Normal 9 2 2 2 3 6" xfId="2662" xr:uid="{00000000-0005-0000-0000-0000A81E0000}"/>
    <cellStyle name="Normal 9 2 2 2 3 6 2" xfId="6945" xr:uid="{00000000-0005-0000-0000-0000A91E0000}"/>
    <cellStyle name="Normal 9 2 2 2 3 6 2 2" xfId="15395" xr:uid="{E510404D-DFF5-4148-B704-D0C34C8AD990}"/>
    <cellStyle name="Normal 9 2 2 2 3 6 3" xfId="11177" xr:uid="{F177CAB0-9893-4C5E-B2DA-A4A9B26484D4}"/>
    <cellStyle name="Normal 9 2 2 2 3 7" xfId="4880" xr:uid="{00000000-0005-0000-0000-0000AA1E0000}"/>
    <cellStyle name="Normal 9 2 2 2 3 7 2" xfId="13330" xr:uid="{9BA9FFB1-D557-4919-8E18-64C76E6BA288}"/>
    <cellStyle name="Normal 9 2 2 2 3 8" xfId="9112" xr:uid="{6F19DEB2-CE27-4E41-B558-4E165EFF45BA}"/>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1EF5FE2D-2B09-4F7B-A556-5D76D167959F}"/>
    <cellStyle name="Normal 9 2 2 2 4 2 3" xfId="11667" xr:uid="{E8A81DB3-925D-4382-B88E-290D25806534}"/>
    <cellStyle name="Normal 9 2 2 2 4 3" xfId="5290" xr:uid="{00000000-0005-0000-0000-0000AE1E0000}"/>
    <cellStyle name="Normal 9 2 2 2 4 3 2" xfId="13740" xr:uid="{113668BA-4CE1-40FA-B1C6-A9C8C5109635}"/>
    <cellStyle name="Normal 9 2 2 2 4 4" xfId="9522" xr:uid="{5B454B4B-5A2D-4F52-BDDD-18C35B148C87}"/>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24EB98E5-38FA-4938-8F30-22D9DDD3CBE2}"/>
    <cellStyle name="Normal 9 2 2 2 5 2 3" xfId="12080" xr:uid="{7DE7433C-FA87-4143-9D98-1D73BA52BA3B}"/>
    <cellStyle name="Normal 9 2 2 2 5 3" xfId="5703" xr:uid="{00000000-0005-0000-0000-0000B21E0000}"/>
    <cellStyle name="Normal 9 2 2 2 5 3 2" xfId="14153" xr:uid="{C7940EDC-930C-4C61-AC84-D9244F7BE3C1}"/>
    <cellStyle name="Normal 9 2 2 2 5 4" xfId="9935" xr:uid="{B9E294C9-8BF3-41A5-85D4-C22908DC2C52}"/>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A691CCF8-F1FC-449A-BFAC-15FC65AAA604}"/>
    <cellStyle name="Normal 9 2 2 2 6 2 3" xfId="12493" xr:uid="{6DBFE1F0-855C-4BF1-9521-450FD4ED2122}"/>
    <cellStyle name="Normal 9 2 2 2 6 3" xfId="6116" xr:uid="{00000000-0005-0000-0000-0000B61E0000}"/>
    <cellStyle name="Normal 9 2 2 2 6 3 2" xfId="14566" xr:uid="{07FB3267-2330-4B07-878C-5ABBF985E0C4}"/>
    <cellStyle name="Normal 9 2 2 2 6 4" xfId="10348" xr:uid="{10B07262-6D69-4714-9599-5FA5F868655F}"/>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AE3E2EF9-84E2-4CF2-9C21-3C2D3C1D82C9}"/>
    <cellStyle name="Normal 9 2 2 2 7 2 3" xfId="12906" xr:uid="{4F31CF26-4FB8-4FA8-9B50-A6D8F9F23BBA}"/>
    <cellStyle name="Normal 9 2 2 2 7 3" xfId="6529" xr:uid="{00000000-0005-0000-0000-0000BA1E0000}"/>
    <cellStyle name="Normal 9 2 2 2 7 3 2" xfId="14979" xr:uid="{B159BA11-7645-4178-896D-CECBEBB49250}"/>
    <cellStyle name="Normal 9 2 2 2 7 4" xfId="10761" xr:uid="{042C07A8-EE7C-4484-95D3-3E91FEC0ED56}"/>
    <cellStyle name="Normal 9 2 2 2 8" xfId="2659" xr:uid="{00000000-0005-0000-0000-0000BB1E0000}"/>
    <cellStyle name="Normal 9 2 2 2 8 2" xfId="6942" xr:uid="{00000000-0005-0000-0000-0000BC1E0000}"/>
    <cellStyle name="Normal 9 2 2 2 8 2 2" xfId="15392" xr:uid="{6E2CE1F4-BCD5-431D-95D5-70951887E9AB}"/>
    <cellStyle name="Normal 9 2 2 2 8 3" xfId="11174" xr:uid="{9B792F17-41CB-43A9-AB77-02E26B18EA7A}"/>
    <cellStyle name="Normal 9 2 2 2 9" xfId="4877" xr:uid="{00000000-0005-0000-0000-0000BD1E0000}"/>
    <cellStyle name="Normal 9 2 2 2 9 2" xfId="13327" xr:uid="{658B7A16-B7C0-43B2-A0E1-502F7777EE6D}"/>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08602BD0-D364-482D-BD8E-5D82A522F4E3}"/>
    <cellStyle name="Normal 9 2 2 3 2 2 2 3" xfId="11672" xr:uid="{5A130088-C31B-4BB4-9928-7B204115F869}"/>
    <cellStyle name="Normal 9 2 2 3 2 2 3" xfId="5295" xr:uid="{00000000-0005-0000-0000-0000C31E0000}"/>
    <cellStyle name="Normal 9 2 2 3 2 2 3 2" xfId="13745" xr:uid="{9F635695-5DF8-44AE-BB03-3401240D733A}"/>
    <cellStyle name="Normal 9 2 2 3 2 2 4" xfId="9527" xr:uid="{DB5F2C10-1994-49C9-9DC9-ED87EAEF5F14}"/>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D1B66A27-F833-4513-BCB0-FEB66BBD97F4}"/>
    <cellStyle name="Normal 9 2 2 3 2 3 2 3" xfId="12085" xr:uid="{A25A797D-52F3-41BF-8834-CF3D4BFC639E}"/>
    <cellStyle name="Normal 9 2 2 3 2 3 3" xfId="5708" xr:uid="{00000000-0005-0000-0000-0000C71E0000}"/>
    <cellStyle name="Normal 9 2 2 3 2 3 3 2" xfId="14158" xr:uid="{46DA5932-C12B-453B-8E47-1B5CC3C536AD}"/>
    <cellStyle name="Normal 9 2 2 3 2 3 4" xfId="9940" xr:uid="{2624A7D5-F462-432E-A77F-C851A6CFCA34}"/>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BA25526C-1C08-4A1C-AA9B-64030605DC6F}"/>
    <cellStyle name="Normal 9 2 2 3 2 4 2 3" xfId="12498" xr:uid="{E30972C4-E537-461D-B9EF-3639EB00CEE1}"/>
    <cellStyle name="Normal 9 2 2 3 2 4 3" xfId="6121" xr:uid="{00000000-0005-0000-0000-0000CB1E0000}"/>
    <cellStyle name="Normal 9 2 2 3 2 4 3 2" xfId="14571" xr:uid="{95CCABE8-E329-46C8-BA53-F910AC747E54}"/>
    <cellStyle name="Normal 9 2 2 3 2 4 4" xfId="10353" xr:uid="{E4C77820-FFDC-46BF-993E-928CF8674BB4}"/>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785A6830-03C3-4056-B808-CB7598F29396}"/>
    <cellStyle name="Normal 9 2 2 3 2 5 2 3" xfId="12911" xr:uid="{144ADA29-7AE1-49E0-AAE9-DA6DF8DE03CB}"/>
    <cellStyle name="Normal 9 2 2 3 2 5 3" xfId="6534" xr:uid="{00000000-0005-0000-0000-0000CF1E0000}"/>
    <cellStyle name="Normal 9 2 2 3 2 5 3 2" xfId="14984" xr:uid="{8A0481AD-A7D5-47D6-8C5C-D30566A37AD2}"/>
    <cellStyle name="Normal 9 2 2 3 2 5 4" xfId="10766" xr:uid="{83B0ED65-3D28-4355-A804-416441BB09CC}"/>
    <cellStyle name="Normal 9 2 2 3 2 6" xfId="2664" xr:uid="{00000000-0005-0000-0000-0000D01E0000}"/>
    <cellStyle name="Normal 9 2 2 3 2 6 2" xfId="6947" xr:uid="{00000000-0005-0000-0000-0000D11E0000}"/>
    <cellStyle name="Normal 9 2 2 3 2 6 2 2" xfId="15397" xr:uid="{97DBFB5E-707F-4661-9B2E-93458381F531}"/>
    <cellStyle name="Normal 9 2 2 3 2 6 3" xfId="11179" xr:uid="{175FE3E0-5D61-425D-9FE7-D4072C98243E}"/>
    <cellStyle name="Normal 9 2 2 3 2 7" xfId="4882" xr:uid="{00000000-0005-0000-0000-0000D21E0000}"/>
    <cellStyle name="Normal 9 2 2 3 2 7 2" xfId="13332" xr:uid="{58FD4636-9A69-4E0D-B0F3-6DF35AB1E69B}"/>
    <cellStyle name="Normal 9 2 2 3 2 8" xfId="9114" xr:uid="{AFD498EC-0F02-4EE2-9999-BD9E0A37058D}"/>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04614A9D-B6F9-4713-9B99-8C1269A199E8}"/>
    <cellStyle name="Normal 9 2 2 3 3 2 3" xfId="11671" xr:uid="{538F56F7-60E4-4870-906A-CE19C2F52C74}"/>
    <cellStyle name="Normal 9 2 2 3 3 3" xfId="5294" xr:uid="{00000000-0005-0000-0000-0000D61E0000}"/>
    <cellStyle name="Normal 9 2 2 3 3 3 2" xfId="13744" xr:uid="{EF05615E-CF8E-437A-9F72-768B18FFD4B2}"/>
    <cellStyle name="Normal 9 2 2 3 3 4" xfId="9526" xr:uid="{E069D02B-4585-442B-961F-CED1DA74269E}"/>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D361CB08-6EBE-49AB-ACFF-B335BCFB7C3C}"/>
    <cellStyle name="Normal 9 2 2 3 4 2 3" xfId="12084" xr:uid="{1B3666CE-3050-4798-8FC0-3E3136285DEE}"/>
    <cellStyle name="Normal 9 2 2 3 4 3" xfId="5707" xr:uid="{00000000-0005-0000-0000-0000DA1E0000}"/>
    <cellStyle name="Normal 9 2 2 3 4 3 2" xfId="14157" xr:uid="{B37829E4-6956-4314-94E1-F4AD29CB5DE8}"/>
    <cellStyle name="Normal 9 2 2 3 4 4" xfId="9939" xr:uid="{3920C5E5-B751-4040-B0AA-DA1E7C074CDB}"/>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DB2F7162-0B7B-4B2A-8B9D-3D9EF9097D9E}"/>
    <cellStyle name="Normal 9 2 2 3 5 2 3" xfId="12497" xr:uid="{22B59EAA-CD2B-4FA5-8AC7-8A6DA39A9BB4}"/>
    <cellStyle name="Normal 9 2 2 3 5 3" xfId="6120" xr:uid="{00000000-0005-0000-0000-0000DE1E0000}"/>
    <cellStyle name="Normal 9 2 2 3 5 3 2" xfId="14570" xr:uid="{CEEA68F0-C36F-46C3-A045-79EA250274A6}"/>
    <cellStyle name="Normal 9 2 2 3 5 4" xfId="10352" xr:uid="{EAB96F8B-54B0-475C-822B-5FE51CE1D907}"/>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AF4A5B19-2623-4093-802F-4A9D3F0BE865}"/>
    <cellStyle name="Normal 9 2 2 3 6 2 3" xfId="12910" xr:uid="{B5800A12-5E7D-4D95-B456-08295BAF5638}"/>
    <cellStyle name="Normal 9 2 2 3 6 3" xfId="6533" xr:uid="{00000000-0005-0000-0000-0000E21E0000}"/>
    <cellStyle name="Normal 9 2 2 3 6 3 2" xfId="14983" xr:uid="{D2A44482-FF0A-4C4D-8FBF-8DB2A3685DC9}"/>
    <cellStyle name="Normal 9 2 2 3 6 4" xfId="10765" xr:uid="{7E075AF3-DE84-49F8-AD59-809ABB4B6C78}"/>
    <cellStyle name="Normal 9 2 2 3 7" xfId="2663" xr:uid="{00000000-0005-0000-0000-0000E31E0000}"/>
    <cellStyle name="Normal 9 2 2 3 7 2" xfId="6946" xr:uid="{00000000-0005-0000-0000-0000E41E0000}"/>
    <cellStyle name="Normal 9 2 2 3 7 2 2" xfId="15396" xr:uid="{A29D4501-7862-4A23-B850-0B9A4D407952}"/>
    <cellStyle name="Normal 9 2 2 3 7 3" xfId="11178" xr:uid="{BE11BD68-1F00-494D-B389-63F8EF36AB62}"/>
    <cellStyle name="Normal 9 2 2 3 8" xfId="4881" xr:uid="{00000000-0005-0000-0000-0000E51E0000}"/>
    <cellStyle name="Normal 9 2 2 3 8 2" xfId="13331" xr:uid="{B671F076-67A2-4404-8A90-1FC7F69B0D53}"/>
    <cellStyle name="Normal 9 2 2 3 9" xfId="9113" xr:uid="{D60AB8D3-9B54-4175-89FF-37EBA562C20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FC711272-E470-416B-982D-087702DEDC7E}"/>
    <cellStyle name="Normal 9 2 2 4 2 2 3" xfId="11673" xr:uid="{62F3BEF0-B800-46E3-9719-B60D93413945}"/>
    <cellStyle name="Normal 9 2 2 4 2 3" xfId="5296" xr:uid="{00000000-0005-0000-0000-0000EA1E0000}"/>
    <cellStyle name="Normal 9 2 2 4 2 3 2" xfId="13746" xr:uid="{AF22EE4E-4D88-4009-A2AB-32FA7BE3AFB5}"/>
    <cellStyle name="Normal 9 2 2 4 2 4" xfId="9528" xr:uid="{4335F205-97B2-4C47-8A7E-F21B31AD152D}"/>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E07195B9-BAAD-460D-B0E6-CBCBA49E20B4}"/>
    <cellStyle name="Normal 9 2 2 4 3 2 3" xfId="12086" xr:uid="{27747828-3357-4DF4-A794-EF36CABE15ED}"/>
    <cellStyle name="Normal 9 2 2 4 3 3" xfId="5709" xr:uid="{00000000-0005-0000-0000-0000EE1E0000}"/>
    <cellStyle name="Normal 9 2 2 4 3 3 2" xfId="14159" xr:uid="{36965FF6-18E0-4E7C-ACB8-DCC8E621D150}"/>
    <cellStyle name="Normal 9 2 2 4 3 4" xfId="9941" xr:uid="{01D420D5-D760-4C96-8CD5-3C3F27EE9A8E}"/>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366A4793-8D47-4AFD-A54B-6F0CD807FD79}"/>
    <cellStyle name="Normal 9 2 2 4 4 2 3" xfId="12499" xr:uid="{D3C3B51B-F85B-4537-86FE-B9EBD436AEA5}"/>
    <cellStyle name="Normal 9 2 2 4 4 3" xfId="6122" xr:uid="{00000000-0005-0000-0000-0000F21E0000}"/>
    <cellStyle name="Normal 9 2 2 4 4 3 2" xfId="14572" xr:uid="{BDAA1623-CDDA-4B66-856E-C3CAC9DAC714}"/>
    <cellStyle name="Normal 9 2 2 4 4 4" xfId="10354" xr:uid="{9A341EE2-1292-4FB7-9C7D-B9E60ADEF9C0}"/>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AE1771F1-806F-4700-A825-67A22E78A57C}"/>
    <cellStyle name="Normal 9 2 2 4 5 2 3" xfId="12912" xr:uid="{4BD8355D-05F2-4E46-B947-C4709C1C4209}"/>
    <cellStyle name="Normal 9 2 2 4 5 3" xfId="6535" xr:uid="{00000000-0005-0000-0000-0000F61E0000}"/>
    <cellStyle name="Normal 9 2 2 4 5 3 2" xfId="14985" xr:uid="{3019FF8C-6FAA-40C6-AAE3-1946F0BAC1D7}"/>
    <cellStyle name="Normal 9 2 2 4 5 4" xfId="10767" xr:uid="{5319D662-FC24-4589-9631-15B7450F7B31}"/>
    <cellStyle name="Normal 9 2 2 4 6" xfId="2665" xr:uid="{00000000-0005-0000-0000-0000F71E0000}"/>
    <cellStyle name="Normal 9 2 2 4 6 2" xfId="6948" xr:uid="{00000000-0005-0000-0000-0000F81E0000}"/>
    <cellStyle name="Normal 9 2 2 4 6 2 2" xfId="15398" xr:uid="{229C44C1-F0DF-4D22-9C67-583041FF25F9}"/>
    <cellStyle name="Normal 9 2 2 4 6 3" xfId="11180" xr:uid="{718D9CCA-3D03-4C5E-97C0-A41F4853264C}"/>
    <cellStyle name="Normal 9 2 2 4 7" xfId="4883" xr:uid="{00000000-0005-0000-0000-0000F91E0000}"/>
    <cellStyle name="Normal 9 2 2 4 7 2" xfId="13333" xr:uid="{22EE231C-FEB1-4761-8C06-D85681453C35}"/>
    <cellStyle name="Normal 9 2 2 4 8" xfId="9115" xr:uid="{50F1E6FD-F4D9-497C-A602-1A3FCDFBB92D}"/>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C1BC55BF-B93F-4A8F-A96C-1B2B5AD9D52E}"/>
    <cellStyle name="Normal 9 2 2 5 2 3" xfId="11666" xr:uid="{08C6740C-DDFA-45B9-A5C8-5BA9153BD5F7}"/>
    <cellStyle name="Normal 9 2 2 5 3" xfId="5289" xr:uid="{00000000-0005-0000-0000-0000FD1E0000}"/>
    <cellStyle name="Normal 9 2 2 5 3 2" xfId="13739" xr:uid="{82A4A471-E0CD-48B6-BCED-60FCBF8A92C3}"/>
    <cellStyle name="Normal 9 2 2 5 4" xfId="9521" xr:uid="{266728DB-5659-415A-9EBE-426EAA2ABC9F}"/>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78EFB985-9473-4F72-A3CB-BCFD09CDC4B2}"/>
    <cellStyle name="Normal 9 2 2 6 2 3" xfId="12079" xr:uid="{25B3DD48-BE8F-4EC4-B397-14B3ABE8A9B7}"/>
    <cellStyle name="Normal 9 2 2 6 3" xfId="5702" xr:uid="{00000000-0005-0000-0000-0000011F0000}"/>
    <cellStyle name="Normal 9 2 2 6 3 2" xfId="14152" xr:uid="{70F7ED59-3DFE-4975-9E79-FC43F8C7DD3B}"/>
    <cellStyle name="Normal 9 2 2 6 4" xfId="9934" xr:uid="{B4885508-5EE3-472F-80DD-B30F1D7AF866}"/>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D98E5755-4491-4FE6-A7FE-C6F88EC7C690}"/>
    <cellStyle name="Normal 9 2 2 7 2 3" xfId="12492" xr:uid="{11CDC11E-CD98-4301-8817-F959B2935297}"/>
    <cellStyle name="Normal 9 2 2 7 3" xfId="6115" xr:uid="{00000000-0005-0000-0000-0000051F0000}"/>
    <cellStyle name="Normal 9 2 2 7 3 2" xfId="14565" xr:uid="{B896E161-FF64-4381-B1C8-84D9417365AF}"/>
    <cellStyle name="Normal 9 2 2 7 4" xfId="10347" xr:uid="{E8BB8B32-5120-4DD5-BE47-A6C78D595E34}"/>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BEBA3551-AB2F-4BC6-8AF6-7A917155F2B3}"/>
    <cellStyle name="Normal 9 2 2 8 2 3" xfId="12905" xr:uid="{FDD96D57-A57B-4B99-9666-C7B0ED47F208}"/>
    <cellStyle name="Normal 9 2 2 8 3" xfId="6528" xr:uid="{00000000-0005-0000-0000-0000091F0000}"/>
    <cellStyle name="Normal 9 2 2 8 3 2" xfId="14978" xr:uid="{BFEB6BC7-88D4-4F0C-8E8D-74E1C05190A3}"/>
    <cellStyle name="Normal 9 2 2 8 4" xfId="10760" xr:uid="{40F1F984-22FF-4376-92C5-FC9CE11E13EC}"/>
    <cellStyle name="Normal 9 2 2 9" xfId="2658" xr:uid="{00000000-0005-0000-0000-00000A1F0000}"/>
    <cellStyle name="Normal 9 2 2 9 2" xfId="6941" xr:uid="{00000000-0005-0000-0000-00000B1F0000}"/>
    <cellStyle name="Normal 9 2 2 9 2 2" xfId="15391" xr:uid="{3F53FFF6-BDF8-4890-8519-89D25B17667C}"/>
    <cellStyle name="Normal 9 2 2 9 3" xfId="11173" xr:uid="{FDB86E2B-95F2-4C6C-9990-6342101A8EEB}"/>
    <cellStyle name="Normal 9 2 3" xfId="520" xr:uid="{00000000-0005-0000-0000-00000C1F0000}"/>
    <cellStyle name="Normal 9 2 3 10" xfId="9116" xr:uid="{082D4DB8-7200-4A56-8F74-984ADF124DB5}"/>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45DA61C1-BD94-4925-A17B-90F3222E3FB7}"/>
    <cellStyle name="Normal 9 2 3 2 2 2 2 3" xfId="11676" xr:uid="{5D2FE620-0A79-45E8-90C5-BD320267FCC2}"/>
    <cellStyle name="Normal 9 2 3 2 2 2 3" xfId="5299" xr:uid="{00000000-0005-0000-0000-0000121F0000}"/>
    <cellStyle name="Normal 9 2 3 2 2 2 3 2" xfId="13749" xr:uid="{76A9E78C-B543-480E-A083-F8F4A17DE60B}"/>
    <cellStyle name="Normal 9 2 3 2 2 2 4" xfId="9531" xr:uid="{F17CA42C-ED38-4382-8866-4884F864BC6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2504032E-A760-46E8-8321-E23FEE1C269A}"/>
    <cellStyle name="Normal 9 2 3 2 2 3 2 3" xfId="12089" xr:uid="{6F8BF553-C2F3-486B-98A1-4115FCDF2CF7}"/>
    <cellStyle name="Normal 9 2 3 2 2 3 3" xfId="5712" xr:uid="{00000000-0005-0000-0000-0000161F0000}"/>
    <cellStyle name="Normal 9 2 3 2 2 3 3 2" xfId="14162" xr:uid="{7917677C-256E-4D79-B8E7-88F6F7D94D66}"/>
    <cellStyle name="Normal 9 2 3 2 2 3 4" xfId="9944" xr:uid="{8735DA6C-29B8-4352-A566-BA6215157157}"/>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FDC7CE8F-7196-4937-815E-A45FA3A293E2}"/>
    <cellStyle name="Normal 9 2 3 2 2 4 2 3" xfId="12502" xr:uid="{93226FAB-BFEC-4488-809A-904099A29029}"/>
    <cellStyle name="Normal 9 2 3 2 2 4 3" xfId="6125" xr:uid="{00000000-0005-0000-0000-00001A1F0000}"/>
    <cellStyle name="Normal 9 2 3 2 2 4 3 2" xfId="14575" xr:uid="{164A1F14-F811-491D-8919-ED4F2FE7E4CC}"/>
    <cellStyle name="Normal 9 2 3 2 2 4 4" xfId="10357" xr:uid="{518C4AD6-FE6D-49F7-9C51-9C3BA3740CB4}"/>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5D638B4F-90BC-4BAF-AD03-E7BDCDFA1C37}"/>
    <cellStyle name="Normal 9 2 3 2 2 5 2 3" xfId="12915" xr:uid="{A97F81E7-93F5-467F-A85F-CC0C39A90341}"/>
    <cellStyle name="Normal 9 2 3 2 2 5 3" xfId="6538" xr:uid="{00000000-0005-0000-0000-00001E1F0000}"/>
    <cellStyle name="Normal 9 2 3 2 2 5 3 2" xfId="14988" xr:uid="{0E4DD888-9C4C-4C54-8CDD-EAAD2F959EAF}"/>
    <cellStyle name="Normal 9 2 3 2 2 5 4" xfId="10770" xr:uid="{67A5DBD0-55C5-4F83-B165-581A9039869C}"/>
    <cellStyle name="Normal 9 2 3 2 2 6" xfId="2668" xr:uid="{00000000-0005-0000-0000-00001F1F0000}"/>
    <cellStyle name="Normal 9 2 3 2 2 6 2" xfId="6951" xr:uid="{00000000-0005-0000-0000-0000201F0000}"/>
    <cellStyle name="Normal 9 2 3 2 2 6 2 2" xfId="15401" xr:uid="{DBBF1F84-3E6F-4B4C-AE5F-9C07165E771B}"/>
    <cellStyle name="Normal 9 2 3 2 2 6 3" xfId="11183" xr:uid="{01C267C6-B21E-415E-8E91-FE7CE2BE62B5}"/>
    <cellStyle name="Normal 9 2 3 2 2 7" xfId="4886" xr:uid="{00000000-0005-0000-0000-0000211F0000}"/>
    <cellStyle name="Normal 9 2 3 2 2 7 2" xfId="13336" xr:uid="{5C2E8A41-8B9C-4C82-9CA2-6525B42E51BD}"/>
    <cellStyle name="Normal 9 2 3 2 2 8" xfId="9118" xr:uid="{BAC855B5-E642-44D8-B1EB-9997D4E74AAB}"/>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5E5A9547-A79C-4C3A-8113-9F2D45043874}"/>
    <cellStyle name="Normal 9 2 3 2 3 2 3" xfId="11675" xr:uid="{FC1162E8-61DE-468A-89E5-D034703B3379}"/>
    <cellStyle name="Normal 9 2 3 2 3 3" xfId="5298" xr:uid="{00000000-0005-0000-0000-0000251F0000}"/>
    <cellStyle name="Normal 9 2 3 2 3 3 2" xfId="13748" xr:uid="{8226352D-0842-4D0F-90C6-81B4758A53CA}"/>
    <cellStyle name="Normal 9 2 3 2 3 4" xfId="9530" xr:uid="{7FF84809-F819-4DD5-97B3-F044AE6E1F26}"/>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8E3C6504-1C56-4709-B941-2FC58F873827}"/>
    <cellStyle name="Normal 9 2 3 2 4 2 3" xfId="12088" xr:uid="{EC927AC3-B762-4068-97B4-E67E50889158}"/>
    <cellStyle name="Normal 9 2 3 2 4 3" xfId="5711" xr:uid="{00000000-0005-0000-0000-0000291F0000}"/>
    <cellStyle name="Normal 9 2 3 2 4 3 2" xfId="14161" xr:uid="{B7591077-DB74-424E-AA2F-14BB71FEA540}"/>
    <cellStyle name="Normal 9 2 3 2 4 4" xfId="9943" xr:uid="{7C2212DF-CEA8-4EC3-80D7-099BC476589F}"/>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D22FA477-17FD-42A3-A026-3D899C2B2EB7}"/>
    <cellStyle name="Normal 9 2 3 2 5 2 3" xfId="12501" xr:uid="{07048B01-9272-490C-9399-6040F2FFA3ED}"/>
    <cellStyle name="Normal 9 2 3 2 5 3" xfId="6124" xr:uid="{00000000-0005-0000-0000-00002D1F0000}"/>
    <cellStyle name="Normal 9 2 3 2 5 3 2" xfId="14574" xr:uid="{15D6FC7C-5DA3-4036-8C4B-943C3D172215}"/>
    <cellStyle name="Normal 9 2 3 2 5 4" xfId="10356" xr:uid="{A9C11C2B-3E4E-48AC-BBC5-E2E90101762D}"/>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30AC4171-2509-4B29-98DE-CE5A19E43691}"/>
    <cellStyle name="Normal 9 2 3 2 6 2 3" xfId="12914" xr:uid="{D184C15D-4875-49A5-93D5-D98B8F0CE61B}"/>
    <cellStyle name="Normal 9 2 3 2 6 3" xfId="6537" xr:uid="{00000000-0005-0000-0000-0000311F0000}"/>
    <cellStyle name="Normal 9 2 3 2 6 3 2" xfId="14987" xr:uid="{BDCFC3CC-26A5-4D19-9CB8-FA81FBFF99C6}"/>
    <cellStyle name="Normal 9 2 3 2 6 4" xfId="10769" xr:uid="{CAD751C5-EF15-460B-B3B5-217125783F26}"/>
    <cellStyle name="Normal 9 2 3 2 7" xfId="2667" xr:uid="{00000000-0005-0000-0000-0000321F0000}"/>
    <cellStyle name="Normal 9 2 3 2 7 2" xfId="6950" xr:uid="{00000000-0005-0000-0000-0000331F0000}"/>
    <cellStyle name="Normal 9 2 3 2 7 2 2" xfId="15400" xr:uid="{E5B12ACC-1CF9-46CC-A3B0-393DF3D57DED}"/>
    <cellStyle name="Normal 9 2 3 2 7 3" xfId="11182" xr:uid="{02AB3C07-5445-48FB-81C5-E7FDFF8B5B27}"/>
    <cellStyle name="Normal 9 2 3 2 8" xfId="4885" xr:uid="{00000000-0005-0000-0000-0000341F0000}"/>
    <cellStyle name="Normal 9 2 3 2 8 2" xfId="13335" xr:uid="{D35DB706-C1D2-4343-B58A-A52167C58436}"/>
    <cellStyle name="Normal 9 2 3 2 9" xfId="9117" xr:uid="{2CA3C555-8392-4102-882F-43DB5C82C40D}"/>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AD89DE10-3762-4441-B2D3-E33F33C0B40C}"/>
    <cellStyle name="Normal 9 2 3 3 2 2 3" xfId="11677" xr:uid="{6E79222C-F8BE-40C0-8005-F12D1FF73705}"/>
    <cellStyle name="Normal 9 2 3 3 2 3" xfId="5300" xr:uid="{00000000-0005-0000-0000-0000391F0000}"/>
    <cellStyle name="Normal 9 2 3 3 2 3 2" xfId="13750" xr:uid="{662B7785-E28A-4024-9B37-2AD24B13DF31}"/>
    <cellStyle name="Normal 9 2 3 3 2 4" xfId="9532" xr:uid="{9268B7E9-6FCC-45CD-8F05-1FBA740B071C}"/>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24016E9B-F7BA-4DB4-9ACF-DB975788E809}"/>
    <cellStyle name="Normal 9 2 3 3 3 2 3" xfId="12090" xr:uid="{4F1FBFC9-9675-4762-868A-63525E4D7C96}"/>
    <cellStyle name="Normal 9 2 3 3 3 3" xfId="5713" xr:uid="{00000000-0005-0000-0000-00003D1F0000}"/>
    <cellStyle name="Normal 9 2 3 3 3 3 2" xfId="14163" xr:uid="{2D143A93-39CA-4D0E-BC67-F3FF52D18263}"/>
    <cellStyle name="Normal 9 2 3 3 3 4" xfId="9945" xr:uid="{CF60FB5D-56C9-43F7-8875-BBBE136D023E}"/>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E5A75AFD-BE9D-48F9-9609-3F86F409DB48}"/>
    <cellStyle name="Normal 9 2 3 3 4 2 3" xfId="12503" xr:uid="{35C0FF62-086B-4721-B721-6F17EF7C5491}"/>
    <cellStyle name="Normal 9 2 3 3 4 3" xfId="6126" xr:uid="{00000000-0005-0000-0000-0000411F0000}"/>
    <cellStyle name="Normal 9 2 3 3 4 3 2" xfId="14576" xr:uid="{7F5AF933-1BF1-4096-AA8D-C882035B5F4F}"/>
    <cellStyle name="Normal 9 2 3 3 4 4" xfId="10358" xr:uid="{9E5ED4D5-6BF5-4124-96FD-16AE9731339C}"/>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0D68EEE2-BF0F-4AD0-AAFE-39D023CFF0ED}"/>
    <cellStyle name="Normal 9 2 3 3 5 2 3" xfId="12916" xr:uid="{02AADBA6-ECE0-43F2-8B8F-F83D5F755C58}"/>
    <cellStyle name="Normal 9 2 3 3 5 3" xfId="6539" xr:uid="{00000000-0005-0000-0000-0000451F0000}"/>
    <cellStyle name="Normal 9 2 3 3 5 3 2" xfId="14989" xr:uid="{4CF166C4-364C-478A-B87F-1E689EE9727E}"/>
    <cellStyle name="Normal 9 2 3 3 5 4" xfId="10771" xr:uid="{035815BC-B1DC-495B-BCF3-D8F154B62F07}"/>
    <cellStyle name="Normal 9 2 3 3 6" xfId="2669" xr:uid="{00000000-0005-0000-0000-0000461F0000}"/>
    <cellStyle name="Normal 9 2 3 3 6 2" xfId="6952" xr:uid="{00000000-0005-0000-0000-0000471F0000}"/>
    <cellStyle name="Normal 9 2 3 3 6 2 2" xfId="15402" xr:uid="{6562EEBE-C015-4C65-92E0-910B2A309233}"/>
    <cellStyle name="Normal 9 2 3 3 6 3" xfId="11184" xr:uid="{FBE22C5C-4E6B-42CF-928F-B11CB3292123}"/>
    <cellStyle name="Normal 9 2 3 3 7" xfId="4887" xr:uid="{00000000-0005-0000-0000-0000481F0000}"/>
    <cellStyle name="Normal 9 2 3 3 7 2" xfId="13337" xr:uid="{9D9444D3-996C-4EBA-9B87-5938F7F88BED}"/>
    <cellStyle name="Normal 9 2 3 3 8" xfId="9119" xr:uid="{EDA8D650-C48D-4389-8A95-7D9EE22397C9}"/>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6A62C8E6-A2C1-4223-930B-9610B4AB1A3A}"/>
    <cellStyle name="Normal 9 2 3 4 2 3" xfId="11674" xr:uid="{C56B2F54-CDD5-4C70-92E7-CDBFCB9E6548}"/>
    <cellStyle name="Normal 9 2 3 4 3" xfId="5297" xr:uid="{00000000-0005-0000-0000-00004C1F0000}"/>
    <cellStyle name="Normal 9 2 3 4 3 2" xfId="13747" xr:uid="{9F799635-E104-41D2-8CF6-F0E6250E82FB}"/>
    <cellStyle name="Normal 9 2 3 4 4" xfId="9529" xr:uid="{9BE9F2A5-0947-486D-9898-444BF2C733E6}"/>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871E4672-1375-4967-943B-AE9751494B09}"/>
    <cellStyle name="Normal 9 2 3 5 2 3" xfId="12087" xr:uid="{B3317BB1-C985-43E9-AE18-C890E2C9FF23}"/>
    <cellStyle name="Normal 9 2 3 5 3" xfId="5710" xr:uid="{00000000-0005-0000-0000-0000501F0000}"/>
    <cellStyle name="Normal 9 2 3 5 3 2" xfId="14160" xr:uid="{CCB65DE6-4000-4107-90F3-EAE7B5EC49BE}"/>
    <cellStyle name="Normal 9 2 3 5 4" xfId="9942" xr:uid="{867AC138-3DBE-4F1F-B0F6-E0F8D99169ED}"/>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4A51F666-39F3-4CA3-924E-776875376EC3}"/>
    <cellStyle name="Normal 9 2 3 6 2 3" xfId="12500" xr:uid="{CEF7DF45-A662-48A2-8D31-611BDAD4C31F}"/>
    <cellStyle name="Normal 9 2 3 6 3" xfId="6123" xr:uid="{00000000-0005-0000-0000-0000541F0000}"/>
    <cellStyle name="Normal 9 2 3 6 3 2" xfId="14573" xr:uid="{0FEDFCB4-B589-4E14-8169-32844C8B2E6D}"/>
    <cellStyle name="Normal 9 2 3 6 4" xfId="10355" xr:uid="{F838184E-A203-4DB8-B92C-8E5DF5D28C97}"/>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6F1EDDA6-8B42-4EE2-96D8-D7F0D25320C6}"/>
    <cellStyle name="Normal 9 2 3 7 2 3" xfId="12913" xr:uid="{6C703C04-5BBA-49FD-9C62-B8E4EDA32FFB}"/>
    <cellStyle name="Normal 9 2 3 7 3" xfId="6536" xr:uid="{00000000-0005-0000-0000-0000581F0000}"/>
    <cellStyle name="Normal 9 2 3 7 3 2" xfId="14986" xr:uid="{CE00A538-1812-422C-B023-8A9F4F8E9F31}"/>
    <cellStyle name="Normal 9 2 3 7 4" xfId="10768" xr:uid="{63B290AD-BBDB-44B7-BA25-8ED64669AF1D}"/>
    <cellStyle name="Normal 9 2 3 8" xfId="2666" xr:uid="{00000000-0005-0000-0000-0000591F0000}"/>
    <cellStyle name="Normal 9 2 3 8 2" xfId="6949" xr:uid="{00000000-0005-0000-0000-00005A1F0000}"/>
    <cellStyle name="Normal 9 2 3 8 2 2" xfId="15399" xr:uid="{4FB48B8E-164F-4D25-9412-85326D3FF551}"/>
    <cellStyle name="Normal 9 2 3 8 3" xfId="11181" xr:uid="{5185E8CA-E564-4953-8036-AE16939410BD}"/>
    <cellStyle name="Normal 9 2 3 9" xfId="4884" xr:uid="{00000000-0005-0000-0000-00005B1F0000}"/>
    <cellStyle name="Normal 9 2 3 9 2" xfId="13334" xr:uid="{607CD0B3-EA4B-45CE-9330-5F1BF1343887}"/>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84CE1DAE-71CB-4E41-ABFC-82F14FFEB672}"/>
    <cellStyle name="Normal 9 2 4 2 2 2 3" xfId="11679" xr:uid="{D639C87E-A774-48A4-9285-135AC2D79D48}"/>
    <cellStyle name="Normal 9 2 4 2 2 3" xfId="5302" xr:uid="{00000000-0005-0000-0000-0000611F0000}"/>
    <cellStyle name="Normal 9 2 4 2 2 3 2" xfId="13752" xr:uid="{1A9ECAA9-E16D-4B89-972E-E5DED7B5BD5D}"/>
    <cellStyle name="Normal 9 2 4 2 2 4" xfId="9534" xr:uid="{15B53DCA-F2F4-4BBA-BDB5-1593D5363372}"/>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F223ACC3-18E4-446D-9B4E-71144C4687E5}"/>
    <cellStyle name="Normal 9 2 4 2 3 2 3" xfId="12092" xr:uid="{4C0CA993-2365-4DA9-866B-BAD1F4B9D2A6}"/>
    <cellStyle name="Normal 9 2 4 2 3 3" xfId="5715" xr:uid="{00000000-0005-0000-0000-0000651F0000}"/>
    <cellStyle name="Normal 9 2 4 2 3 3 2" xfId="14165" xr:uid="{AEE3D0C0-B524-466D-874E-B9EB4A05425B}"/>
    <cellStyle name="Normal 9 2 4 2 3 4" xfId="9947" xr:uid="{73246EE4-559B-4794-AAB0-B90434048482}"/>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F925CF86-6796-4968-B86B-3A8140CBFE5A}"/>
    <cellStyle name="Normal 9 2 4 2 4 2 3" xfId="12505" xr:uid="{45CA65E0-0642-4C96-B121-AD858C1B790F}"/>
    <cellStyle name="Normal 9 2 4 2 4 3" xfId="6128" xr:uid="{00000000-0005-0000-0000-0000691F0000}"/>
    <cellStyle name="Normal 9 2 4 2 4 3 2" xfId="14578" xr:uid="{42032CA2-6799-464A-92DF-19E7CDC77DFA}"/>
    <cellStyle name="Normal 9 2 4 2 4 4" xfId="10360" xr:uid="{0CCEB2D2-3173-4449-9C25-0D44B701B55A}"/>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8FE469CE-6E9E-4BA7-BA0C-F263DE2A315E}"/>
    <cellStyle name="Normal 9 2 4 2 5 2 3" xfId="12918" xr:uid="{DAF53ADF-02D0-464C-B54E-38C46B2797F9}"/>
    <cellStyle name="Normal 9 2 4 2 5 3" xfId="6541" xr:uid="{00000000-0005-0000-0000-00006D1F0000}"/>
    <cellStyle name="Normal 9 2 4 2 5 3 2" xfId="14991" xr:uid="{27532606-5007-4D67-9893-AE4C5E5E081F}"/>
    <cellStyle name="Normal 9 2 4 2 5 4" xfId="10773" xr:uid="{029F41E9-0037-417E-BEAA-1D42600AA554}"/>
    <cellStyle name="Normal 9 2 4 2 6" xfId="2671" xr:uid="{00000000-0005-0000-0000-00006E1F0000}"/>
    <cellStyle name="Normal 9 2 4 2 6 2" xfId="6954" xr:uid="{00000000-0005-0000-0000-00006F1F0000}"/>
    <cellStyle name="Normal 9 2 4 2 6 2 2" xfId="15404" xr:uid="{690663F7-2D9D-4CB1-BD06-76415FFD1E79}"/>
    <cellStyle name="Normal 9 2 4 2 6 3" xfId="11186" xr:uid="{FF2733CA-25BA-4743-A971-0908D59E5638}"/>
    <cellStyle name="Normal 9 2 4 2 7" xfId="4889" xr:uid="{00000000-0005-0000-0000-0000701F0000}"/>
    <cellStyle name="Normal 9 2 4 2 7 2" xfId="13339" xr:uid="{37D8C297-C7C5-440D-AF6D-1F99C51F9493}"/>
    <cellStyle name="Normal 9 2 4 2 8" xfId="9121" xr:uid="{7F5B9023-4878-4320-8D01-E6A8AF907BBA}"/>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1D032AC1-173D-41AB-8145-C8D8DFFA9BB9}"/>
    <cellStyle name="Normal 9 2 4 3 2 3" xfId="11678" xr:uid="{4D373824-3013-4E07-8CC0-716803E74001}"/>
    <cellStyle name="Normal 9 2 4 3 3" xfId="5301" xr:uid="{00000000-0005-0000-0000-0000741F0000}"/>
    <cellStyle name="Normal 9 2 4 3 3 2" xfId="13751" xr:uid="{6D6BC9E7-0F9A-422B-8C00-E0444396FC85}"/>
    <cellStyle name="Normal 9 2 4 3 4" xfId="9533" xr:uid="{0124723B-9D87-459C-BD16-AE650E124D56}"/>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A5BF6FFA-1EED-45B6-9478-B02C39C74869}"/>
    <cellStyle name="Normal 9 2 4 4 2 3" xfId="12091" xr:uid="{BDE7F181-AFB4-4085-8F1F-4C27E901ABD4}"/>
    <cellStyle name="Normal 9 2 4 4 3" xfId="5714" xr:uid="{00000000-0005-0000-0000-0000781F0000}"/>
    <cellStyle name="Normal 9 2 4 4 3 2" xfId="14164" xr:uid="{3939950E-E8A8-474A-B5A7-6267F0C59EB7}"/>
    <cellStyle name="Normal 9 2 4 4 4" xfId="9946" xr:uid="{5AE63724-F6DB-42C4-946C-FE93779CFED6}"/>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802F05D8-ABF7-4698-9FD1-582E38BBF658}"/>
    <cellStyle name="Normal 9 2 4 5 2 3" xfId="12504" xr:uid="{1A6662D8-D8A4-410F-9D4E-D3DBC0EA678B}"/>
    <cellStyle name="Normal 9 2 4 5 3" xfId="6127" xr:uid="{00000000-0005-0000-0000-00007C1F0000}"/>
    <cellStyle name="Normal 9 2 4 5 3 2" xfId="14577" xr:uid="{D0E0723D-C480-41F6-B027-B42882072D93}"/>
    <cellStyle name="Normal 9 2 4 5 4" xfId="10359" xr:uid="{954C9D78-DB78-4203-A1AA-2CBD35FBF978}"/>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9A1D0069-4555-4DBF-BAC7-8A21572CAD1C}"/>
    <cellStyle name="Normal 9 2 4 6 2 3" xfId="12917" xr:uid="{5AEC99DB-F167-4054-B373-010111F42D22}"/>
    <cellStyle name="Normal 9 2 4 6 3" xfId="6540" xr:uid="{00000000-0005-0000-0000-0000801F0000}"/>
    <cellStyle name="Normal 9 2 4 6 3 2" xfId="14990" xr:uid="{4E4BE44D-C6B5-438E-BADE-97486F2BC960}"/>
    <cellStyle name="Normal 9 2 4 6 4" xfId="10772" xr:uid="{7E8004FB-9AE8-49D8-9662-B76D697AAD4F}"/>
    <cellStyle name="Normal 9 2 4 7" xfId="2670" xr:uid="{00000000-0005-0000-0000-0000811F0000}"/>
    <cellStyle name="Normal 9 2 4 7 2" xfId="6953" xr:uid="{00000000-0005-0000-0000-0000821F0000}"/>
    <cellStyle name="Normal 9 2 4 7 2 2" xfId="15403" xr:uid="{4330F139-BCB0-4572-853E-2854D93B2CC9}"/>
    <cellStyle name="Normal 9 2 4 7 3" xfId="11185" xr:uid="{E554D4B0-922F-4FA1-869E-2170378D76A0}"/>
    <cellStyle name="Normal 9 2 4 8" xfId="4888" xr:uid="{00000000-0005-0000-0000-0000831F0000}"/>
    <cellStyle name="Normal 9 2 4 8 2" xfId="13338" xr:uid="{270A5BC4-C4A6-4866-A9A8-C0841A4BCBC8}"/>
    <cellStyle name="Normal 9 2 4 9" xfId="9120" xr:uid="{6DD50548-2FE6-42CA-94CC-5AC77AAC711D}"/>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CDC8F56D-6A81-4C34-AD1F-D97AD6B046DC}"/>
    <cellStyle name="Normal 9 2 5 2 2 3" xfId="11680" xr:uid="{E3F6040D-E23F-4C78-B49C-454B761A3D3D}"/>
    <cellStyle name="Normal 9 2 5 2 3" xfId="5303" xr:uid="{00000000-0005-0000-0000-0000881F0000}"/>
    <cellStyle name="Normal 9 2 5 2 3 2" xfId="13753" xr:uid="{B4522EAA-D7B1-4BDA-A1EE-6B4ADAB83D54}"/>
    <cellStyle name="Normal 9 2 5 2 4" xfId="9535" xr:uid="{523FEABE-C9D0-4943-B353-E1934014C5FD}"/>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B06985C7-6B5B-4A5A-85B5-3CE431D0C98B}"/>
    <cellStyle name="Normal 9 2 5 3 2 3" xfId="12093" xr:uid="{E533F3AA-5B63-462D-85B4-CB63C972ACF3}"/>
    <cellStyle name="Normal 9 2 5 3 3" xfId="5716" xr:uid="{00000000-0005-0000-0000-00008C1F0000}"/>
    <cellStyle name="Normal 9 2 5 3 3 2" xfId="14166" xr:uid="{71B0A17A-903E-4E85-8A04-93D3112A93F7}"/>
    <cellStyle name="Normal 9 2 5 3 4" xfId="9948" xr:uid="{B364B12B-4F41-484E-B0A4-3B9098DE9132}"/>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9BD15452-EAB5-497D-8FEC-AADB11F8AB0C}"/>
    <cellStyle name="Normal 9 2 5 4 2 3" xfId="12506" xr:uid="{6B4A41E1-29C5-45DD-A51E-24C85702C42D}"/>
    <cellStyle name="Normal 9 2 5 4 3" xfId="6129" xr:uid="{00000000-0005-0000-0000-0000901F0000}"/>
    <cellStyle name="Normal 9 2 5 4 3 2" xfId="14579" xr:uid="{10F91462-F883-427E-87B4-C7E45F8D9C31}"/>
    <cellStyle name="Normal 9 2 5 4 4" xfId="10361" xr:uid="{BB9115FD-05C8-463F-B7D0-F2559D7A57F6}"/>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1F527C20-536D-4177-B417-CB5832682C81}"/>
    <cellStyle name="Normal 9 2 5 5 2 3" xfId="12919" xr:uid="{5AE07EE4-F1C4-42DD-B6FC-1D4A0AFB9FA6}"/>
    <cellStyle name="Normal 9 2 5 5 3" xfId="6542" xr:uid="{00000000-0005-0000-0000-0000941F0000}"/>
    <cellStyle name="Normal 9 2 5 5 3 2" xfId="14992" xr:uid="{D3D9EB0D-2612-4645-B1DD-C75E93833B74}"/>
    <cellStyle name="Normal 9 2 5 5 4" xfId="10774" xr:uid="{C1826EAD-2492-401A-93AC-CAC6FF07E4BD}"/>
    <cellStyle name="Normal 9 2 5 6" xfId="2672" xr:uid="{00000000-0005-0000-0000-0000951F0000}"/>
    <cellStyle name="Normal 9 2 5 6 2" xfId="6955" xr:uid="{00000000-0005-0000-0000-0000961F0000}"/>
    <cellStyle name="Normal 9 2 5 6 2 2" xfId="15405" xr:uid="{BBEA9738-024D-4D32-872E-E92DCE80C16D}"/>
    <cellStyle name="Normal 9 2 5 6 3" xfId="11187" xr:uid="{03F7997C-0376-4C57-9776-0194F99013AC}"/>
    <cellStyle name="Normal 9 2 5 7" xfId="4890" xr:uid="{00000000-0005-0000-0000-0000971F0000}"/>
    <cellStyle name="Normal 9 2 5 7 2" xfId="13340" xr:uid="{CF67B9CF-4084-45BE-A9E1-26303684D830}"/>
    <cellStyle name="Normal 9 2 5 8" xfId="9122" xr:uid="{104027EF-F064-41AC-9D5D-4F89D6D08FA4}"/>
    <cellStyle name="Normal 9 2 6" xfId="978" xr:uid="{00000000-0005-0000-0000-0000981F0000}"/>
    <cellStyle name="Normal 9 2 6 2" xfId="3211" xr:uid="{00000000-0005-0000-0000-0000991F0000}"/>
    <cellStyle name="Normal 9 2 6 2 2" xfId="7433" xr:uid="{00000000-0005-0000-0000-00009A1F0000}"/>
    <cellStyle name="Normal 9 2 6 2 2 2" xfId="15883" xr:uid="{519FC27A-9A6D-4AC7-906B-B7FD40EC8417}"/>
    <cellStyle name="Normal 9 2 6 2 3" xfId="11665" xr:uid="{0193F756-9250-487E-8656-E47F1DE2596F}"/>
    <cellStyle name="Normal 9 2 6 3" xfId="5288" xr:uid="{00000000-0005-0000-0000-00009B1F0000}"/>
    <cellStyle name="Normal 9 2 6 3 2" xfId="13738" xr:uid="{60E1E8BE-AB5F-4050-9BBC-647760029BBD}"/>
    <cellStyle name="Normal 9 2 6 4" xfId="9520" xr:uid="{3E765973-C693-4FE2-B643-4D09F9D35616}"/>
    <cellStyle name="Normal 9 2 7" xfId="1394" xr:uid="{00000000-0005-0000-0000-00009C1F0000}"/>
    <cellStyle name="Normal 9 2 7 2" xfId="3624" xr:uid="{00000000-0005-0000-0000-00009D1F0000}"/>
    <cellStyle name="Normal 9 2 7 2 2" xfId="7846" xr:uid="{00000000-0005-0000-0000-00009E1F0000}"/>
    <cellStyle name="Normal 9 2 7 2 2 2" xfId="16296" xr:uid="{9ACFDB89-62EA-489F-A639-F9BEC4FD4B01}"/>
    <cellStyle name="Normal 9 2 7 2 3" xfId="12078" xr:uid="{6BCC0DF7-FDC8-45E8-8A44-0B842E4028EF}"/>
    <cellStyle name="Normal 9 2 7 3" xfId="5701" xr:uid="{00000000-0005-0000-0000-00009F1F0000}"/>
    <cellStyle name="Normal 9 2 7 3 2" xfId="14151" xr:uid="{59BAF686-79CF-4AB8-9026-89ED754910F7}"/>
    <cellStyle name="Normal 9 2 7 4" xfId="9933" xr:uid="{EA23DAFC-548A-4FE4-9D50-A8E56D3E97A8}"/>
    <cellStyle name="Normal 9 2 8" xfId="1807" xr:uid="{00000000-0005-0000-0000-0000A01F0000}"/>
    <cellStyle name="Normal 9 2 8 2" xfId="4037" xr:uid="{00000000-0005-0000-0000-0000A11F0000}"/>
    <cellStyle name="Normal 9 2 8 2 2" xfId="8259" xr:uid="{00000000-0005-0000-0000-0000A21F0000}"/>
    <cellStyle name="Normal 9 2 8 2 2 2" xfId="16709" xr:uid="{FEE845C0-62B2-4E4B-84F1-6949211A13B7}"/>
    <cellStyle name="Normal 9 2 8 2 3" xfId="12491" xr:uid="{A2BA71DF-56BC-473D-B897-C1879A6A67AF}"/>
    <cellStyle name="Normal 9 2 8 3" xfId="6114" xr:uid="{00000000-0005-0000-0000-0000A31F0000}"/>
    <cellStyle name="Normal 9 2 8 3 2" xfId="14564" xr:uid="{1DEADB2D-06D5-4F61-B568-7E2A8D47987F}"/>
    <cellStyle name="Normal 9 2 8 4" xfId="10346" xr:uid="{0BF97FF2-87A4-491E-AE18-C425EAD32995}"/>
    <cellStyle name="Normal 9 2 9" xfId="2221" xr:uid="{00000000-0005-0000-0000-0000A41F0000}"/>
    <cellStyle name="Normal 9 2 9 2" xfId="4450" xr:uid="{00000000-0005-0000-0000-0000A51F0000}"/>
    <cellStyle name="Normal 9 2 9 2 2" xfId="8672" xr:uid="{00000000-0005-0000-0000-0000A61F0000}"/>
    <cellStyle name="Normal 9 2 9 2 2 2" xfId="17122" xr:uid="{3C04177F-BC04-462B-933E-216A45E212EB}"/>
    <cellStyle name="Normal 9 2 9 2 3" xfId="12904" xr:uid="{FF1B2C32-B2C2-4FFB-91F3-E396AAEE2A4C}"/>
    <cellStyle name="Normal 9 2 9 3" xfId="6527" xr:uid="{00000000-0005-0000-0000-0000A71F0000}"/>
    <cellStyle name="Normal 9 2 9 3 2" xfId="14977" xr:uid="{6381AADB-C1AA-46FF-9B7E-4E584CAD9051}"/>
    <cellStyle name="Normal 9 2 9 4" xfId="10759" xr:uid="{80A8F471-F51B-4DE0-81EB-74540FF119D6}"/>
    <cellStyle name="Normal 9 3" xfId="527" xr:uid="{00000000-0005-0000-0000-0000A81F0000}"/>
    <cellStyle name="Normal 9 3 10" xfId="4891" xr:uid="{00000000-0005-0000-0000-0000A91F0000}"/>
    <cellStyle name="Normal 9 3 10 2" xfId="13341" xr:uid="{F153E0CB-DD3F-4E9F-B7C5-8A3298A1922E}"/>
    <cellStyle name="Normal 9 3 11" xfId="9123" xr:uid="{03686DB5-80DC-441F-A9BD-C692C8E97582}"/>
    <cellStyle name="Normal 9 3 2" xfId="528" xr:uid="{00000000-0005-0000-0000-0000AA1F0000}"/>
    <cellStyle name="Normal 9 3 2 10" xfId="9124" xr:uid="{D50D8327-5042-4880-A784-A57FBD6868A6}"/>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021C7DD7-FDA2-4703-94E5-4A838975D094}"/>
    <cellStyle name="Normal 9 3 2 2 2 2 2 3" xfId="11684" xr:uid="{77EC00C4-AE5C-49DA-9429-5C0DBCC9A35B}"/>
    <cellStyle name="Normal 9 3 2 2 2 2 3" xfId="5307" xr:uid="{00000000-0005-0000-0000-0000B01F0000}"/>
    <cellStyle name="Normal 9 3 2 2 2 2 3 2" xfId="13757" xr:uid="{97F3B855-4952-4887-A9BF-6BC99050BEAC}"/>
    <cellStyle name="Normal 9 3 2 2 2 2 4" xfId="9539" xr:uid="{0F228325-9F29-4ABE-9D32-7F5581F6481F}"/>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65F96E8B-78E5-49CD-93DE-9AFA6B70E031}"/>
    <cellStyle name="Normal 9 3 2 2 2 3 2 3" xfId="12097" xr:uid="{254CD1E0-38EB-43D1-8E23-B3D748360CF5}"/>
    <cellStyle name="Normal 9 3 2 2 2 3 3" xfId="5720" xr:uid="{00000000-0005-0000-0000-0000B41F0000}"/>
    <cellStyle name="Normal 9 3 2 2 2 3 3 2" xfId="14170" xr:uid="{BA894090-45BA-4E79-8350-C95B9AC2E309}"/>
    <cellStyle name="Normal 9 3 2 2 2 3 4" xfId="9952" xr:uid="{5F07F917-BBFB-4C88-9AC2-446797B37768}"/>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36C8D8BE-51CB-49CA-BC83-700CB7AF657F}"/>
    <cellStyle name="Normal 9 3 2 2 2 4 2 3" xfId="12510" xr:uid="{E65CF9B0-283A-4C0F-8BA8-B56CE190E290}"/>
    <cellStyle name="Normal 9 3 2 2 2 4 3" xfId="6133" xr:uid="{00000000-0005-0000-0000-0000B81F0000}"/>
    <cellStyle name="Normal 9 3 2 2 2 4 3 2" xfId="14583" xr:uid="{10E32DF4-09E8-4A3B-9502-CBBECBBB8C70}"/>
    <cellStyle name="Normal 9 3 2 2 2 4 4" xfId="10365" xr:uid="{03B28D7B-9CC5-43C8-9EB3-1626CD916ED4}"/>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8F72B023-2E17-4A5C-BC43-2A2B9B25459E}"/>
    <cellStyle name="Normal 9 3 2 2 2 5 2 3" xfId="12923" xr:uid="{B864B225-5B86-4AAC-809A-2FF1AC721016}"/>
    <cellStyle name="Normal 9 3 2 2 2 5 3" xfId="6546" xr:uid="{00000000-0005-0000-0000-0000BC1F0000}"/>
    <cellStyle name="Normal 9 3 2 2 2 5 3 2" xfId="14996" xr:uid="{81B72410-5185-4F5A-B38A-164EE850A104}"/>
    <cellStyle name="Normal 9 3 2 2 2 5 4" xfId="10778" xr:uid="{710298D1-5B29-4F41-9BD4-A05300A01C03}"/>
    <cellStyle name="Normal 9 3 2 2 2 6" xfId="2676" xr:uid="{00000000-0005-0000-0000-0000BD1F0000}"/>
    <cellStyle name="Normal 9 3 2 2 2 6 2" xfId="6959" xr:uid="{00000000-0005-0000-0000-0000BE1F0000}"/>
    <cellStyle name="Normal 9 3 2 2 2 6 2 2" xfId="15409" xr:uid="{334AB04C-FD46-4145-9FB4-AB64CFC341FF}"/>
    <cellStyle name="Normal 9 3 2 2 2 6 3" xfId="11191" xr:uid="{302ECB0B-423F-4DD5-9123-E73511E2DF9E}"/>
    <cellStyle name="Normal 9 3 2 2 2 7" xfId="4894" xr:uid="{00000000-0005-0000-0000-0000BF1F0000}"/>
    <cellStyle name="Normal 9 3 2 2 2 7 2" xfId="13344" xr:uid="{7C462BAC-0572-4053-AAAC-74FD9BB10E5D}"/>
    <cellStyle name="Normal 9 3 2 2 2 8" xfId="9126" xr:uid="{D7652322-9FE4-48AC-9D4B-624E633AB64A}"/>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80102297-3E45-40B8-BF39-04FE08F0FEEF}"/>
    <cellStyle name="Normal 9 3 2 2 3 2 3" xfId="11683" xr:uid="{050C3809-D87A-4EE4-BA40-CD8FCF498046}"/>
    <cellStyle name="Normal 9 3 2 2 3 3" xfId="5306" xr:uid="{00000000-0005-0000-0000-0000C31F0000}"/>
    <cellStyle name="Normal 9 3 2 2 3 3 2" xfId="13756" xr:uid="{4568E853-A2AC-4E1C-8263-2BF5B5C433E1}"/>
    <cellStyle name="Normal 9 3 2 2 3 4" xfId="9538" xr:uid="{782AFAB1-38FC-46BE-A38A-39F1BE7374D6}"/>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834AFC46-2177-4565-BC3E-426216DA924E}"/>
    <cellStyle name="Normal 9 3 2 2 4 2 3" xfId="12096" xr:uid="{29B507BC-EDEA-47F4-8F6C-578B0D94EFA2}"/>
    <cellStyle name="Normal 9 3 2 2 4 3" xfId="5719" xr:uid="{00000000-0005-0000-0000-0000C71F0000}"/>
    <cellStyle name="Normal 9 3 2 2 4 3 2" xfId="14169" xr:uid="{35ED4D48-BDF0-4182-8B70-487C1DF18492}"/>
    <cellStyle name="Normal 9 3 2 2 4 4" xfId="9951" xr:uid="{6C8CA216-2195-45C1-BBB0-0E384CA0E688}"/>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EAD5F0A0-6EB0-4B80-8EC7-7FF23381B6EA}"/>
    <cellStyle name="Normal 9 3 2 2 5 2 3" xfId="12509" xr:uid="{D25F2381-8391-4197-8CC4-0B77BCA749F8}"/>
    <cellStyle name="Normal 9 3 2 2 5 3" xfId="6132" xr:uid="{00000000-0005-0000-0000-0000CB1F0000}"/>
    <cellStyle name="Normal 9 3 2 2 5 3 2" xfId="14582" xr:uid="{20D26C37-52EF-4115-AA95-BAD248AC25AC}"/>
    <cellStyle name="Normal 9 3 2 2 5 4" xfId="10364" xr:uid="{C9561FA6-7A15-4334-ACD8-87C7027FA983}"/>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8211ED1C-7434-4184-A177-A5D27419A384}"/>
    <cellStyle name="Normal 9 3 2 2 6 2 3" xfId="12922" xr:uid="{BDCA6112-B0E2-44AA-BE91-5BAF64CC40F4}"/>
    <cellStyle name="Normal 9 3 2 2 6 3" xfId="6545" xr:uid="{00000000-0005-0000-0000-0000CF1F0000}"/>
    <cellStyle name="Normal 9 3 2 2 6 3 2" xfId="14995" xr:uid="{F631721C-5318-4C46-B91F-E15C4300FB60}"/>
    <cellStyle name="Normal 9 3 2 2 6 4" xfId="10777" xr:uid="{40394A18-9CE3-4013-8B2B-D0ACDCB36832}"/>
    <cellStyle name="Normal 9 3 2 2 7" xfId="2675" xr:uid="{00000000-0005-0000-0000-0000D01F0000}"/>
    <cellStyle name="Normal 9 3 2 2 7 2" xfId="6958" xr:uid="{00000000-0005-0000-0000-0000D11F0000}"/>
    <cellStyle name="Normal 9 3 2 2 7 2 2" xfId="15408" xr:uid="{CCB3296D-9868-434D-96BC-36FD81C74E60}"/>
    <cellStyle name="Normal 9 3 2 2 7 3" xfId="11190" xr:uid="{70F771B6-F83D-4751-B695-6EC7422B67B0}"/>
    <cellStyle name="Normal 9 3 2 2 8" xfId="4893" xr:uid="{00000000-0005-0000-0000-0000D21F0000}"/>
    <cellStyle name="Normal 9 3 2 2 8 2" xfId="13343" xr:uid="{615D8F9F-390D-4E59-9175-39531A0ED3F6}"/>
    <cellStyle name="Normal 9 3 2 2 9" xfId="9125" xr:uid="{278EC142-7A4D-4F68-BB4A-16AF31C642E2}"/>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5CCF0AE6-1592-4CA5-9B45-F4713BF5DCD2}"/>
    <cellStyle name="Normal 9 3 2 3 2 2 3" xfId="11685" xr:uid="{3AA77806-D1A8-48F9-B15E-D025E531A527}"/>
    <cellStyle name="Normal 9 3 2 3 2 3" xfId="5308" xr:uid="{00000000-0005-0000-0000-0000D71F0000}"/>
    <cellStyle name="Normal 9 3 2 3 2 3 2" xfId="13758" xr:uid="{F4880D94-A005-4248-A1F6-C5639A80C925}"/>
    <cellStyle name="Normal 9 3 2 3 2 4" xfId="9540" xr:uid="{2D5FB96E-42C2-4A0A-8E73-9060D50D4AFF}"/>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BE39BC0F-A786-4CD4-B464-EC9152B6F41C}"/>
    <cellStyle name="Normal 9 3 2 3 3 2 3" xfId="12098" xr:uid="{0BDA56C8-4963-46A0-866F-7C10BB9E20A5}"/>
    <cellStyle name="Normal 9 3 2 3 3 3" xfId="5721" xr:uid="{00000000-0005-0000-0000-0000DB1F0000}"/>
    <cellStyle name="Normal 9 3 2 3 3 3 2" xfId="14171" xr:uid="{E90A5E3E-D152-41BF-A6F5-1589552B2277}"/>
    <cellStyle name="Normal 9 3 2 3 3 4" xfId="9953" xr:uid="{3A367AA2-3758-4EEF-A923-CBE646F6DD9C}"/>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FC8CB69F-A527-420F-B30D-99917D6B519B}"/>
    <cellStyle name="Normal 9 3 2 3 4 2 3" xfId="12511" xr:uid="{AF03E142-5BC8-444E-8984-14C15827BE12}"/>
    <cellStyle name="Normal 9 3 2 3 4 3" xfId="6134" xr:uid="{00000000-0005-0000-0000-0000DF1F0000}"/>
    <cellStyle name="Normal 9 3 2 3 4 3 2" xfId="14584" xr:uid="{FECEEB90-4F5D-474A-A0DC-B53BDED6EE78}"/>
    <cellStyle name="Normal 9 3 2 3 4 4" xfId="10366" xr:uid="{38D1FBCF-DDA6-4F33-B9F3-FE14C55A4444}"/>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9C4B69B9-C1D1-448D-8E74-BFBB3552F637}"/>
    <cellStyle name="Normal 9 3 2 3 5 2 3" xfId="12924" xr:uid="{A0E05356-BAE7-4F99-B32A-39413943EC6A}"/>
    <cellStyle name="Normal 9 3 2 3 5 3" xfId="6547" xr:uid="{00000000-0005-0000-0000-0000E31F0000}"/>
    <cellStyle name="Normal 9 3 2 3 5 3 2" xfId="14997" xr:uid="{F1541F33-4F22-4A52-968C-E7E5805D1BE6}"/>
    <cellStyle name="Normal 9 3 2 3 5 4" xfId="10779" xr:uid="{A690CD72-6CFD-41C4-9157-A1976040FF36}"/>
    <cellStyle name="Normal 9 3 2 3 6" xfId="2677" xr:uid="{00000000-0005-0000-0000-0000E41F0000}"/>
    <cellStyle name="Normal 9 3 2 3 6 2" xfId="6960" xr:uid="{00000000-0005-0000-0000-0000E51F0000}"/>
    <cellStyle name="Normal 9 3 2 3 6 2 2" xfId="15410" xr:uid="{EFC31F72-3856-4E81-84EC-712C8DAC79ED}"/>
    <cellStyle name="Normal 9 3 2 3 6 3" xfId="11192" xr:uid="{BD9FB7A9-087E-458E-AAB4-E4C608A76D40}"/>
    <cellStyle name="Normal 9 3 2 3 7" xfId="4895" xr:uid="{00000000-0005-0000-0000-0000E61F0000}"/>
    <cellStyle name="Normal 9 3 2 3 7 2" xfId="13345" xr:uid="{70B2979F-FEAF-4F57-96E9-E29ED61A5F76}"/>
    <cellStyle name="Normal 9 3 2 3 8" xfId="9127" xr:uid="{3402C870-3754-4F82-821B-EDADFFA85094}"/>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8A48C7AC-939C-4D4D-AD29-EA9DDF3CB237}"/>
    <cellStyle name="Normal 9 3 2 4 2 3" xfId="11682" xr:uid="{F32CDFDB-C3E0-4500-A44A-744BD9AC7FE6}"/>
    <cellStyle name="Normal 9 3 2 4 3" xfId="5305" xr:uid="{00000000-0005-0000-0000-0000EA1F0000}"/>
    <cellStyle name="Normal 9 3 2 4 3 2" xfId="13755" xr:uid="{7FFF6099-07BC-44AD-9D96-E86BBB72978C}"/>
    <cellStyle name="Normal 9 3 2 4 4" xfId="9537" xr:uid="{F5A27637-2542-4990-84F3-0FC833B8F3EB}"/>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5AED324F-0C82-43ED-93BE-EB80EB4483F5}"/>
    <cellStyle name="Normal 9 3 2 5 2 3" xfId="12095" xr:uid="{3BA65154-00D2-4099-9596-AEA817C54A18}"/>
    <cellStyle name="Normal 9 3 2 5 3" xfId="5718" xr:uid="{00000000-0005-0000-0000-0000EE1F0000}"/>
    <cellStyle name="Normal 9 3 2 5 3 2" xfId="14168" xr:uid="{E66C624E-3099-40AA-8F62-81CC9B8003BC}"/>
    <cellStyle name="Normal 9 3 2 5 4" xfId="9950" xr:uid="{7B51468A-0E8E-45A6-9245-5FE5595F6A74}"/>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AE2DE74B-58F8-46FF-BCED-819F48B36627}"/>
    <cellStyle name="Normal 9 3 2 6 2 3" xfId="12508" xr:uid="{31ACC3BF-B9CE-4D23-B199-709C79D40F2D}"/>
    <cellStyle name="Normal 9 3 2 6 3" xfId="6131" xr:uid="{00000000-0005-0000-0000-0000F21F0000}"/>
    <cellStyle name="Normal 9 3 2 6 3 2" xfId="14581" xr:uid="{87917B96-C4C7-47CF-A30E-92E39463101B}"/>
    <cellStyle name="Normal 9 3 2 6 4" xfId="10363" xr:uid="{4F523C5E-00BA-43EA-898C-43A0A3956B48}"/>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0EF25395-3E78-4908-B6D8-F1A43DEF3F7F}"/>
    <cellStyle name="Normal 9 3 2 7 2 3" xfId="12921" xr:uid="{8EDB0823-9852-4025-BACF-8ED45F8EF24F}"/>
    <cellStyle name="Normal 9 3 2 7 3" xfId="6544" xr:uid="{00000000-0005-0000-0000-0000F61F0000}"/>
    <cellStyle name="Normal 9 3 2 7 3 2" xfId="14994" xr:uid="{A51379A6-3361-4FEF-9D79-2B44DF3D84EE}"/>
    <cellStyle name="Normal 9 3 2 7 4" xfId="10776" xr:uid="{FAB1C9F7-9855-46DF-99AB-AB870DBF8FA8}"/>
    <cellStyle name="Normal 9 3 2 8" xfId="2674" xr:uid="{00000000-0005-0000-0000-0000F71F0000}"/>
    <cellStyle name="Normal 9 3 2 8 2" xfId="6957" xr:uid="{00000000-0005-0000-0000-0000F81F0000}"/>
    <cellStyle name="Normal 9 3 2 8 2 2" xfId="15407" xr:uid="{441FBD74-66D0-43CC-85CF-EFF809B2AC73}"/>
    <cellStyle name="Normal 9 3 2 8 3" xfId="11189" xr:uid="{D949FB47-FE07-4FEF-A8D8-8EF1903B6CD0}"/>
    <cellStyle name="Normal 9 3 2 9" xfId="4892" xr:uid="{00000000-0005-0000-0000-0000F91F0000}"/>
    <cellStyle name="Normal 9 3 2 9 2" xfId="13342" xr:uid="{8815FB86-A02B-4677-B481-8D70C836D453}"/>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C5C57756-DD45-4455-96AE-7CC9C404692F}"/>
    <cellStyle name="Normal 9 3 3 2 2 2 3" xfId="11687" xr:uid="{81D3D99A-0CEC-4397-85D4-99254C588FCF}"/>
    <cellStyle name="Normal 9 3 3 2 2 3" xfId="5310" xr:uid="{00000000-0005-0000-0000-0000FF1F0000}"/>
    <cellStyle name="Normal 9 3 3 2 2 3 2" xfId="13760" xr:uid="{5D7E8BB3-A3C7-44A2-B493-54ECD5C83287}"/>
    <cellStyle name="Normal 9 3 3 2 2 4" xfId="9542" xr:uid="{2360C05B-65F8-4972-A7BF-06A5F4914AF0}"/>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74A2CB85-1981-413B-91AE-7AE8D01FBB08}"/>
    <cellStyle name="Normal 9 3 3 2 3 2 3" xfId="12100" xr:uid="{9E7B5FEF-080D-446B-969F-C0A5CB278890}"/>
    <cellStyle name="Normal 9 3 3 2 3 3" xfId="5723" xr:uid="{00000000-0005-0000-0000-000003200000}"/>
    <cellStyle name="Normal 9 3 3 2 3 3 2" xfId="14173" xr:uid="{8B5995B4-46B4-4F42-B844-6F571DBA3081}"/>
    <cellStyle name="Normal 9 3 3 2 3 4" xfId="9955" xr:uid="{0D967E6B-65B4-4C8A-9EE7-602E9B684B66}"/>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ADB6450C-A80F-4013-ACEF-4467BB49BA89}"/>
    <cellStyle name="Normal 9 3 3 2 4 2 3" xfId="12513" xr:uid="{D128EE7C-CAC5-41D9-B2C8-CF0357C44042}"/>
    <cellStyle name="Normal 9 3 3 2 4 3" xfId="6136" xr:uid="{00000000-0005-0000-0000-000007200000}"/>
    <cellStyle name="Normal 9 3 3 2 4 3 2" xfId="14586" xr:uid="{5E3DBF65-AD29-4F22-9F97-D3B74E601F4C}"/>
    <cellStyle name="Normal 9 3 3 2 4 4" xfId="10368" xr:uid="{E11927F8-EB39-469C-931C-1F9F57E9F273}"/>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96D7EABB-6C8A-465F-AE70-24EBD2FD59D7}"/>
    <cellStyle name="Normal 9 3 3 2 5 2 3" xfId="12926" xr:uid="{6289C06E-52F1-43CC-AE67-B812B3AD64C4}"/>
    <cellStyle name="Normal 9 3 3 2 5 3" xfId="6549" xr:uid="{00000000-0005-0000-0000-00000B200000}"/>
    <cellStyle name="Normal 9 3 3 2 5 3 2" xfId="14999" xr:uid="{42D7F9D9-582F-435B-992C-8B82F61A56A5}"/>
    <cellStyle name="Normal 9 3 3 2 5 4" xfId="10781" xr:uid="{6BBDEFA0-60E9-4BDB-B843-7C501B639881}"/>
    <cellStyle name="Normal 9 3 3 2 6" xfId="2679" xr:uid="{00000000-0005-0000-0000-00000C200000}"/>
    <cellStyle name="Normal 9 3 3 2 6 2" xfId="6962" xr:uid="{00000000-0005-0000-0000-00000D200000}"/>
    <cellStyle name="Normal 9 3 3 2 6 2 2" xfId="15412" xr:uid="{068BCEC9-01B9-42AA-B2A6-C85051725AB4}"/>
    <cellStyle name="Normal 9 3 3 2 6 3" xfId="11194" xr:uid="{31D65091-0C11-44F4-9D28-10415A982F94}"/>
    <cellStyle name="Normal 9 3 3 2 7" xfId="4897" xr:uid="{00000000-0005-0000-0000-00000E200000}"/>
    <cellStyle name="Normal 9 3 3 2 7 2" xfId="13347" xr:uid="{F0B3F626-9F67-4A67-B34A-49EB077CF699}"/>
    <cellStyle name="Normal 9 3 3 2 8" xfId="9129" xr:uid="{A7FD3A98-08C9-43DD-A028-49DE3E6B14A0}"/>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A1F83E66-48A8-49E5-8EC2-09E7BF222B27}"/>
    <cellStyle name="Normal 9 3 3 3 2 3" xfId="11686" xr:uid="{AEABF499-D2FE-4AF0-BD5F-4EB597293F7C}"/>
    <cellStyle name="Normal 9 3 3 3 3" xfId="5309" xr:uid="{00000000-0005-0000-0000-000012200000}"/>
    <cellStyle name="Normal 9 3 3 3 3 2" xfId="13759" xr:uid="{516C67BD-9854-4E93-8B20-3876A61AA336}"/>
    <cellStyle name="Normal 9 3 3 3 4" xfId="9541" xr:uid="{90A6B933-F658-4B7A-BE25-596594ACC3B9}"/>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0BA59B9C-831F-4228-B55D-00CA97441821}"/>
    <cellStyle name="Normal 9 3 3 4 2 3" xfId="12099" xr:uid="{52230AC9-C734-4B3D-8A6E-DD86BB7FDCEC}"/>
    <cellStyle name="Normal 9 3 3 4 3" xfId="5722" xr:uid="{00000000-0005-0000-0000-000016200000}"/>
    <cellStyle name="Normal 9 3 3 4 3 2" xfId="14172" xr:uid="{7C4A4675-A5CF-4C36-BEC8-7B5D4030EBD1}"/>
    <cellStyle name="Normal 9 3 3 4 4" xfId="9954" xr:uid="{2A64ACD1-CAED-434B-8DD1-512FC3123400}"/>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81F7A2A1-E5A4-4F26-854A-6DF958FCEE23}"/>
    <cellStyle name="Normal 9 3 3 5 2 3" xfId="12512" xr:uid="{EB585F20-FCF4-4552-B71E-5A4D0AECCFA6}"/>
    <cellStyle name="Normal 9 3 3 5 3" xfId="6135" xr:uid="{00000000-0005-0000-0000-00001A200000}"/>
    <cellStyle name="Normal 9 3 3 5 3 2" xfId="14585" xr:uid="{7EF214E7-DBAF-468B-B058-0C84A8B81341}"/>
    <cellStyle name="Normal 9 3 3 5 4" xfId="10367" xr:uid="{39458F18-DA31-4B86-93EB-899B39D312ED}"/>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E1951B46-FFD9-465E-AF02-B5FEDFA2BADF}"/>
    <cellStyle name="Normal 9 3 3 6 2 3" xfId="12925" xr:uid="{300C60FC-2C67-45E0-854D-0BFE781EAB34}"/>
    <cellStyle name="Normal 9 3 3 6 3" xfId="6548" xr:uid="{00000000-0005-0000-0000-00001E200000}"/>
    <cellStyle name="Normal 9 3 3 6 3 2" xfId="14998" xr:uid="{7340E8AC-5770-402D-B4FD-6D497E2FB773}"/>
    <cellStyle name="Normal 9 3 3 6 4" xfId="10780" xr:uid="{DDCD0436-7A35-44D2-BC39-5D6D46DCCB12}"/>
    <cellStyle name="Normal 9 3 3 7" xfId="2678" xr:uid="{00000000-0005-0000-0000-00001F200000}"/>
    <cellStyle name="Normal 9 3 3 7 2" xfId="6961" xr:uid="{00000000-0005-0000-0000-000020200000}"/>
    <cellStyle name="Normal 9 3 3 7 2 2" xfId="15411" xr:uid="{30C54E30-99E6-446D-B700-9A4810BDA978}"/>
    <cellStyle name="Normal 9 3 3 7 3" xfId="11193" xr:uid="{8AA3A823-9954-49C4-814D-C7CAADC4A82D}"/>
    <cellStyle name="Normal 9 3 3 8" xfId="4896" xr:uid="{00000000-0005-0000-0000-000021200000}"/>
    <cellStyle name="Normal 9 3 3 8 2" xfId="13346" xr:uid="{A17759DE-8A5D-4BA2-87F7-7D036E6B1543}"/>
    <cellStyle name="Normal 9 3 3 9" xfId="9128" xr:uid="{BA09B26D-A407-46EF-88A9-648F47B724C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E34B23C0-2402-43B1-A579-1AF492EB02A4}"/>
    <cellStyle name="Normal 9 3 4 2 2 3" xfId="11688" xr:uid="{C453A743-3621-4CDF-9A27-518ACAF40290}"/>
    <cellStyle name="Normal 9 3 4 2 3" xfId="5311" xr:uid="{00000000-0005-0000-0000-000026200000}"/>
    <cellStyle name="Normal 9 3 4 2 3 2" xfId="13761" xr:uid="{2B68FB97-1D62-4C9F-BC5A-E4B2E5A3A50D}"/>
    <cellStyle name="Normal 9 3 4 2 4" xfId="9543" xr:uid="{7A02419B-37A2-4E02-B6E9-32456C6FF644}"/>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ECEC2D93-AEDB-480C-9ED1-B2A46ABA3E23}"/>
    <cellStyle name="Normal 9 3 4 3 2 3" xfId="12101" xr:uid="{2A98CF35-709D-42B9-9B04-AE3970C9BAF3}"/>
    <cellStyle name="Normal 9 3 4 3 3" xfId="5724" xr:uid="{00000000-0005-0000-0000-00002A200000}"/>
    <cellStyle name="Normal 9 3 4 3 3 2" xfId="14174" xr:uid="{4F97312D-0A15-4636-93A2-E7FD9A462D76}"/>
    <cellStyle name="Normal 9 3 4 3 4" xfId="9956" xr:uid="{33BAC23E-307F-47A7-9CF4-49A139305F3B}"/>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4F86E35B-CC0F-4B39-88F1-B9D2A6A64DD5}"/>
    <cellStyle name="Normal 9 3 4 4 2 3" xfId="12514" xr:uid="{4F564196-B2D6-4D93-87AD-0D1938AF5ABE}"/>
    <cellStyle name="Normal 9 3 4 4 3" xfId="6137" xr:uid="{00000000-0005-0000-0000-00002E200000}"/>
    <cellStyle name="Normal 9 3 4 4 3 2" xfId="14587" xr:uid="{DC6297C1-FB0B-4F9E-B084-E43AAEFC8287}"/>
    <cellStyle name="Normal 9 3 4 4 4" xfId="10369" xr:uid="{07F4259B-5A4D-4E50-A016-FEE89E4616A2}"/>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D860D4C8-B471-45F6-8598-F1826A645FC1}"/>
    <cellStyle name="Normal 9 3 4 5 2 3" xfId="12927" xr:uid="{F7B3F0B1-5781-4E8B-9188-F1A31E1CE676}"/>
    <cellStyle name="Normal 9 3 4 5 3" xfId="6550" xr:uid="{00000000-0005-0000-0000-000032200000}"/>
    <cellStyle name="Normal 9 3 4 5 3 2" xfId="15000" xr:uid="{867B7F26-1DD6-4451-AA7E-C368D103EDD3}"/>
    <cellStyle name="Normal 9 3 4 5 4" xfId="10782" xr:uid="{7688D9F7-1720-441D-827D-8FA45B312159}"/>
    <cellStyle name="Normal 9 3 4 6" xfId="2680" xr:uid="{00000000-0005-0000-0000-000033200000}"/>
    <cellStyle name="Normal 9 3 4 6 2" xfId="6963" xr:uid="{00000000-0005-0000-0000-000034200000}"/>
    <cellStyle name="Normal 9 3 4 6 2 2" xfId="15413" xr:uid="{FCDA80A6-805F-4688-94AA-00264A0AE1D4}"/>
    <cellStyle name="Normal 9 3 4 6 3" xfId="11195" xr:uid="{163B73B0-A283-4598-A03A-4AFC1B9C4A5F}"/>
    <cellStyle name="Normal 9 3 4 7" xfId="4898" xr:uid="{00000000-0005-0000-0000-000035200000}"/>
    <cellStyle name="Normal 9 3 4 7 2" xfId="13348" xr:uid="{343402BC-8659-4A19-88B2-FC6CD34B6FBE}"/>
    <cellStyle name="Normal 9 3 4 8" xfId="9130" xr:uid="{5326F9C9-10F9-40F7-B50D-AD6098CC7749}"/>
    <cellStyle name="Normal 9 3 5" xfId="994" xr:uid="{00000000-0005-0000-0000-000036200000}"/>
    <cellStyle name="Normal 9 3 5 2" xfId="3227" xr:uid="{00000000-0005-0000-0000-000037200000}"/>
    <cellStyle name="Normal 9 3 5 2 2" xfId="7449" xr:uid="{00000000-0005-0000-0000-000038200000}"/>
    <cellStyle name="Normal 9 3 5 2 2 2" xfId="15899" xr:uid="{B2802465-7F08-4106-B981-B3BF504159A1}"/>
    <cellStyle name="Normal 9 3 5 2 3" xfId="11681" xr:uid="{DF297CFC-95E5-48F2-966C-5DBBCFA795BA}"/>
    <cellStyle name="Normal 9 3 5 3" xfId="5304" xr:uid="{00000000-0005-0000-0000-000039200000}"/>
    <cellStyle name="Normal 9 3 5 3 2" xfId="13754" xr:uid="{5AAADC41-1398-4AED-B743-016DADC27EEB}"/>
    <cellStyle name="Normal 9 3 5 4" xfId="9536" xr:uid="{984CD9E5-F721-49FE-9342-14F9A45F82D6}"/>
    <cellStyle name="Normal 9 3 6" xfId="1410" xr:uid="{00000000-0005-0000-0000-00003A200000}"/>
    <cellStyle name="Normal 9 3 6 2" xfId="3640" xr:uid="{00000000-0005-0000-0000-00003B200000}"/>
    <cellStyle name="Normal 9 3 6 2 2" xfId="7862" xr:uid="{00000000-0005-0000-0000-00003C200000}"/>
    <cellStyle name="Normal 9 3 6 2 2 2" xfId="16312" xr:uid="{964A612E-F9D5-46F0-B3F2-01FFFEFB14C6}"/>
    <cellStyle name="Normal 9 3 6 2 3" xfId="12094" xr:uid="{AD7F34DB-0B95-401D-A370-B9BC1112353A}"/>
    <cellStyle name="Normal 9 3 6 3" xfId="5717" xr:uid="{00000000-0005-0000-0000-00003D200000}"/>
    <cellStyle name="Normal 9 3 6 3 2" xfId="14167" xr:uid="{F236E420-6F3D-4025-9B22-B0D8CD109B11}"/>
    <cellStyle name="Normal 9 3 6 4" xfId="9949" xr:uid="{99CF85CB-EEFA-4545-BF2D-078C04871EB0}"/>
    <cellStyle name="Normal 9 3 7" xfId="1823" xr:uid="{00000000-0005-0000-0000-00003E200000}"/>
    <cellStyle name="Normal 9 3 7 2" xfId="4053" xr:uid="{00000000-0005-0000-0000-00003F200000}"/>
    <cellStyle name="Normal 9 3 7 2 2" xfId="8275" xr:uid="{00000000-0005-0000-0000-000040200000}"/>
    <cellStyle name="Normal 9 3 7 2 2 2" xfId="16725" xr:uid="{D297DB9D-9DD9-4F72-89E4-FB1B17E19058}"/>
    <cellStyle name="Normal 9 3 7 2 3" xfId="12507" xr:uid="{3FFC15DC-063C-4922-A5A9-DA2FBFDD2CC5}"/>
    <cellStyle name="Normal 9 3 7 3" xfId="6130" xr:uid="{00000000-0005-0000-0000-000041200000}"/>
    <cellStyle name="Normal 9 3 7 3 2" xfId="14580" xr:uid="{49FFB416-9B86-439D-8AAF-E3B5BAC0CB1E}"/>
    <cellStyle name="Normal 9 3 7 4" xfId="10362" xr:uid="{92AC50CD-0F98-41C5-945F-DB39D0C559C0}"/>
    <cellStyle name="Normal 9 3 8" xfId="2237" xr:uid="{00000000-0005-0000-0000-000042200000}"/>
    <cellStyle name="Normal 9 3 8 2" xfId="4466" xr:uid="{00000000-0005-0000-0000-000043200000}"/>
    <cellStyle name="Normal 9 3 8 2 2" xfId="8688" xr:uid="{00000000-0005-0000-0000-000044200000}"/>
    <cellStyle name="Normal 9 3 8 2 2 2" xfId="17138" xr:uid="{58D679D3-8393-491A-A345-440F1071E607}"/>
    <cellStyle name="Normal 9 3 8 2 3" xfId="12920" xr:uid="{64A828E3-A703-46D0-9614-88A67A7556FB}"/>
    <cellStyle name="Normal 9 3 8 3" xfId="6543" xr:uid="{00000000-0005-0000-0000-000045200000}"/>
    <cellStyle name="Normal 9 3 8 3 2" xfId="14993" xr:uid="{A113F01B-F0AD-451F-9D0C-2F1F82984F90}"/>
    <cellStyle name="Normal 9 3 8 4" xfId="10775" xr:uid="{C160377E-7B8D-4D8F-9028-D110C4080CF0}"/>
    <cellStyle name="Normal 9 3 9" xfId="2673" xr:uid="{00000000-0005-0000-0000-000046200000}"/>
    <cellStyle name="Normal 9 3 9 2" xfId="6956" xr:uid="{00000000-0005-0000-0000-000047200000}"/>
    <cellStyle name="Normal 9 3 9 2 2" xfId="15406" xr:uid="{C193910A-7E45-440A-8B93-4EFDA3335982}"/>
    <cellStyle name="Normal 9 3 9 3" xfId="11188" xr:uid="{B4F9DDF3-32A6-4837-A7FA-EDE7BF00C43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2CA671FB-0ECD-41AC-9B9F-9D60C7BE1366}"/>
    <cellStyle name="Normal 9 5 2 2 2 3" xfId="11690" xr:uid="{62FCF9AE-6765-4F9E-9701-0E14D0E314F3}"/>
    <cellStyle name="Normal 9 5 2 2 3" xfId="5313" xr:uid="{00000000-0005-0000-0000-00004F200000}"/>
    <cellStyle name="Normal 9 5 2 2 3 2" xfId="13763" xr:uid="{09382CD1-C5C2-4E0C-8B11-77DF3C7AD385}"/>
    <cellStyle name="Normal 9 5 2 2 4" xfId="9545" xr:uid="{381AE0C3-1EF9-4084-BEA1-F97CC4D6198D}"/>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14399902-3A97-45A6-904B-36CA92E0430A}"/>
    <cellStyle name="Normal 9 5 2 3 2 3" xfId="12103" xr:uid="{166092D0-CC5E-4E4E-8229-BAF31DD62629}"/>
    <cellStyle name="Normal 9 5 2 3 3" xfId="5726" xr:uid="{00000000-0005-0000-0000-000053200000}"/>
    <cellStyle name="Normal 9 5 2 3 3 2" xfId="14176" xr:uid="{3278817C-ABEF-4C65-9CF0-57A061D60883}"/>
    <cellStyle name="Normal 9 5 2 3 4" xfId="9958" xr:uid="{3433BB66-0A49-45A3-AC20-DE59AA7E9401}"/>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9F5753F7-10F0-4F43-827A-08CECA820751}"/>
    <cellStyle name="Normal 9 5 2 4 2 3" xfId="12516" xr:uid="{AC44699C-3A51-49D1-BE09-7C04C39EA2FC}"/>
    <cellStyle name="Normal 9 5 2 4 3" xfId="6139" xr:uid="{00000000-0005-0000-0000-000057200000}"/>
    <cellStyle name="Normal 9 5 2 4 3 2" xfId="14589" xr:uid="{23D62810-F13F-443F-9077-84EC8499A526}"/>
    <cellStyle name="Normal 9 5 2 4 4" xfId="10371" xr:uid="{19670FC6-00B5-44B3-9D7C-F74E5D7D0CA1}"/>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459A5976-662C-4861-97D7-F09A968952D1}"/>
    <cellStyle name="Normal 9 5 2 5 2 3" xfId="12929" xr:uid="{65CDA2D7-DD8D-4F71-B4F6-A8DFB54CA767}"/>
    <cellStyle name="Normal 9 5 2 5 3" xfId="6552" xr:uid="{00000000-0005-0000-0000-00005B200000}"/>
    <cellStyle name="Normal 9 5 2 5 3 2" xfId="15002" xr:uid="{60198729-CE74-4CE3-97ED-D3116569164E}"/>
    <cellStyle name="Normal 9 5 2 5 4" xfId="10784" xr:uid="{40DB7A40-C7FC-4C63-94E6-B3581E7812CE}"/>
    <cellStyle name="Normal 9 5 2 6" xfId="2682" xr:uid="{00000000-0005-0000-0000-00005C200000}"/>
    <cellStyle name="Normal 9 5 2 6 2" xfId="6965" xr:uid="{00000000-0005-0000-0000-00005D200000}"/>
    <cellStyle name="Normal 9 5 2 6 2 2" xfId="15415" xr:uid="{E788FE0F-E7B4-436D-A691-873618EE57BA}"/>
    <cellStyle name="Normal 9 5 2 6 3" xfId="11197" xr:uid="{5429C53B-FD09-4785-A810-60B2BCB32B38}"/>
    <cellStyle name="Normal 9 5 2 7" xfId="4900" xr:uid="{00000000-0005-0000-0000-00005E200000}"/>
    <cellStyle name="Normal 9 5 2 7 2" xfId="13350" xr:uid="{1ED1FE8B-AFD9-47D9-A4ED-D619CCD7A1DF}"/>
    <cellStyle name="Normal 9 5 2 8" xfId="9132" xr:uid="{6870D241-1227-4D3E-AE43-787CACBF6D06}"/>
    <cellStyle name="Normal 9 5 3" xfId="1003" xr:uid="{00000000-0005-0000-0000-00005F200000}"/>
    <cellStyle name="Normal 9 5 3 2" xfId="3235" xr:uid="{00000000-0005-0000-0000-000060200000}"/>
    <cellStyle name="Normal 9 5 3 2 2" xfId="7457" xr:uid="{00000000-0005-0000-0000-000061200000}"/>
    <cellStyle name="Normal 9 5 3 2 2 2" xfId="15907" xr:uid="{55B48E13-8C8F-4BA9-BF22-4A28184FB4BE}"/>
    <cellStyle name="Normal 9 5 3 2 3" xfId="11689" xr:uid="{A7B28FD6-B0EE-4C69-9AF2-6E09A9C76114}"/>
    <cellStyle name="Normal 9 5 3 3" xfId="5312" xr:uid="{00000000-0005-0000-0000-000062200000}"/>
    <cellStyle name="Normal 9 5 3 3 2" xfId="13762" xr:uid="{44522451-738B-4BE5-B69C-43854BB50266}"/>
    <cellStyle name="Normal 9 5 3 4" xfId="9544" xr:uid="{5C4F26ED-0561-4945-9E5F-47D609ACBDEE}"/>
    <cellStyle name="Normal 9 5 4" xfId="1418" xr:uid="{00000000-0005-0000-0000-000063200000}"/>
    <cellStyle name="Normal 9 5 4 2" xfId="3648" xr:uid="{00000000-0005-0000-0000-000064200000}"/>
    <cellStyle name="Normal 9 5 4 2 2" xfId="7870" xr:uid="{00000000-0005-0000-0000-000065200000}"/>
    <cellStyle name="Normal 9 5 4 2 2 2" xfId="16320" xr:uid="{9F9BC4C9-0D88-4A64-BB6B-2F4204AED2FA}"/>
    <cellStyle name="Normal 9 5 4 2 3" xfId="12102" xr:uid="{73DBB61A-B52F-4F0C-948E-6A78A8C0DADB}"/>
    <cellStyle name="Normal 9 5 4 3" xfId="5725" xr:uid="{00000000-0005-0000-0000-000066200000}"/>
    <cellStyle name="Normal 9 5 4 3 2" xfId="14175" xr:uid="{5DD116AC-C977-4668-AC4E-EE0A9E779E5E}"/>
    <cellStyle name="Normal 9 5 4 4" xfId="9957" xr:uid="{7E496F00-03BF-4549-A290-00C71CA3AA37}"/>
    <cellStyle name="Normal 9 5 5" xfId="1831" xr:uid="{00000000-0005-0000-0000-000067200000}"/>
    <cellStyle name="Normal 9 5 5 2" xfId="4061" xr:uid="{00000000-0005-0000-0000-000068200000}"/>
    <cellStyle name="Normal 9 5 5 2 2" xfId="8283" xr:uid="{00000000-0005-0000-0000-000069200000}"/>
    <cellStyle name="Normal 9 5 5 2 2 2" xfId="16733" xr:uid="{F8BE1F10-C13D-45FF-A3A4-8850118A0720}"/>
    <cellStyle name="Normal 9 5 5 2 3" xfId="12515" xr:uid="{995EDAB3-7377-44A5-8AF7-156224EE5D17}"/>
    <cellStyle name="Normal 9 5 5 3" xfId="6138" xr:uid="{00000000-0005-0000-0000-00006A200000}"/>
    <cellStyle name="Normal 9 5 5 3 2" xfId="14588" xr:uid="{B3B75856-378F-4908-8510-AC6974BDB8DA}"/>
    <cellStyle name="Normal 9 5 5 4" xfId="10370" xr:uid="{6265BA0E-0A37-4DE1-875C-064BC4FB9476}"/>
    <cellStyle name="Normal 9 5 6" xfId="2245" xr:uid="{00000000-0005-0000-0000-00006B200000}"/>
    <cellStyle name="Normal 9 5 6 2" xfId="4474" xr:uid="{00000000-0005-0000-0000-00006C200000}"/>
    <cellStyle name="Normal 9 5 6 2 2" xfId="8696" xr:uid="{00000000-0005-0000-0000-00006D200000}"/>
    <cellStyle name="Normal 9 5 6 2 2 2" xfId="17146" xr:uid="{8F072623-509A-49D4-B89D-144D48920B11}"/>
    <cellStyle name="Normal 9 5 6 2 3" xfId="12928" xr:uid="{3986E3BA-CEB9-427D-9432-93F3801B897B}"/>
    <cellStyle name="Normal 9 5 6 3" xfId="6551" xr:uid="{00000000-0005-0000-0000-00006E200000}"/>
    <cellStyle name="Normal 9 5 6 3 2" xfId="15001" xr:uid="{FE3C071B-E51F-4F91-A63F-F69CFE9F4C75}"/>
    <cellStyle name="Normal 9 5 6 4" xfId="10783" xr:uid="{BE7E361B-132F-44EF-BF1E-0D1C370A77B3}"/>
    <cellStyle name="Normal 9 5 7" xfId="2681" xr:uid="{00000000-0005-0000-0000-00006F200000}"/>
    <cellStyle name="Normal 9 5 7 2" xfId="6964" xr:uid="{00000000-0005-0000-0000-000070200000}"/>
    <cellStyle name="Normal 9 5 7 2 2" xfId="15414" xr:uid="{22E354CA-12C8-4674-A06B-66301E9B96BF}"/>
    <cellStyle name="Normal 9 5 7 3" xfId="11196" xr:uid="{396AC0B2-92D6-443E-8AD0-EF2ED65C371A}"/>
    <cellStyle name="Normal 9 5 8" xfId="4899" xr:uid="{00000000-0005-0000-0000-000071200000}"/>
    <cellStyle name="Normal 9 5 8 2" xfId="13349" xr:uid="{3CBBB1E7-8C35-4437-A3FA-7E85C73CF0D3}"/>
    <cellStyle name="Normal 9 5 9" xfId="9131" xr:uid="{55F2ED47-D16A-4A02-82E3-789C2D3088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09" xr:uid="{B1AEAEA7-0B55-47AE-9E93-016912E70F82}"/>
    <cellStyle name="Normal 9 6 2 2 3" xfId="11691" xr:uid="{66B1A92B-02E7-4394-9C06-B002061BBF57}"/>
    <cellStyle name="Normal 9 6 2 3" xfId="5314" xr:uid="{00000000-0005-0000-0000-000076200000}"/>
    <cellStyle name="Normal 9 6 2 3 2" xfId="13764" xr:uid="{5ABCDAD5-24F5-4685-B030-AA8E49941E81}"/>
    <cellStyle name="Normal 9 6 2 4" xfId="9546" xr:uid="{E59FEADF-B8C4-4059-A75F-AE03B9E2EB2B}"/>
    <cellStyle name="Normal 9 6 3" xfId="1420" xr:uid="{00000000-0005-0000-0000-000077200000}"/>
    <cellStyle name="Normal 9 6 3 2" xfId="3650" xr:uid="{00000000-0005-0000-0000-000078200000}"/>
    <cellStyle name="Normal 9 6 3 2 2" xfId="7872" xr:uid="{00000000-0005-0000-0000-000079200000}"/>
    <cellStyle name="Normal 9 6 3 2 2 2" xfId="16322" xr:uid="{0FBFB436-661B-44FF-9C77-558BACC69FFD}"/>
    <cellStyle name="Normal 9 6 3 2 3" xfId="12104" xr:uid="{3E1B5DEF-42C4-4173-A2B0-9973CD1AE7BF}"/>
    <cellStyle name="Normal 9 6 3 3" xfId="5727" xr:uid="{00000000-0005-0000-0000-00007A200000}"/>
    <cellStyle name="Normal 9 6 3 3 2" xfId="14177" xr:uid="{9332D620-104F-447D-B4E4-907EF3DC322D}"/>
    <cellStyle name="Normal 9 6 3 4" xfId="9959" xr:uid="{9EF77826-DB5D-4C59-86E9-FB898C7FC4F7}"/>
    <cellStyle name="Normal 9 6 4" xfId="1833" xr:uid="{00000000-0005-0000-0000-00007B200000}"/>
    <cellStyle name="Normal 9 6 4 2" xfId="4063" xr:uid="{00000000-0005-0000-0000-00007C200000}"/>
    <cellStyle name="Normal 9 6 4 2 2" xfId="8285" xr:uid="{00000000-0005-0000-0000-00007D200000}"/>
    <cellStyle name="Normal 9 6 4 2 2 2" xfId="16735" xr:uid="{6272CABC-2D09-44F2-A5DA-A9A4C0225CEF}"/>
    <cellStyle name="Normal 9 6 4 2 3" xfId="12517" xr:uid="{75EF5236-13B1-4AB1-9D92-EC4E305ED796}"/>
    <cellStyle name="Normal 9 6 4 3" xfId="6140" xr:uid="{00000000-0005-0000-0000-00007E200000}"/>
    <cellStyle name="Normal 9 6 4 3 2" xfId="14590" xr:uid="{694BD849-5B79-46D8-A6D5-618FB5D9F5B1}"/>
    <cellStyle name="Normal 9 6 4 4" xfId="10372" xr:uid="{CB92F3AA-87EE-4F5B-BAAE-047F4909669E}"/>
    <cellStyle name="Normal 9 6 5" xfId="2247" xr:uid="{00000000-0005-0000-0000-00007F200000}"/>
    <cellStyle name="Normal 9 6 5 2" xfId="4476" xr:uid="{00000000-0005-0000-0000-000080200000}"/>
    <cellStyle name="Normal 9 6 5 2 2" xfId="8698" xr:uid="{00000000-0005-0000-0000-000081200000}"/>
    <cellStyle name="Normal 9 6 5 2 2 2" xfId="17148" xr:uid="{FCAE6793-0FB4-450D-919C-0A214FACD98F}"/>
    <cellStyle name="Normal 9 6 5 2 3" xfId="12930" xr:uid="{E5D1C8E3-72EE-4BD5-B784-B38AFC361FF2}"/>
    <cellStyle name="Normal 9 6 5 3" xfId="6553" xr:uid="{00000000-0005-0000-0000-000082200000}"/>
    <cellStyle name="Normal 9 6 5 3 2" xfId="15003" xr:uid="{CF8B05D1-12DD-46A0-BE55-70C23ACC38EE}"/>
    <cellStyle name="Normal 9 6 5 4" xfId="10785" xr:uid="{1BD080AA-552C-4C47-A37F-EBC2CE5FA545}"/>
    <cellStyle name="Normal 9 6 6" xfId="2683" xr:uid="{00000000-0005-0000-0000-000083200000}"/>
    <cellStyle name="Normal 9 6 6 2" xfId="6966" xr:uid="{00000000-0005-0000-0000-000084200000}"/>
    <cellStyle name="Normal 9 6 6 2 2" xfId="15416" xr:uid="{80A32496-E55D-4F92-98A7-616F18C592CF}"/>
    <cellStyle name="Normal 9 6 6 3" xfId="11198" xr:uid="{F3F6CA3C-91D8-41C2-BCF7-A251691ECE5D}"/>
    <cellStyle name="Normal 9 6 7" xfId="4901" xr:uid="{00000000-0005-0000-0000-000085200000}"/>
    <cellStyle name="Normal 9 6 7 2" xfId="13351" xr:uid="{A22EE418-AD51-4436-845B-714D58538351}"/>
    <cellStyle name="Normal 9 6 8" xfId="9133" xr:uid="{2D963D96-FEAD-4CDF-B3B6-D8DF5EF68336}"/>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6744F0E1-4457-40C7-A7B4-37846C46C1E7}"/>
    <cellStyle name="Note 2 2 10 3" xfId="11279" xr:uid="{4D6EC868-FE56-433D-BA1C-F5E321E8C6E6}"/>
    <cellStyle name="Note 2 2 11" xfId="4902" xr:uid="{00000000-0005-0000-0000-000094200000}"/>
    <cellStyle name="Note 2 2 11 2" xfId="13352" xr:uid="{7BEF264F-5698-4270-8437-AD691622D91F}"/>
    <cellStyle name="Note 2 2 12" xfId="9134" xr:uid="{A69CE676-26F6-44D6-8E6A-F6C388425EAF}"/>
    <cellStyle name="Note 2 2 2" xfId="546" xr:uid="{00000000-0005-0000-0000-000095200000}"/>
    <cellStyle name="Note 2 2 2 10" xfId="4903" xr:uid="{00000000-0005-0000-0000-000096200000}"/>
    <cellStyle name="Note 2 2 2 10 2" xfId="13353" xr:uid="{B391AD9F-7CE6-432D-8928-A4111538479E}"/>
    <cellStyle name="Note 2 2 2 11" xfId="9135" xr:uid="{A6764580-6933-4AE3-AA01-F77284F336C2}"/>
    <cellStyle name="Note 2 2 2 2" xfId="547" xr:uid="{00000000-0005-0000-0000-000097200000}"/>
    <cellStyle name="Note 2 2 2 2 10" xfId="9136" xr:uid="{3F96720A-EB6B-48B2-A7E8-F145EB4FC10C}"/>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C86C37B7-FFDA-42F5-ADDE-7F1AB9A130FE}"/>
    <cellStyle name="Note 2 2 2 2 2 2 3" xfId="11694" xr:uid="{6ED90E8A-2946-41D4-BB4F-A53ADAD39A65}"/>
    <cellStyle name="Note 2 2 2 2 2 3" xfId="5317" xr:uid="{00000000-0005-0000-0000-00009B200000}"/>
    <cellStyle name="Note 2 2 2 2 2 3 2" xfId="13767" xr:uid="{96C9F150-7C41-40FA-BBB4-5660A69A68B0}"/>
    <cellStyle name="Note 2 2 2 2 2 4" xfId="9549" xr:uid="{551F80FA-5E63-478F-8FA0-2A4A545EE046}"/>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2C922ACB-CC39-43FE-9C4B-8131D266C9AC}"/>
    <cellStyle name="Note 2 2 2 2 3 2 3" xfId="12107" xr:uid="{C2245A67-EB2D-473B-863E-583780326C64}"/>
    <cellStyle name="Note 2 2 2 2 3 3" xfId="5730" xr:uid="{00000000-0005-0000-0000-00009F200000}"/>
    <cellStyle name="Note 2 2 2 2 3 3 2" xfId="14180" xr:uid="{7799200C-9783-4772-9BDE-83B275C970DD}"/>
    <cellStyle name="Note 2 2 2 2 3 4" xfId="9962" xr:uid="{DEA9DE83-16F0-47F8-9AB0-F907B00FC4F2}"/>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AF5CF329-7FDC-40DB-A1B6-F9FB7D2F8205}"/>
    <cellStyle name="Note 2 2 2 2 4 2 3" xfId="12520" xr:uid="{8AAEF2AF-D113-468B-A7EE-AC66A42FED50}"/>
    <cellStyle name="Note 2 2 2 2 4 3" xfId="6143" xr:uid="{00000000-0005-0000-0000-0000A3200000}"/>
    <cellStyle name="Note 2 2 2 2 4 3 2" xfId="14593" xr:uid="{160F04C5-0A02-4AB9-9263-F0DFD3740F8D}"/>
    <cellStyle name="Note 2 2 2 2 4 4" xfId="10375" xr:uid="{B69CCC8E-878D-4BA4-82B9-370D7E50CE52}"/>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2B9AE65F-0B4E-48FA-9266-5DBAECB2A598}"/>
    <cellStyle name="Note 2 2 2 2 5 2 3" xfId="12933" xr:uid="{A693F726-7D1E-448A-A71C-DBBDDD368D03}"/>
    <cellStyle name="Note 2 2 2 2 5 3" xfId="6556" xr:uid="{00000000-0005-0000-0000-0000A7200000}"/>
    <cellStyle name="Note 2 2 2 2 5 3 2" xfId="15006" xr:uid="{1205FF84-C087-45D2-96CC-71542A9F59BF}"/>
    <cellStyle name="Note 2 2 2 2 5 4" xfId="10788" xr:uid="{5219D832-B04D-4A0B-A8EF-0A1BBC51082C}"/>
    <cellStyle name="Note 2 2 2 2 6" xfId="2686" xr:uid="{00000000-0005-0000-0000-0000A8200000}"/>
    <cellStyle name="Note 2 2 2 2 6 2" xfId="6969" xr:uid="{00000000-0005-0000-0000-0000A9200000}"/>
    <cellStyle name="Note 2 2 2 2 6 2 2" xfId="15419" xr:uid="{C5421927-3731-49F9-A33D-ED1B9B617F91}"/>
    <cellStyle name="Note 2 2 2 2 6 3" xfId="11201" xr:uid="{55CE3EE8-4132-4B53-84E7-5ACAE7D2060C}"/>
    <cellStyle name="Note 2 2 2 2 7" xfId="2745" xr:uid="{00000000-0005-0000-0000-0000AA200000}"/>
    <cellStyle name="Note 2 2 2 2 8" xfId="2826" xr:uid="{00000000-0005-0000-0000-0000AB200000}"/>
    <cellStyle name="Note 2 2 2 2 8 2" xfId="7049" xr:uid="{00000000-0005-0000-0000-0000AC200000}"/>
    <cellStyle name="Note 2 2 2 2 8 2 2" xfId="15499" xr:uid="{7CF87F44-97E1-4757-B957-592A26344AE1}"/>
    <cellStyle name="Note 2 2 2 2 8 3" xfId="11281" xr:uid="{F210919A-CDC2-4BD1-8864-3FB30480DB4A}"/>
    <cellStyle name="Note 2 2 2 2 9" xfId="4904" xr:uid="{00000000-0005-0000-0000-0000AD200000}"/>
    <cellStyle name="Note 2 2 2 2 9 2" xfId="13354" xr:uid="{96D88CCA-A379-4C36-B025-E20027A6075A}"/>
    <cellStyle name="Note 2 2 2 3" xfId="1007" xr:uid="{00000000-0005-0000-0000-0000AE200000}"/>
    <cellStyle name="Note 2 2 2 3 2" xfId="3239" xr:uid="{00000000-0005-0000-0000-0000AF200000}"/>
    <cellStyle name="Note 2 2 2 3 2 2" xfId="7461" xr:uid="{00000000-0005-0000-0000-0000B0200000}"/>
    <cellStyle name="Note 2 2 2 3 2 2 2" xfId="15911" xr:uid="{64516CE2-BBBC-4BD6-B3EB-76FE9BDDCD38}"/>
    <cellStyle name="Note 2 2 2 3 2 3" xfId="11693" xr:uid="{85DF5236-A502-4EFA-8496-71417DC35945}"/>
    <cellStyle name="Note 2 2 2 3 3" xfId="5316" xr:uid="{00000000-0005-0000-0000-0000B1200000}"/>
    <cellStyle name="Note 2 2 2 3 3 2" xfId="13766" xr:uid="{7A083948-DDBB-49A7-AFAC-746B3C0492B5}"/>
    <cellStyle name="Note 2 2 2 3 4" xfId="9548" xr:uid="{E1E18F24-F90E-4654-BAAB-4A49AF41BCE6}"/>
    <cellStyle name="Note 2 2 2 4" xfId="1422" xr:uid="{00000000-0005-0000-0000-0000B2200000}"/>
    <cellStyle name="Note 2 2 2 4 2" xfId="3652" xr:uid="{00000000-0005-0000-0000-0000B3200000}"/>
    <cellStyle name="Note 2 2 2 4 2 2" xfId="7874" xr:uid="{00000000-0005-0000-0000-0000B4200000}"/>
    <cellStyle name="Note 2 2 2 4 2 2 2" xfId="16324" xr:uid="{C77876F1-8045-4D37-8C08-23DF0D28F98C}"/>
    <cellStyle name="Note 2 2 2 4 2 3" xfId="12106" xr:uid="{F4C6116D-64EB-4ECC-A2EB-AAAD66B5FADE}"/>
    <cellStyle name="Note 2 2 2 4 3" xfId="5729" xr:uid="{00000000-0005-0000-0000-0000B5200000}"/>
    <cellStyle name="Note 2 2 2 4 3 2" xfId="14179" xr:uid="{01BCC670-786C-45E1-9F97-870D156EF1CB}"/>
    <cellStyle name="Note 2 2 2 4 4" xfId="9961" xr:uid="{49A7C41F-23E8-4DDB-8B1C-3F1B68700D46}"/>
    <cellStyle name="Note 2 2 2 5" xfId="1836" xr:uid="{00000000-0005-0000-0000-0000B6200000}"/>
    <cellStyle name="Note 2 2 2 5 2" xfId="4065" xr:uid="{00000000-0005-0000-0000-0000B7200000}"/>
    <cellStyle name="Note 2 2 2 5 2 2" xfId="8287" xr:uid="{00000000-0005-0000-0000-0000B8200000}"/>
    <cellStyle name="Note 2 2 2 5 2 2 2" xfId="16737" xr:uid="{60D14CFC-5CC0-4C06-A5D8-C627650EA53A}"/>
    <cellStyle name="Note 2 2 2 5 2 3" xfId="12519" xr:uid="{5E824DDA-3CB5-43DE-9C5D-5279C9191EAC}"/>
    <cellStyle name="Note 2 2 2 5 3" xfId="6142" xr:uid="{00000000-0005-0000-0000-0000B9200000}"/>
    <cellStyle name="Note 2 2 2 5 3 2" xfId="14592" xr:uid="{15DB0A60-727D-48C3-B98D-C4CC056404EA}"/>
    <cellStyle name="Note 2 2 2 5 4" xfId="10374" xr:uid="{8CCA2B1C-0372-4A50-97CB-2E9B131839B2}"/>
    <cellStyle name="Note 2 2 2 6" xfId="2249" xr:uid="{00000000-0005-0000-0000-0000BA200000}"/>
    <cellStyle name="Note 2 2 2 6 2" xfId="4478" xr:uid="{00000000-0005-0000-0000-0000BB200000}"/>
    <cellStyle name="Note 2 2 2 6 2 2" xfId="8700" xr:uid="{00000000-0005-0000-0000-0000BC200000}"/>
    <cellStyle name="Note 2 2 2 6 2 2 2" xfId="17150" xr:uid="{7B2B9C3D-16BE-4F9E-B7B5-074EF61F10AA}"/>
    <cellStyle name="Note 2 2 2 6 2 3" xfId="12932" xr:uid="{FD595BFC-9810-42DF-BFEA-0B950899E8DF}"/>
    <cellStyle name="Note 2 2 2 6 3" xfId="6555" xr:uid="{00000000-0005-0000-0000-0000BD200000}"/>
    <cellStyle name="Note 2 2 2 6 3 2" xfId="15005" xr:uid="{23DB9A47-68B1-4707-ACB5-46D6777B047B}"/>
    <cellStyle name="Note 2 2 2 6 4" xfId="10787" xr:uid="{7EA5138A-04A0-49C3-83FC-C910663C2F46}"/>
    <cellStyle name="Note 2 2 2 7" xfId="2685" xr:uid="{00000000-0005-0000-0000-0000BE200000}"/>
    <cellStyle name="Note 2 2 2 7 2" xfId="6968" xr:uid="{00000000-0005-0000-0000-0000BF200000}"/>
    <cellStyle name="Note 2 2 2 7 2 2" xfId="15418" xr:uid="{43510C21-A1BF-4F50-B222-8162AFDC2DB8}"/>
    <cellStyle name="Note 2 2 2 7 3" xfId="11200" xr:uid="{482FFC25-47BF-4333-BA9D-CA7ECE65B565}"/>
    <cellStyle name="Note 2 2 2 8" xfId="2744" xr:uid="{00000000-0005-0000-0000-0000C0200000}"/>
    <cellStyle name="Note 2 2 2 9" xfId="2825" xr:uid="{00000000-0005-0000-0000-0000C1200000}"/>
    <cellStyle name="Note 2 2 2 9 2" xfId="7048" xr:uid="{00000000-0005-0000-0000-0000C2200000}"/>
    <cellStyle name="Note 2 2 2 9 2 2" xfId="15498" xr:uid="{DC0C9E09-3DE5-4F05-92CE-5C4F4CB47B44}"/>
    <cellStyle name="Note 2 2 2 9 3" xfId="11280" xr:uid="{424A5894-1274-4AA0-ABAE-1281E1AEB7FB}"/>
    <cellStyle name="Note 2 2 3" xfId="548" xr:uid="{00000000-0005-0000-0000-0000C3200000}"/>
    <cellStyle name="Note 2 2 3 10" xfId="9137" xr:uid="{6B77F69F-74EB-4A13-B2BB-63A276190C6A}"/>
    <cellStyle name="Note 2 2 3 2" xfId="1009" xr:uid="{00000000-0005-0000-0000-0000C4200000}"/>
    <cellStyle name="Note 2 2 3 2 2" xfId="3241" xr:uid="{00000000-0005-0000-0000-0000C5200000}"/>
    <cellStyle name="Note 2 2 3 2 2 2" xfId="7463" xr:uid="{00000000-0005-0000-0000-0000C6200000}"/>
    <cellStyle name="Note 2 2 3 2 2 2 2" xfId="15913" xr:uid="{02A153EF-4F76-41B9-9961-82548B4FE5B4}"/>
    <cellStyle name="Note 2 2 3 2 2 3" xfId="11695" xr:uid="{BFB34EBE-EDD3-4C67-94AC-88B283A4CB97}"/>
    <cellStyle name="Note 2 2 3 2 3" xfId="5318" xr:uid="{00000000-0005-0000-0000-0000C7200000}"/>
    <cellStyle name="Note 2 2 3 2 3 2" xfId="13768" xr:uid="{CFE49051-18E5-4E31-9E85-8238A4143213}"/>
    <cellStyle name="Note 2 2 3 2 4" xfId="9550" xr:uid="{FE42516C-6349-4933-BB96-E25D6F140A36}"/>
    <cellStyle name="Note 2 2 3 3" xfId="1424" xr:uid="{00000000-0005-0000-0000-0000C8200000}"/>
    <cellStyle name="Note 2 2 3 3 2" xfId="3654" xr:uid="{00000000-0005-0000-0000-0000C9200000}"/>
    <cellStyle name="Note 2 2 3 3 2 2" xfId="7876" xr:uid="{00000000-0005-0000-0000-0000CA200000}"/>
    <cellStyle name="Note 2 2 3 3 2 2 2" xfId="16326" xr:uid="{149A5BE1-929C-4C2F-AE94-E063E5AA18D8}"/>
    <cellStyle name="Note 2 2 3 3 2 3" xfId="12108" xr:uid="{1BA4B554-F927-49CC-82FD-6E0E4A354329}"/>
    <cellStyle name="Note 2 2 3 3 3" xfId="5731" xr:uid="{00000000-0005-0000-0000-0000CB200000}"/>
    <cellStyle name="Note 2 2 3 3 3 2" xfId="14181" xr:uid="{54A0B148-EA47-4625-89CF-FD93D7442176}"/>
    <cellStyle name="Note 2 2 3 3 4" xfId="9963" xr:uid="{A95CF9E3-AD14-4959-B662-71AE460656F9}"/>
    <cellStyle name="Note 2 2 3 4" xfId="1838" xr:uid="{00000000-0005-0000-0000-0000CC200000}"/>
    <cellStyle name="Note 2 2 3 4 2" xfId="4067" xr:uid="{00000000-0005-0000-0000-0000CD200000}"/>
    <cellStyle name="Note 2 2 3 4 2 2" xfId="8289" xr:uid="{00000000-0005-0000-0000-0000CE200000}"/>
    <cellStyle name="Note 2 2 3 4 2 2 2" xfId="16739" xr:uid="{41F0C989-ED8A-4B3C-884D-AF657E983705}"/>
    <cellStyle name="Note 2 2 3 4 2 3" xfId="12521" xr:uid="{10BBEC21-84E1-4513-9417-2DC9D68276CC}"/>
    <cellStyle name="Note 2 2 3 4 3" xfId="6144" xr:uid="{00000000-0005-0000-0000-0000CF200000}"/>
    <cellStyle name="Note 2 2 3 4 3 2" xfId="14594" xr:uid="{99E7A3DA-4740-4F26-9879-524928233C7D}"/>
    <cellStyle name="Note 2 2 3 4 4" xfId="10376" xr:uid="{CE9D9ED8-63F5-4587-8EB4-B0523F80BDEF}"/>
    <cellStyle name="Note 2 2 3 5" xfId="2251" xr:uid="{00000000-0005-0000-0000-0000D0200000}"/>
    <cellStyle name="Note 2 2 3 5 2" xfId="4480" xr:uid="{00000000-0005-0000-0000-0000D1200000}"/>
    <cellStyle name="Note 2 2 3 5 2 2" xfId="8702" xr:uid="{00000000-0005-0000-0000-0000D2200000}"/>
    <cellStyle name="Note 2 2 3 5 2 2 2" xfId="17152" xr:uid="{CACCDDDC-70A4-4CE3-9FB7-ED2051653EF4}"/>
    <cellStyle name="Note 2 2 3 5 2 3" xfId="12934" xr:uid="{BD48A0EF-91C2-4332-B9D6-765468D7DE74}"/>
    <cellStyle name="Note 2 2 3 5 3" xfId="6557" xr:uid="{00000000-0005-0000-0000-0000D3200000}"/>
    <cellStyle name="Note 2 2 3 5 3 2" xfId="15007" xr:uid="{240F7341-4103-4AFE-B5A2-E164C4B9FCB1}"/>
    <cellStyle name="Note 2 2 3 5 4" xfId="10789" xr:uid="{2D55F753-6A31-44B7-AFB7-1EE9303A2622}"/>
    <cellStyle name="Note 2 2 3 6" xfId="2687" xr:uid="{00000000-0005-0000-0000-0000D4200000}"/>
    <cellStyle name="Note 2 2 3 6 2" xfId="6970" xr:uid="{00000000-0005-0000-0000-0000D5200000}"/>
    <cellStyle name="Note 2 2 3 6 2 2" xfId="15420" xr:uid="{FD2F8A1F-DE54-4CE0-9935-5C4215351672}"/>
    <cellStyle name="Note 2 2 3 6 3" xfId="11202" xr:uid="{5594C6A5-8665-466D-8922-56DE2BC2AB74}"/>
    <cellStyle name="Note 2 2 3 7" xfId="2746" xr:uid="{00000000-0005-0000-0000-0000D6200000}"/>
    <cellStyle name="Note 2 2 3 8" xfId="2827" xr:uid="{00000000-0005-0000-0000-0000D7200000}"/>
    <cellStyle name="Note 2 2 3 8 2" xfId="7050" xr:uid="{00000000-0005-0000-0000-0000D8200000}"/>
    <cellStyle name="Note 2 2 3 8 2 2" xfId="15500" xr:uid="{7A77CB58-C595-46B2-BE21-BE721785804B}"/>
    <cellStyle name="Note 2 2 3 8 3" xfId="11282" xr:uid="{2BD203A1-65B6-45F1-9754-729AA6CA100F}"/>
    <cellStyle name="Note 2 2 3 9" xfId="4905" xr:uid="{00000000-0005-0000-0000-0000D9200000}"/>
    <cellStyle name="Note 2 2 3 9 2" xfId="13355" xr:uid="{1A4320B2-14B4-4973-9373-43A933FCCD27}"/>
    <cellStyle name="Note 2 2 4" xfId="1006" xr:uid="{00000000-0005-0000-0000-0000DA200000}"/>
    <cellStyle name="Note 2 2 4 2" xfId="3238" xr:uid="{00000000-0005-0000-0000-0000DB200000}"/>
    <cellStyle name="Note 2 2 4 2 2" xfId="7460" xr:uid="{00000000-0005-0000-0000-0000DC200000}"/>
    <cellStyle name="Note 2 2 4 2 2 2" xfId="15910" xr:uid="{E057DF4C-63BF-41E5-A529-7F3F242A51CC}"/>
    <cellStyle name="Note 2 2 4 2 3" xfId="11692" xr:uid="{8D4C8140-185F-4630-85F5-8BF4DC12AE6E}"/>
    <cellStyle name="Note 2 2 4 3" xfId="5315" xr:uid="{00000000-0005-0000-0000-0000DD200000}"/>
    <cellStyle name="Note 2 2 4 3 2" xfId="13765" xr:uid="{0883D8EE-6839-486E-A87E-8CD30E7AB827}"/>
    <cellStyle name="Note 2 2 4 4" xfId="9547" xr:uid="{AC09FACB-B4B0-4E1A-84F8-E81392F78B9B}"/>
    <cellStyle name="Note 2 2 5" xfId="1421" xr:uid="{00000000-0005-0000-0000-0000DE200000}"/>
    <cellStyle name="Note 2 2 5 2" xfId="3651" xr:uid="{00000000-0005-0000-0000-0000DF200000}"/>
    <cellStyle name="Note 2 2 5 2 2" xfId="7873" xr:uid="{00000000-0005-0000-0000-0000E0200000}"/>
    <cellStyle name="Note 2 2 5 2 2 2" xfId="16323" xr:uid="{B006C8C7-9D86-4804-B017-0563A72458A7}"/>
    <cellStyle name="Note 2 2 5 2 3" xfId="12105" xr:uid="{A23EA5D5-7DDB-49B3-91B4-A688D7F4F977}"/>
    <cellStyle name="Note 2 2 5 3" xfId="5728" xr:uid="{00000000-0005-0000-0000-0000E1200000}"/>
    <cellStyle name="Note 2 2 5 3 2" xfId="14178" xr:uid="{4B69276B-E494-4AA9-AEE3-266D8B05774D}"/>
    <cellStyle name="Note 2 2 5 4" xfId="9960" xr:uid="{D25D48A4-EB3C-48CB-9B94-0D8173CB4FA0}"/>
    <cellStyle name="Note 2 2 6" xfId="1835" xr:uid="{00000000-0005-0000-0000-0000E2200000}"/>
    <cellStyle name="Note 2 2 6 2" xfId="4064" xr:uid="{00000000-0005-0000-0000-0000E3200000}"/>
    <cellStyle name="Note 2 2 6 2 2" xfId="8286" xr:uid="{00000000-0005-0000-0000-0000E4200000}"/>
    <cellStyle name="Note 2 2 6 2 2 2" xfId="16736" xr:uid="{1B3342DE-55B1-488B-AD43-3560FFF21B56}"/>
    <cellStyle name="Note 2 2 6 2 3" xfId="12518" xr:uid="{E4070598-77C0-46C4-AD6F-F9D217277A22}"/>
    <cellStyle name="Note 2 2 6 3" xfId="6141" xr:uid="{00000000-0005-0000-0000-0000E5200000}"/>
    <cellStyle name="Note 2 2 6 3 2" xfId="14591" xr:uid="{16F2C7C8-24BD-499B-B542-1098D6F60053}"/>
    <cellStyle name="Note 2 2 6 4" xfId="10373" xr:uid="{A180BA3C-1B09-4CAF-AB65-052AFFCB6D40}"/>
    <cellStyle name="Note 2 2 7" xfId="2248" xr:uid="{00000000-0005-0000-0000-0000E6200000}"/>
    <cellStyle name="Note 2 2 7 2" xfId="4477" xr:uid="{00000000-0005-0000-0000-0000E7200000}"/>
    <cellStyle name="Note 2 2 7 2 2" xfId="8699" xr:uid="{00000000-0005-0000-0000-0000E8200000}"/>
    <cellStyle name="Note 2 2 7 2 2 2" xfId="17149" xr:uid="{C63E790C-C89D-4DB2-8A9B-15AF2A5AFBB1}"/>
    <cellStyle name="Note 2 2 7 2 3" xfId="12931" xr:uid="{000FEE47-EAC3-44B2-8C1F-56101065EC44}"/>
    <cellStyle name="Note 2 2 7 3" xfId="6554" xr:uid="{00000000-0005-0000-0000-0000E9200000}"/>
    <cellStyle name="Note 2 2 7 3 2" xfId="15004" xr:uid="{0958BB97-8147-4B3C-95A8-24C86BBF83CD}"/>
    <cellStyle name="Note 2 2 7 4" xfId="10786" xr:uid="{CDCBA45D-E1F4-4B8C-8190-062EFF86B723}"/>
    <cellStyle name="Note 2 2 8" xfId="2684" xr:uid="{00000000-0005-0000-0000-0000EA200000}"/>
    <cellStyle name="Note 2 2 8 2" xfId="6967" xr:uid="{00000000-0005-0000-0000-0000EB200000}"/>
    <cellStyle name="Note 2 2 8 2 2" xfId="15417" xr:uid="{A8B940E7-C089-499A-BF81-9C21AD7D91C8}"/>
    <cellStyle name="Note 2 2 8 3" xfId="11199" xr:uid="{C9189932-9325-49A3-A2C0-7D2CA08BA911}"/>
    <cellStyle name="Note 2 2 9" xfId="2743" xr:uid="{00000000-0005-0000-0000-0000EC200000}"/>
    <cellStyle name="Note 2 3" xfId="549" xr:uid="{00000000-0005-0000-0000-0000ED200000}"/>
    <cellStyle name="Note 2 3 10" xfId="4906" xr:uid="{00000000-0005-0000-0000-0000EE200000}"/>
    <cellStyle name="Note 2 3 10 2" xfId="13356" xr:uid="{BC8EAB37-06DE-4E9B-B78E-51D396DC4F3F}"/>
    <cellStyle name="Note 2 3 11" xfId="9138" xr:uid="{383DA150-CDCA-49F0-B71C-6730112BD603}"/>
    <cellStyle name="Note 2 3 2" xfId="550" xr:uid="{00000000-0005-0000-0000-0000EF200000}"/>
    <cellStyle name="Note 2 3 2 10" xfId="9139" xr:uid="{540C1B16-94CC-4CA4-BAE3-153C90293511}"/>
    <cellStyle name="Note 2 3 2 2" xfId="1011" xr:uid="{00000000-0005-0000-0000-0000F0200000}"/>
    <cellStyle name="Note 2 3 2 2 2" xfId="3243" xr:uid="{00000000-0005-0000-0000-0000F1200000}"/>
    <cellStyle name="Note 2 3 2 2 2 2" xfId="7465" xr:uid="{00000000-0005-0000-0000-0000F2200000}"/>
    <cellStyle name="Note 2 3 2 2 2 2 2" xfId="15915" xr:uid="{78DBFB8A-BC54-4ADD-AB84-C87F53BF9172}"/>
    <cellStyle name="Note 2 3 2 2 2 3" xfId="11697" xr:uid="{4307AE53-2951-4ABD-BD35-0A6FBFB199E7}"/>
    <cellStyle name="Note 2 3 2 2 3" xfId="5320" xr:uid="{00000000-0005-0000-0000-0000F3200000}"/>
    <cellStyle name="Note 2 3 2 2 3 2" xfId="13770" xr:uid="{BD1DF92F-F3FF-49C5-AC10-11D0E5B762F7}"/>
    <cellStyle name="Note 2 3 2 2 4" xfId="9552" xr:uid="{7F02BA88-EE04-4450-A228-FCE3626135A4}"/>
    <cellStyle name="Note 2 3 2 3" xfId="1426" xr:uid="{00000000-0005-0000-0000-0000F4200000}"/>
    <cellStyle name="Note 2 3 2 3 2" xfId="3656" xr:uid="{00000000-0005-0000-0000-0000F5200000}"/>
    <cellStyle name="Note 2 3 2 3 2 2" xfId="7878" xr:uid="{00000000-0005-0000-0000-0000F6200000}"/>
    <cellStyle name="Note 2 3 2 3 2 2 2" xfId="16328" xr:uid="{6244513B-5AC8-4AAD-AD3E-56809604B83F}"/>
    <cellStyle name="Note 2 3 2 3 2 3" xfId="12110" xr:uid="{77AD40CD-91C4-428E-A8F5-A87D5FA06F45}"/>
    <cellStyle name="Note 2 3 2 3 3" xfId="5733" xr:uid="{00000000-0005-0000-0000-0000F7200000}"/>
    <cellStyle name="Note 2 3 2 3 3 2" xfId="14183" xr:uid="{82C2C8BC-4F7A-4635-B638-D24BD34410EE}"/>
    <cellStyle name="Note 2 3 2 3 4" xfId="9965" xr:uid="{6A9ACC9E-B939-42BD-8F67-3853FA03943E}"/>
    <cellStyle name="Note 2 3 2 4" xfId="1840" xr:uid="{00000000-0005-0000-0000-0000F8200000}"/>
    <cellStyle name="Note 2 3 2 4 2" xfId="4069" xr:uid="{00000000-0005-0000-0000-0000F9200000}"/>
    <cellStyle name="Note 2 3 2 4 2 2" xfId="8291" xr:uid="{00000000-0005-0000-0000-0000FA200000}"/>
    <cellStyle name="Note 2 3 2 4 2 2 2" xfId="16741" xr:uid="{FA47549A-6FBB-4C14-ACF1-461A7AFA6803}"/>
    <cellStyle name="Note 2 3 2 4 2 3" xfId="12523" xr:uid="{42F349F4-ACAC-4AF3-AAD3-70C1C5417621}"/>
    <cellStyle name="Note 2 3 2 4 3" xfId="6146" xr:uid="{00000000-0005-0000-0000-0000FB200000}"/>
    <cellStyle name="Note 2 3 2 4 3 2" xfId="14596" xr:uid="{5C171549-7004-4DB3-9194-A342E28CD627}"/>
    <cellStyle name="Note 2 3 2 4 4" xfId="10378" xr:uid="{581CBC3C-DA3B-4739-8ADD-D98197625B34}"/>
    <cellStyle name="Note 2 3 2 5" xfId="2253" xr:uid="{00000000-0005-0000-0000-0000FC200000}"/>
    <cellStyle name="Note 2 3 2 5 2" xfId="4482" xr:uid="{00000000-0005-0000-0000-0000FD200000}"/>
    <cellStyle name="Note 2 3 2 5 2 2" xfId="8704" xr:uid="{00000000-0005-0000-0000-0000FE200000}"/>
    <cellStyle name="Note 2 3 2 5 2 2 2" xfId="17154" xr:uid="{BDBCD9EA-D972-4275-8589-A24D3A54AACC}"/>
    <cellStyle name="Note 2 3 2 5 2 3" xfId="12936" xr:uid="{AE0ADF9D-CFEF-4AFA-BEDD-1C6C8C8A87B5}"/>
    <cellStyle name="Note 2 3 2 5 3" xfId="6559" xr:uid="{00000000-0005-0000-0000-0000FF200000}"/>
    <cellStyle name="Note 2 3 2 5 3 2" xfId="15009" xr:uid="{63518060-FF4D-4464-9443-8A835045F54A}"/>
    <cellStyle name="Note 2 3 2 5 4" xfId="10791" xr:uid="{0C36D67F-644B-4CC5-847A-FF0C6882941E}"/>
    <cellStyle name="Note 2 3 2 6" xfId="2689" xr:uid="{00000000-0005-0000-0000-000000210000}"/>
    <cellStyle name="Note 2 3 2 6 2" xfId="6972" xr:uid="{00000000-0005-0000-0000-000001210000}"/>
    <cellStyle name="Note 2 3 2 6 2 2" xfId="15422" xr:uid="{B324EDB7-989C-404B-87C0-ECB53D262891}"/>
    <cellStyle name="Note 2 3 2 6 3" xfId="11204" xr:uid="{D5116CCD-36F7-4B96-A9AF-CFFA6D344D35}"/>
    <cellStyle name="Note 2 3 2 7" xfId="2748" xr:uid="{00000000-0005-0000-0000-000002210000}"/>
    <cellStyle name="Note 2 3 2 8" xfId="2829" xr:uid="{00000000-0005-0000-0000-000003210000}"/>
    <cellStyle name="Note 2 3 2 8 2" xfId="7052" xr:uid="{00000000-0005-0000-0000-000004210000}"/>
    <cellStyle name="Note 2 3 2 8 2 2" xfId="15502" xr:uid="{059212DC-A6D1-4A7B-A905-830ED177CCC8}"/>
    <cellStyle name="Note 2 3 2 8 3" xfId="11284" xr:uid="{3B98EAD9-C14D-4AE6-AD86-4CD1EAD7DEAF}"/>
    <cellStyle name="Note 2 3 2 9" xfId="4907" xr:uid="{00000000-0005-0000-0000-000005210000}"/>
    <cellStyle name="Note 2 3 2 9 2" xfId="13357" xr:uid="{E5113C41-D45C-4C30-A1B3-4E0D8277ADE2}"/>
    <cellStyle name="Note 2 3 3" xfId="1010" xr:uid="{00000000-0005-0000-0000-000006210000}"/>
    <cellStyle name="Note 2 3 3 2" xfId="3242" xr:uid="{00000000-0005-0000-0000-000007210000}"/>
    <cellStyle name="Note 2 3 3 2 2" xfId="7464" xr:uid="{00000000-0005-0000-0000-000008210000}"/>
    <cellStyle name="Note 2 3 3 2 2 2" xfId="15914" xr:uid="{99FE9F6B-E2CA-4285-9A67-B33436DDF513}"/>
    <cellStyle name="Note 2 3 3 2 3" xfId="11696" xr:uid="{F508BD4D-54D8-4AF4-88A4-190093AB9F31}"/>
    <cellStyle name="Note 2 3 3 3" xfId="5319" xr:uid="{00000000-0005-0000-0000-000009210000}"/>
    <cellStyle name="Note 2 3 3 3 2" xfId="13769" xr:uid="{5514637F-3357-48CD-A64D-802887204C81}"/>
    <cellStyle name="Note 2 3 3 4" xfId="9551" xr:uid="{D08FAAE9-FDC4-4CED-B54A-4464E72B22FB}"/>
    <cellStyle name="Note 2 3 4" xfId="1425" xr:uid="{00000000-0005-0000-0000-00000A210000}"/>
    <cellStyle name="Note 2 3 4 2" xfId="3655" xr:uid="{00000000-0005-0000-0000-00000B210000}"/>
    <cellStyle name="Note 2 3 4 2 2" xfId="7877" xr:uid="{00000000-0005-0000-0000-00000C210000}"/>
    <cellStyle name="Note 2 3 4 2 2 2" xfId="16327" xr:uid="{FECF0288-FB6F-43CF-B076-D39B580F73BC}"/>
    <cellStyle name="Note 2 3 4 2 3" xfId="12109" xr:uid="{D0C7A64A-0A32-42AC-9060-F14D2104AF94}"/>
    <cellStyle name="Note 2 3 4 3" xfId="5732" xr:uid="{00000000-0005-0000-0000-00000D210000}"/>
    <cellStyle name="Note 2 3 4 3 2" xfId="14182" xr:uid="{5832A63F-408B-4EFA-9829-8792C84E8F1D}"/>
    <cellStyle name="Note 2 3 4 4" xfId="9964" xr:uid="{7E702FB1-52EE-4912-8BF1-C40B9CA1FA7A}"/>
    <cellStyle name="Note 2 3 5" xfId="1839" xr:uid="{00000000-0005-0000-0000-00000E210000}"/>
    <cellStyle name="Note 2 3 5 2" xfId="4068" xr:uid="{00000000-0005-0000-0000-00000F210000}"/>
    <cellStyle name="Note 2 3 5 2 2" xfId="8290" xr:uid="{00000000-0005-0000-0000-000010210000}"/>
    <cellStyle name="Note 2 3 5 2 2 2" xfId="16740" xr:uid="{0255465C-D0F7-40E6-9005-8B25C22D7DED}"/>
    <cellStyle name="Note 2 3 5 2 3" xfId="12522" xr:uid="{823F8B84-8EFB-4543-8E70-A2672A0D5B2D}"/>
    <cellStyle name="Note 2 3 5 3" xfId="6145" xr:uid="{00000000-0005-0000-0000-000011210000}"/>
    <cellStyle name="Note 2 3 5 3 2" xfId="14595" xr:uid="{B3610C13-4FCD-42B3-88F9-AC18A791D371}"/>
    <cellStyle name="Note 2 3 5 4" xfId="10377" xr:uid="{59E28729-6FC5-41B7-9128-B75DA3D71E4F}"/>
    <cellStyle name="Note 2 3 6" xfId="2252" xr:uid="{00000000-0005-0000-0000-000012210000}"/>
    <cellStyle name="Note 2 3 6 2" xfId="4481" xr:uid="{00000000-0005-0000-0000-000013210000}"/>
    <cellStyle name="Note 2 3 6 2 2" xfId="8703" xr:uid="{00000000-0005-0000-0000-000014210000}"/>
    <cellStyle name="Note 2 3 6 2 2 2" xfId="17153" xr:uid="{6CFA8B39-A11B-490B-A1F8-FA865ECDD156}"/>
    <cellStyle name="Note 2 3 6 2 3" xfId="12935" xr:uid="{4574ECF8-E326-4EDE-BF40-DCC75B628A6A}"/>
    <cellStyle name="Note 2 3 6 3" xfId="6558" xr:uid="{00000000-0005-0000-0000-000015210000}"/>
    <cellStyle name="Note 2 3 6 3 2" xfId="15008" xr:uid="{A1E276D9-0E34-4D14-A47A-C22B816D2D7E}"/>
    <cellStyle name="Note 2 3 6 4" xfId="10790" xr:uid="{E8000733-FBCB-42DC-A6B9-BAD70C78FA8C}"/>
    <cellStyle name="Note 2 3 7" xfId="2688" xr:uid="{00000000-0005-0000-0000-000016210000}"/>
    <cellStyle name="Note 2 3 7 2" xfId="6971" xr:uid="{00000000-0005-0000-0000-000017210000}"/>
    <cellStyle name="Note 2 3 7 2 2" xfId="15421" xr:uid="{6AAF8A79-4D84-48BA-9F0A-32B3609ECF8E}"/>
    <cellStyle name="Note 2 3 7 3" xfId="11203" xr:uid="{FB5F935E-DB14-4339-A2C8-CF32F1263FD5}"/>
    <cellStyle name="Note 2 3 8" xfId="2747" xr:uid="{00000000-0005-0000-0000-000018210000}"/>
    <cellStyle name="Note 2 3 9" xfId="2828" xr:uid="{00000000-0005-0000-0000-000019210000}"/>
    <cellStyle name="Note 2 3 9 2" xfId="7051" xr:uid="{00000000-0005-0000-0000-00001A210000}"/>
    <cellStyle name="Note 2 3 9 2 2" xfId="15501" xr:uid="{98357B4C-EFF0-4F27-99F9-FCEA5523AD24}"/>
    <cellStyle name="Note 2 3 9 3" xfId="11283" xr:uid="{D92D63C4-E444-4C15-B00A-138E6757A8CF}"/>
    <cellStyle name="Note 2 4" xfId="551" xr:uid="{00000000-0005-0000-0000-00001B210000}"/>
    <cellStyle name="Note 2 4 10" xfId="9140" xr:uid="{2F976DB2-F367-4A7D-B5DB-75F9B9325595}"/>
    <cellStyle name="Note 2 4 2" xfId="1012" xr:uid="{00000000-0005-0000-0000-00001C210000}"/>
    <cellStyle name="Note 2 4 2 2" xfId="3244" xr:uid="{00000000-0005-0000-0000-00001D210000}"/>
    <cellStyle name="Note 2 4 2 2 2" xfId="7466" xr:uid="{00000000-0005-0000-0000-00001E210000}"/>
    <cellStyle name="Note 2 4 2 2 2 2" xfId="15916" xr:uid="{0019E4F9-7E4D-4E49-9E13-195A4BBFA730}"/>
    <cellStyle name="Note 2 4 2 2 3" xfId="11698" xr:uid="{4F46A2CF-22AF-4D7F-9F36-F67CE90156F8}"/>
    <cellStyle name="Note 2 4 2 3" xfId="5321" xr:uid="{00000000-0005-0000-0000-00001F210000}"/>
    <cellStyle name="Note 2 4 2 3 2" xfId="13771" xr:uid="{31C55C9F-4C56-4F70-8924-B748A0F4A1A1}"/>
    <cellStyle name="Note 2 4 2 4" xfId="9553" xr:uid="{EAE1E24D-20B3-4DB1-BF5D-384DD3AE88FA}"/>
    <cellStyle name="Note 2 4 3" xfId="1427" xr:uid="{00000000-0005-0000-0000-000020210000}"/>
    <cellStyle name="Note 2 4 3 2" xfId="3657" xr:uid="{00000000-0005-0000-0000-000021210000}"/>
    <cellStyle name="Note 2 4 3 2 2" xfId="7879" xr:uid="{00000000-0005-0000-0000-000022210000}"/>
    <cellStyle name="Note 2 4 3 2 2 2" xfId="16329" xr:uid="{F182EFB5-97EE-439D-833E-D7455976FB18}"/>
    <cellStyle name="Note 2 4 3 2 3" xfId="12111" xr:uid="{0B7C36DA-87AB-4571-8296-16A657EE4989}"/>
    <cellStyle name="Note 2 4 3 3" xfId="5734" xr:uid="{00000000-0005-0000-0000-000023210000}"/>
    <cellStyle name="Note 2 4 3 3 2" xfId="14184" xr:uid="{E6C1C426-FB29-4E14-8362-1740567CD9C9}"/>
    <cellStyle name="Note 2 4 3 4" xfId="9966" xr:uid="{76AD503B-CCFA-45A3-BB84-6E0FD65A9743}"/>
    <cellStyle name="Note 2 4 4" xfId="1841" xr:uid="{00000000-0005-0000-0000-000024210000}"/>
    <cellStyle name="Note 2 4 4 2" xfId="4070" xr:uid="{00000000-0005-0000-0000-000025210000}"/>
    <cellStyle name="Note 2 4 4 2 2" xfId="8292" xr:uid="{00000000-0005-0000-0000-000026210000}"/>
    <cellStyle name="Note 2 4 4 2 2 2" xfId="16742" xr:uid="{9EDEFC92-8794-452E-B349-627AB145A32F}"/>
    <cellStyle name="Note 2 4 4 2 3" xfId="12524" xr:uid="{316E34CF-E9A8-4655-A0F9-EFE7E2EEBB71}"/>
    <cellStyle name="Note 2 4 4 3" xfId="6147" xr:uid="{00000000-0005-0000-0000-000027210000}"/>
    <cellStyle name="Note 2 4 4 3 2" xfId="14597" xr:uid="{2B2393F2-8AAC-451A-92EF-6B5435663519}"/>
    <cellStyle name="Note 2 4 4 4" xfId="10379" xr:uid="{3B27C38E-8E59-48BC-8B3C-202547FDB6AB}"/>
    <cellStyle name="Note 2 4 5" xfId="2254" xr:uid="{00000000-0005-0000-0000-000028210000}"/>
    <cellStyle name="Note 2 4 5 2" xfId="4483" xr:uid="{00000000-0005-0000-0000-000029210000}"/>
    <cellStyle name="Note 2 4 5 2 2" xfId="8705" xr:uid="{00000000-0005-0000-0000-00002A210000}"/>
    <cellStyle name="Note 2 4 5 2 2 2" xfId="17155" xr:uid="{57831466-C898-4806-A0F8-72C3E2224BFC}"/>
    <cellStyle name="Note 2 4 5 2 3" xfId="12937" xr:uid="{72907E36-8558-44F6-AF64-C56FAD74325A}"/>
    <cellStyle name="Note 2 4 5 3" xfId="6560" xr:uid="{00000000-0005-0000-0000-00002B210000}"/>
    <cellStyle name="Note 2 4 5 3 2" xfId="15010" xr:uid="{DF3DA659-E94B-4838-AACC-72CD26898340}"/>
    <cellStyle name="Note 2 4 5 4" xfId="10792" xr:uid="{0FBFFEE8-7CF8-4CE4-97EC-265897BA735F}"/>
    <cellStyle name="Note 2 4 6" xfId="2690" xr:uid="{00000000-0005-0000-0000-00002C210000}"/>
    <cellStyle name="Note 2 4 6 2" xfId="6973" xr:uid="{00000000-0005-0000-0000-00002D210000}"/>
    <cellStyle name="Note 2 4 6 2 2" xfId="15423" xr:uid="{575ABEE0-3D2E-4D50-8619-8B6604E49EFC}"/>
    <cellStyle name="Note 2 4 6 3" xfId="11205" xr:uid="{E3DAF9DE-31E7-4DC6-AC5E-F6B23F453545}"/>
    <cellStyle name="Note 2 4 7" xfId="2749" xr:uid="{00000000-0005-0000-0000-00002E210000}"/>
    <cellStyle name="Note 2 4 8" xfId="2830" xr:uid="{00000000-0005-0000-0000-00002F210000}"/>
    <cellStyle name="Note 2 4 8 2" xfId="7053" xr:uid="{00000000-0005-0000-0000-000030210000}"/>
    <cellStyle name="Note 2 4 8 2 2" xfId="15503" xr:uid="{EEBDEA1E-BEA6-46E8-AB80-D0B6405962AB}"/>
    <cellStyle name="Note 2 4 8 3" xfId="11285" xr:uid="{5FC36B87-7130-44C2-B438-5D80F40F7CEF}"/>
    <cellStyle name="Note 2 4 9" xfId="4908" xr:uid="{00000000-0005-0000-0000-000031210000}"/>
    <cellStyle name="Note 2 4 9 2" xfId="13358" xr:uid="{BEAC3E46-EA80-45E7-A9C3-7022F1F93A19}"/>
    <cellStyle name="Note 2 5" xfId="552" xr:uid="{00000000-0005-0000-0000-000032210000}"/>
    <cellStyle name="Note 2 5 10" xfId="9141" xr:uid="{A0046D37-BED4-4D6D-8D91-C0DAC62B30F8}"/>
    <cellStyle name="Note 2 5 2" xfId="1013" xr:uid="{00000000-0005-0000-0000-000033210000}"/>
    <cellStyle name="Note 2 5 2 2" xfId="3245" xr:uid="{00000000-0005-0000-0000-000034210000}"/>
    <cellStyle name="Note 2 5 2 2 2" xfId="7467" xr:uid="{00000000-0005-0000-0000-000035210000}"/>
    <cellStyle name="Note 2 5 2 2 2 2" xfId="15917" xr:uid="{4942ACB7-AC8C-4448-B27B-4D3930EB343E}"/>
    <cellStyle name="Note 2 5 2 2 3" xfId="11699" xr:uid="{9ED3F23A-7874-42EE-9471-C7C63503C921}"/>
    <cellStyle name="Note 2 5 2 3" xfId="5322" xr:uid="{00000000-0005-0000-0000-000036210000}"/>
    <cellStyle name="Note 2 5 2 3 2" xfId="13772" xr:uid="{FCB0EA7B-08D5-422E-AD07-F01DDA4B42E4}"/>
    <cellStyle name="Note 2 5 2 4" xfId="9554" xr:uid="{B6B7596B-2447-468A-A587-C1DAFA17457E}"/>
    <cellStyle name="Note 2 5 3" xfId="1428" xr:uid="{00000000-0005-0000-0000-000037210000}"/>
    <cellStyle name="Note 2 5 3 2" xfId="3658" xr:uid="{00000000-0005-0000-0000-000038210000}"/>
    <cellStyle name="Note 2 5 3 2 2" xfId="7880" xr:uid="{00000000-0005-0000-0000-000039210000}"/>
    <cellStyle name="Note 2 5 3 2 2 2" xfId="16330" xr:uid="{CBCF5001-0781-4685-A202-EDFD322C990E}"/>
    <cellStyle name="Note 2 5 3 2 3" xfId="12112" xr:uid="{DA69F3B4-DDC6-49C6-B19F-C1CCA6E1F4A5}"/>
    <cellStyle name="Note 2 5 3 3" xfId="5735" xr:uid="{00000000-0005-0000-0000-00003A210000}"/>
    <cellStyle name="Note 2 5 3 3 2" xfId="14185" xr:uid="{68F669C5-30DC-409F-94C6-2C6018BAFFCB}"/>
    <cellStyle name="Note 2 5 3 4" xfId="9967" xr:uid="{8ABFA3A3-B00D-4953-8A7A-A9A11ABA95DA}"/>
    <cellStyle name="Note 2 5 4" xfId="1842" xr:uid="{00000000-0005-0000-0000-00003B210000}"/>
    <cellStyle name="Note 2 5 4 2" xfId="4071" xr:uid="{00000000-0005-0000-0000-00003C210000}"/>
    <cellStyle name="Note 2 5 4 2 2" xfId="8293" xr:uid="{00000000-0005-0000-0000-00003D210000}"/>
    <cellStyle name="Note 2 5 4 2 2 2" xfId="16743" xr:uid="{638A0A35-5707-415E-94C2-014A5807215A}"/>
    <cellStyle name="Note 2 5 4 2 3" xfId="12525" xr:uid="{1C8A000C-EC12-45ED-9432-0C85C48ED567}"/>
    <cellStyle name="Note 2 5 4 3" xfId="6148" xr:uid="{00000000-0005-0000-0000-00003E210000}"/>
    <cellStyle name="Note 2 5 4 3 2" xfId="14598" xr:uid="{D9D4EF95-F253-4E4E-A4E1-DEE2C57A2F8B}"/>
    <cellStyle name="Note 2 5 4 4" xfId="10380" xr:uid="{D2D4ED97-66DA-437C-B97C-A548BE50C8BA}"/>
    <cellStyle name="Note 2 5 5" xfId="2255" xr:uid="{00000000-0005-0000-0000-00003F210000}"/>
    <cellStyle name="Note 2 5 5 2" xfId="4484" xr:uid="{00000000-0005-0000-0000-000040210000}"/>
    <cellStyle name="Note 2 5 5 2 2" xfId="8706" xr:uid="{00000000-0005-0000-0000-000041210000}"/>
    <cellStyle name="Note 2 5 5 2 2 2" xfId="17156" xr:uid="{524B140F-7109-447B-856D-19EA6968E344}"/>
    <cellStyle name="Note 2 5 5 2 3" xfId="12938" xr:uid="{137B0414-6435-4820-9928-2390B27F093B}"/>
    <cellStyle name="Note 2 5 5 3" xfId="6561" xr:uid="{00000000-0005-0000-0000-000042210000}"/>
    <cellStyle name="Note 2 5 5 3 2" xfId="15011" xr:uid="{8964F92B-6AAA-49F2-B889-C05D5D18FECC}"/>
    <cellStyle name="Note 2 5 5 4" xfId="10793" xr:uid="{20C627AF-C6A8-4437-A9EA-A22296BE804F}"/>
    <cellStyle name="Note 2 5 6" xfId="2691" xr:uid="{00000000-0005-0000-0000-000043210000}"/>
    <cellStyle name="Note 2 5 6 2" xfId="6974" xr:uid="{00000000-0005-0000-0000-000044210000}"/>
    <cellStyle name="Note 2 5 6 2 2" xfId="15424" xr:uid="{B6571147-3D5C-446F-8E87-92239F7572A7}"/>
    <cellStyle name="Note 2 5 6 3" xfId="11206" xr:uid="{89806417-F9AE-4D33-A4AC-EFB1B0068A8C}"/>
    <cellStyle name="Note 2 5 7" xfId="2750" xr:uid="{00000000-0005-0000-0000-000045210000}"/>
    <cellStyle name="Note 2 5 8" xfId="2831" xr:uid="{00000000-0005-0000-0000-000046210000}"/>
    <cellStyle name="Note 2 5 8 2" xfId="7054" xr:uid="{00000000-0005-0000-0000-000047210000}"/>
    <cellStyle name="Note 2 5 8 2 2" xfId="15504" xr:uid="{E1640994-8E03-444B-BF45-0D0F67215326}"/>
    <cellStyle name="Note 2 5 8 3" xfId="11286" xr:uid="{D39B1CD9-C0FD-4D2F-B51A-9696C69C239C}"/>
    <cellStyle name="Note 2 5 9" xfId="4909" xr:uid="{00000000-0005-0000-0000-000048210000}"/>
    <cellStyle name="Note 2 5 9 2" xfId="13359" xr:uid="{229FCB9A-205B-46C7-9BB3-B0B4957A739B}"/>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ABB61A9A-40B2-4E6C-94D6-013EEAA0D742}"/>
    <cellStyle name="Note 3 2 10 3" xfId="11287" xr:uid="{8932C634-C230-4A24-87EE-C1F352826AB7}"/>
    <cellStyle name="Note 3 2 11" xfId="4910" xr:uid="{00000000-0005-0000-0000-00004D210000}"/>
    <cellStyle name="Note 3 2 11 2" xfId="13360" xr:uid="{9447EE5E-57EC-43E1-A6CB-6BA482FED0D1}"/>
    <cellStyle name="Note 3 2 12" xfId="9142" xr:uid="{A566A474-9167-46EB-BF56-030DF804EC8A}"/>
    <cellStyle name="Note 3 2 2" xfId="555" xr:uid="{00000000-0005-0000-0000-00004E210000}"/>
    <cellStyle name="Note 3 2 2 10" xfId="4911" xr:uid="{00000000-0005-0000-0000-00004F210000}"/>
    <cellStyle name="Note 3 2 2 10 2" xfId="13361" xr:uid="{96CFA87C-B17F-4202-8C72-A8587FB30ECC}"/>
    <cellStyle name="Note 3 2 2 11" xfId="9143" xr:uid="{A0C23E11-9132-43C5-B51B-4D8DC0BED6F5}"/>
    <cellStyle name="Note 3 2 2 2" xfId="556" xr:uid="{00000000-0005-0000-0000-000050210000}"/>
    <cellStyle name="Note 3 2 2 2 10" xfId="9144" xr:uid="{0DB0A875-4047-459D-AD4F-48CDB10473F2}"/>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C5C9F853-A415-4216-8C9B-3406848F79BC}"/>
    <cellStyle name="Note 3 2 2 2 2 2 3" xfId="11702" xr:uid="{DED17E35-2067-48C6-B1E7-E28F0706664C}"/>
    <cellStyle name="Note 3 2 2 2 2 3" xfId="5325" xr:uid="{00000000-0005-0000-0000-000054210000}"/>
    <cellStyle name="Note 3 2 2 2 2 3 2" xfId="13775" xr:uid="{1D9727AA-DA00-43D1-A6A9-3C1F3498259C}"/>
    <cellStyle name="Note 3 2 2 2 2 4" xfId="9557" xr:uid="{EF2CC3D2-A615-4C30-9412-851BDDABF945}"/>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ED234C7E-CC04-45E7-B757-79F949341E8E}"/>
    <cellStyle name="Note 3 2 2 2 3 2 3" xfId="12115" xr:uid="{A36F6003-D6EA-46B6-8716-50170A0E28CE}"/>
    <cellStyle name="Note 3 2 2 2 3 3" xfId="5738" xr:uid="{00000000-0005-0000-0000-000058210000}"/>
    <cellStyle name="Note 3 2 2 2 3 3 2" xfId="14188" xr:uid="{A8401702-71F8-4D27-89D5-6A8A385A5902}"/>
    <cellStyle name="Note 3 2 2 2 3 4" xfId="9970" xr:uid="{8AD6FEE6-6FA4-46E1-B0DB-A16DE9F36803}"/>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1675ECB6-4C17-4D3D-9C95-AA15C88E4D6B}"/>
    <cellStyle name="Note 3 2 2 2 4 2 3" xfId="12528" xr:uid="{D9002DEE-CD29-47D9-B10C-CE358799D9B8}"/>
    <cellStyle name="Note 3 2 2 2 4 3" xfId="6151" xr:uid="{00000000-0005-0000-0000-00005C210000}"/>
    <cellStyle name="Note 3 2 2 2 4 3 2" xfId="14601" xr:uid="{A8C1D01D-F78D-4BE3-8B23-2E7AD17203B0}"/>
    <cellStyle name="Note 3 2 2 2 4 4" xfId="10383" xr:uid="{427DE147-D248-4816-9321-88975A54C860}"/>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68B002C9-421C-43AB-9D1B-23390CB0313C}"/>
    <cellStyle name="Note 3 2 2 2 5 2 3" xfId="12941" xr:uid="{28125383-D755-441A-BD25-9CCF4F4B7029}"/>
    <cellStyle name="Note 3 2 2 2 5 3" xfId="6564" xr:uid="{00000000-0005-0000-0000-000060210000}"/>
    <cellStyle name="Note 3 2 2 2 5 3 2" xfId="15014" xr:uid="{9C748F48-4B14-46A6-89BF-1C8EA062CEFA}"/>
    <cellStyle name="Note 3 2 2 2 5 4" xfId="10796" xr:uid="{F62C7550-7E20-494C-BFCF-DB121AD0983C}"/>
    <cellStyle name="Note 3 2 2 2 6" xfId="2694" xr:uid="{00000000-0005-0000-0000-000061210000}"/>
    <cellStyle name="Note 3 2 2 2 6 2" xfId="6977" xr:uid="{00000000-0005-0000-0000-000062210000}"/>
    <cellStyle name="Note 3 2 2 2 6 2 2" xfId="15427" xr:uid="{8765ACEE-B84C-421B-A69B-6B4788B675B3}"/>
    <cellStyle name="Note 3 2 2 2 6 3" xfId="11209" xr:uid="{6D053EF3-D140-4738-8B90-EAE3FA3E37BA}"/>
    <cellStyle name="Note 3 2 2 2 7" xfId="2753" xr:uid="{00000000-0005-0000-0000-000063210000}"/>
    <cellStyle name="Note 3 2 2 2 8" xfId="2834" xr:uid="{00000000-0005-0000-0000-000064210000}"/>
    <cellStyle name="Note 3 2 2 2 8 2" xfId="7057" xr:uid="{00000000-0005-0000-0000-000065210000}"/>
    <cellStyle name="Note 3 2 2 2 8 2 2" xfId="15507" xr:uid="{CF4192E1-A078-4EB4-8891-A1E90D9B5AF6}"/>
    <cellStyle name="Note 3 2 2 2 8 3" xfId="11289" xr:uid="{748F7147-E914-4623-9F11-64CB84628ADB}"/>
    <cellStyle name="Note 3 2 2 2 9" xfId="4912" xr:uid="{00000000-0005-0000-0000-000066210000}"/>
    <cellStyle name="Note 3 2 2 2 9 2" xfId="13362" xr:uid="{2CB5B000-D60A-4493-818D-488728F2C46A}"/>
    <cellStyle name="Note 3 2 2 3" xfId="1015" xr:uid="{00000000-0005-0000-0000-000067210000}"/>
    <cellStyle name="Note 3 2 2 3 2" xfId="3247" xr:uid="{00000000-0005-0000-0000-000068210000}"/>
    <cellStyle name="Note 3 2 2 3 2 2" xfId="7469" xr:uid="{00000000-0005-0000-0000-000069210000}"/>
    <cellStyle name="Note 3 2 2 3 2 2 2" xfId="15919" xr:uid="{377AFE7B-8257-4762-A73E-33CFB2978EF0}"/>
    <cellStyle name="Note 3 2 2 3 2 3" xfId="11701" xr:uid="{8348D9CF-C550-4FC2-A010-6C5664865B1B}"/>
    <cellStyle name="Note 3 2 2 3 3" xfId="5324" xr:uid="{00000000-0005-0000-0000-00006A210000}"/>
    <cellStyle name="Note 3 2 2 3 3 2" xfId="13774" xr:uid="{EAA663AB-82DB-4A14-B040-D7E47FA05304}"/>
    <cellStyle name="Note 3 2 2 3 4" xfId="9556" xr:uid="{8683D914-872B-49A6-8D47-253751772FB5}"/>
    <cellStyle name="Note 3 2 2 4" xfId="1430" xr:uid="{00000000-0005-0000-0000-00006B210000}"/>
    <cellStyle name="Note 3 2 2 4 2" xfId="3660" xr:uid="{00000000-0005-0000-0000-00006C210000}"/>
    <cellStyle name="Note 3 2 2 4 2 2" xfId="7882" xr:uid="{00000000-0005-0000-0000-00006D210000}"/>
    <cellStyle name="Note 3 2 2 4 2 2 2" xfId="16332" xr:uid="{C25BF5B1-E15A-4D9E-9B53-9660F7C81F2F}"/>
    <cellStyle name="Note 3 2 2 4 2 3" xfId="12114" xr:uid="{35EBA914-F2CA-4192-958A-BB8A3C0D9BD9}"/>
    <cellStyle name="Note 3 2 2 4 3" xfId="5737" xr:uid="{00000000-0005-0000-0000-00006E210000}"/>
    <cellStyle name="Note 3 2 2 4 3 2" xfId="14187" xr:uid="{ED71439C-9703-4F49-B10D-414DCA94F98C}"/>
    <cellStyle name="Note 3 2 2 4 4" xfId="9969" xr:uid="{85A0B2DC-D9A0-462B-B5C7-C83460C065D8}"/>
    <cellStyle name="Note 3 2 2 5" xfId="1844" xr:uid="{00000000-0005-0000-0000-00006F210000}"/>
    <cellStyle name="Note 3 2 2 5 2" xfId="4073" xr:uid="{00000000-0005-0000-0000-000070210000}"/>
    <cellStyle name="Note 3 2 2 5 2 2" xfId="8295" xr:uid="{00000000-0005-0000-0000-000071210000}"/>
    <cellStyle name="Note 3 2 2 5 2 2 2" xfId="16745" xr:uid="{A848B056-E82A-48FF-A82F-1209C5463340}"/>
    <cellStyle name="Note 3 2 2 5 2 3" xfId="12527" xr:uid="{6580BA17-C726-45D6-B3EF-9A1C99E11E53}"/>
    <cellStyle name="Note 3 2 2 5 3" xfId="6150" xr:uid="{00000000-0005-0000-0000-000072210000}"/>
    <cellStyle name="Note 3 2 2 5 3 2" xfId="14600" xr:uid="{BD88351D-90A8-42F6-B0D2-415D8B9D41CC}"/>
    <cellStyle name="Note 3 2 2 5 4" xfId="10382" xr:uid="{F730CE4B-EAEE-4EA6-A67E-A479E9B55F9D}"/>
    <cellStyle name="Note 3 2 2 6" xfId="2257" xr:uid="{00000000-0005-0000-0000-000073210000}"/>
    <cellStyle name="Note 3 2 2 6 2" xfId="4486" xr:uid="{00000000-0005-0000-0000-000074210000}"/>
    <cellStyle name="Note 3 2 2 6 2 2" xfId="8708" xr:uid="{00000000-0005-0000-0000-000075210000}"/>
    <cellStyle name="Note 3 2 2 6 2 2 2" xfId="17158" xr:uid="{9E960326-CD0F-4D24-A5C5-A4B442606651}"/>
    <cellStyle name="Note 3 2 2 6 2 3" xfId="12940" xr:uid="{F941A470-2A40-455B-A3C2-49C03F493C3E}"/>
    <cellStyle name="Note 3 2 2 6 3" xfId="6563" xr:uid="{00000000-0005-0000-0000-000076210000}"/>
    <cellStyle name="Note 3 2 2 6 3 2" xfId="15013" xr:uid="{A166B3D8-EA28-4C28-A0D3-851EFAFD591D}"/>
    <cellStyle name="Note 3 2 2 6 4" xfId="10795" xr:uid="{D1252853-DDF8-4274-89B0-7FD77DF9341B}"/>
    <cellStyle name="Note 3 2 2 7" xfId="2693" xr:uid="{00000000-0005-0000-0000-000077210000}"/>
    <cellStyle name="Note 3 2 2 7 2" xfId="6976" xr:uid="{00000000-0005-0000-0000-000078210000}"/>
    <cellStyle name="Note 3 2 2 7 2 2" xfId="15426" xr:uid="{09BDE1BE-A885-4726-AC14-606AD0B1AAB5}"/>
    <cellStyle name="Note 3 2 2 7 3" xfId="11208" xr:uid="{DB849F91-D30F-4EB7-B29B-34EE7210661D}"/>
    <cellStyle name="Note 3 2 2 8" xfId="2752" xr:uid="{00000000-0005-0000-0000-000079210000}"/>
    <cellStyle name="Note 3 2 2 9" xfId="2833" xr:uid="{00000000-0005-0000-0000-00007A210000}"/>
    <cellStyle name="Note 3 2 2 9 2" xfId="7056" xr:uid="{00000000-0005-0000-0000-00007B210000}"/>
    <cellStyle name="Note 3 2 2 9 2 2" xfId="15506" xr:uid="{FE2346AB-7F2D-4B8D-8AD7-E9D57CADAAB6}"/>
    <cellStyle name="Note 3 2 2 9 3" xfId="11288" xr:uid="{594BB63D-FA4F-47E2-92E0-60D710BFD4D9}"/>
    <cellStyle name="Note 3 2 3" xfId="557" xr:uid="{00000000-0005-0000-0000-00007C210000}"/>
    <cellStyle name="Note 3 2 3 10" xfId="9145" xr:uid="{DAC6CF9C-E5DE-4126-A4F9-944E495C24B0}"/>
    <cellStyle name="Note 3 2 3 2" xfId="1017" xr:uid="{00000000-0005-0000-0000-00007D210000}"/>
    <cellStyle name="Note 3 2 3 2 2" xfId="3249" xr:uid="{00000000-0005-0000-0000-00007E210000}"/>
    <cellStyle name="Note 3 2 3 2 2 2" xfId="7471" xr:uid="{00000000-0005-0000-0000-00007F210000}"/>
    <cellStyle name="Note 3 2 3 2 2 2 2" xfId="15921" xr:uid="{C1E02737-D0F1-4B38-B87C-C97203AA464F}"/>
    <cellStyle name="Note 3 2 3 2 2 3" xfId="11703" xr:uid="{9EA0F80B-9136-4F3D-BB55-5936865AD645}"/>
    <cellStyle name="Note 3 2 3 2 3" xfId="5326" xr:uid="{00000000-0005-0000-0000-000080210000}"/>
    <cellStyle name="Note 3 2 3 2 3 2" xfId="13776" xr:uid="{806CD2F4-3FBD-4D14-BA63-0DC59F2125C0}"/>
    <cellStyle name="Note 3 2 3 2 4" xfId="9558" xr:uid="{616BE468-9D34-46E7-BD78-AD33B985C344}"/>
    <cellStyle name="Note 3 2 3 3" xfId="1432" xr:uid="{00000000-0005-0000-0000-000081210000}"/>
    <cellStyle name="Note 3 2 3 3 2" xfId="3662" xr:uid="{00000000-0005-0000-0000-000082210000}"/>
    <cellStyle name="Note 3 2 3 3 2 2" xfId="7884" xr:uid="{00000000-0005-0000-0000-000083210000}"/>
    <cellStyle name="Note 3 2 3 3 2 2 2" xfId="16334" xr:uid="{CE554961-00D2-46C3-8636-BB088843367D}"/>
    <cellStyle name="Note 3 2 3 3 2 3" xfId="12116" xr:uid="{08A76B89-25DD-454B-BD2F-FEFE415C1C13}"/>
    <cellStyle name="Note 3 2 3 3 3" xfId="5739" xr:uid="{00000000-0005-0000-0000-000084210000}"/>
    <cellStyle name="Note 3 2 3 3 3 2" xfId="14189" xr:uid="{86B12A86-A764-41B5-8017-33298ADE5CD4}"/>
    <cellStyle name="Note 3 2 3 3 4" xfId="9971" xr:uid="{010576FE-3E88-4296-B8E7-4DA9F3C1FC1B}"/>
    <cellStyle name="Note 3 2 3 4" xfId="1846" xr:uid="{00000000-0005-0000-0000-000085210000}"/>
    <cellStyle name="Note 3 2 3 4 2" xfId="4075" xr:uid="{00000000-0005-0000-0000-000086210000}"/>
    <cellStyle name="Note 3 2 3 4 2 2" xfId="8297" xr:uid="{00000000-0005-0000-0000-000087210000}"/>
    <cellStyle name="Note 3 2 3 4 2 2 2" xfId="16747" xr:uid="{38DF710F-C008-49C5-9C71-D81CF4F68741}"/>
    <cellStyle name="Note 3 2 3 4 2 3" xfId="12529" xr:uid="{E3E73E1B-CE70-4132-BACA-C16C82D44277}"/>
    <cellStyle name="Note 3 2 3 4 3" xfId="6152" xr:uid="{00000000-0005-0000-0000-000088210000}"/>
    <cellStyle name="Note 3 2 3 4 3 2" xfId="14602" xr:uid="{30466369-17E1-494A-9099-170693783483}"/>
    <cellStyle name="Note 3 2 3 4 4" xfId="10384" xr:uid="{6E7B8F3D-E1EC-42C3-9A8B-FD59035E507C}"/>
    <cellStyle name="Note 3 2 3 5" xfId="2259" xr:uid="{00000000-0005-0000-0000-000089210000}"/>
    <cellStyle name="Note 3 2 3 5 2" xfId="4488" xr:uid="{00000000-0005-0000-0000-00008A210000}"/>
    <cellStyle name="Note 3 2 3 5 2 2" xfId="8710" xr:uid="{00000000-0005-0000-0000-00008B210000}"/>
    <cellStyle name="Note 3 2 3 5 2 2 2" xfId="17160" xr:uid="{336ABF9B-6D49-43DE-BD4B-822504B29BD1}"/>
    <cellStyle name="Note 3 2 3 5 2 3" xfId="12942" xr:uid="{DEEE724C-BB14-40DB-A7BF-DA83BE198503}"/>
    <cellStyle name="Note 3 2 3 5 3" xfId="6565" xr:uid="{00000000-0005-0000-0000-00008C210000}"/>
    <cellStyle name="Note 3 2 3 5 3 2" xfId="15015" xr:uid="{57AD9691-7C92-4331-8564-48079EC68666}"/>
    <cellStyle name="Note 3 2 3 5 4" xfId="10797" xr:uid="{B0D9C643-3365-4CF5-963D-E8661A10A8CE}"/>
    <cellStyle name="Note 3 2 3 6" xfId="2695" xr:uid="{00000000-0005-0000-0000-00008D210000}"/>
    <cellStyle name="Note 3 2 3 6 2" xfId="6978" xr:uid="{00000000-0005-0000-0000-00008E210000}"/>
    <cellStyle name="Note 3 2 3 6 2 2" xfId="15428" xr:uid="{C598D6F1-7F64-4BD4-9649-E7ABC85A4FBA}"/>
    <cellStyle name="Note 3 2 3 6 3" xfId="11210" xr:uid="{C9A412D2-86E6-4543-B399-56A7EDD0966E}"/>
    <cellStyle name="Note 3 2 3 7" xfId="2754" xr:uid="{00000000-0005-0000-0000-00008F210000}"/>
    <cellStyle name="Note 3 2 3 8" xfId="2835" xr:uid="{00000000-0005-0000-0000-000090210000}"/>
    <cellStyle name="Note 3 2 3 8 2" xfId="7058" xr:uid="{00000000-0005-0000-0000-000091210000}"/>
    <cellStyle name="Note 3 2 3 8 2 2" xfId="15508" xr:uid="{43F6B93D-0877-4C42-9763-A04B8A3BA99E}"/>
    <cellStyle name="Note 3 2 3 8 3" xfId="11290" xr:uid="{D847A7F3-5EEB-45D5-B7E9-D0C289BA28BF}"/>
    <cellStyle name="Note 3 2 3 9" xfId="4913" xr:uid="{00000000-0005-0000-0000-000092210000}"/>
    <cellStyle name="Note 3 2 3 9 2" xfId="13363" xr:uid="{95C0ECE6-36DF-4604-9BC6-26E06C2B4CAC}"/>
    <cellStyle name="Note 3 2 4" xfId="1014" xr:uid="{00000000-0005-0000-0000-000093210000}"/>
    <cellStyle name="Note 3 2 4 2" xfId="3246" xr:uid="{00000000-0005-0000-0000-000094210000}"/>
    <cellStyle name="Note 3 2 4 2 2" xfId="7468" xr:uid="{00000000-0005-0000-0000-000095210000}"/>
    <cellStyle name="Note 3 2 4 2 2 2" xfId="15918" xr:uid="{8E565884-9005-4084-A991-DD79FF6AF25B}"/>
    <cellStyle name="Note 3 2 4 2 3" xfId="11700" xr:uid="{3E3102C0-F46F-41FA-8838-F51A0B36584F}"/>
    <cellStyle name="Note 3 2 4 3" xfId="5323" xr:uid="{00000000-0005-0000-0000-000096210000}"/>
    <cellStyle name="Note 3 2 4 3 2" xfId="13773" xr:uid="{07F85356-B293-4AEB-8752-B7A20DA331CC}"/>
    <cellStyle name="Note 3 2 4 4" xfId="9555" xr:uid="{A497CF68-A6DA-42E5-BBCD-2F467D16569A}"/>
    <cellStyle name="Note 3 2 5" xfId="1429" xr:uid="{00000000-0005-0000-0000-000097210000}"/>
    <cellStyle name="Note 3 2 5 2" xfId="3659" xr:uid="{00000000-0005-0000-0000-000098210000}"/>
    <cellStyle name="Note 3 2 5 2 2" xfId="7881" xr:uid="{00000000-0005-0000-0000-000099210000}"/>
    <cellStyle name="Note 3 2 5 2 2 2" xfId="16331" xr:uid="{1563CBF7-B150-4636-8565-A5F8839822AC}"/>
    <cellStyle name="Note 3 2 5 2 3" xfId="12113" xr:uid="{3326E01C-C16E-438E-A1C8-425B2D1DC843}"/>
    <cellStyle name="Note 3 2 5 3" xfId="5736" xr:uid="{00000000-0005-0000-0000-00009A210000}"/>
    <cellStyle name="Note 3 2 5 3 2" xfId="14186" xr:uid="{E98CA181-D8B9-4CB6-BA45-C5A3A35FA546}"/>
    <cellStyle name="Note 3 2 5 4" xfId="9968" xr:uid="{CC33E071-13EE-44DC-8A57-CE94DCC341A6}"/>
    <cellStyle name="Note 3 2 6" xfId="1843" xr:uid="{00000000-0005-0000-0000-00009B210000}"/>
    <cellStyle name="Note 3 2 6 2" xfId="4072" xr:uid="{00000000-0005-0000-0000-00009C210000}"/>
    <cellStyle name="Note 3 2 6 2 2" xfId="8294" xr:uid="{00000000-0005-0000-0000-00009D210000}"/>
    <cellStyle name="Note 3 2 6 2 2 2" xfId="16744" xr:uid="{F16C8550-8700-401B-8E95-CE4A9CB179E6}"/>
    <cellStyle name="Note 3 2 6 2 3" xfId="12526" xr:uid="{373D769A-4BF4-4B1A-8074-3575380C4A6F}"/>
    <cellStyle name="Note 3 2 6 3" xfId="6149" xr:uid="{00000000-0005-0000-0000-00009E210000}"/>
    <cellStyle name="Note 3 2 6 3 2" xfId="14599" xr:uid="{C5135A20-868E-4310-BD2C-573E6604D07B}"/>
    <cellStyle name="Note 3 2 6 4" xfId="10381" xr:uid="{D8674A9D-D566-4CAE-815F-4DACA1278E85}"/>
    <cellStyle name="Note 3 2 7" xfId="2256" xr:uid="{00000000-0005-0000-0000-00009F210000}"/>
    <cellStyle name="Note 3 2 7 2" xfId="4485" xr:uid="{00000000-0005-0000-0000-0000A0210000}"/>
    <cellStyle name="Note 3 2 7 2 2" xfId="8707" xr:uid="{00000000-0005-0000-0000-0000A1210000}"/>
    <cellStyle name="Note 3 2 7 2 2 2" xfId="17157" xr:uid="{A264708D-20E7-4344-BF8C-FF770FBEF2E3}"/>
    <cellStyle name="Note 3 2 7 2 3" xfId="12939" xr:uid="{9D7AADFA-EE77-47D9-BA9D-A5978B209D71}"/>
    <cellStyle name="Note 3 2 7 3" xfId="6562" xr:uid="{00000000-0005-0000-0000-0000A2210000}"/>
    <cellStyle name="Note 3 2 7 3 2" xfId="15012" xr:uid="{9EEF167C-31D5-4069-B7D8-2B2C23013A06}"/>
    <cellStyle name="Note 3 2 7 4" xfId="10794" xr:uid="{63448712-C985-495B-BE05-5145C7AD3739}"/>
    <cellStyle name="Note 3 2 8" xfId="2692" xr:uid="{00000000-0005-0000-0000-0000A3210000}"/>
    <cellStyle name="Note 3 2 8 2" xfId="6975" xr:uid="{00000000-0005-0000-0000-0000A4210000}"/>
    <cellStyle name="Note 3 2 8 2 2" xfId="15425" xr:uid="{680263AF-D566-4DC4-BBE0-5E6B188C0B98}"/>
    <cellStyle name="Note 3 2 8 3" xfId="11207" xr:uid="{80417400-092D-4C3B-8192-C25D2796673F}"/>
    <cellStyle name="Note 3 2 9" xfId="2751" xr:uid="{00000000-0005-0000-0000-0000A5210000}"/>
    <cellStyle name="Note 3 3" xfId="558" xr:uid="{00000000-0005-0000-0000-0000A6210000}"/>
    <cellStyle name="Note 3 3 10" xfId="4914" xr:uid="{00000000-0005-0000-0000-0000A7210000}"/>
    <cellStyle name="Note 3 3 10 2" xfId="13364" xr:uid="{B7ABC790-DA9C-4572-89B3-8036CB393EB9}"/>
    <cellStyle name="Note 3 3 11" xfId="9146" xr:uid="{9DBEA263-1B9B-49BE-A17B-8499FBF79FA0}"/>
    <cellStyle name="Note 3 3 2" xfId="559" xr:uid="{00000000-0005-0000-0000-0000A8210000}"/>
    <cellStyle name="Note 3 3 2 10" xfId="9147" xr:uid="{776E40A7-C377-4369-B3C2-DE2FC1139BD5}"/>
    <cellStyle name="Note 3 3 2 2" xfId="1019" xr:uid="{00000000-0005-0000-0000-0000A9210000}"/>
    <cellStyle name="Note 3 3 2 2 2" xfId="3251" xr:uid="{00000000-0005-0000-0000-0000AA210000}"/>
    <cellStyle name="Note 3 3 2 2 2 2" xfId="7473" xr:uid="{00000000-0005-0000-0000-0000AB210000}"/>
    <cellStyle name="Note 3 3 2 2 2 2 2" xfId="15923" xr:uid="{372753C5-6FF0-48A0-8BC4-95D12195F792}"/>
    <cellStyle name="Note 3 3 2 2 2 3" xfId="11705" xr:uid="{1A3F61CD-307A-41DE-87D2-E3F8D9D6E6EE}"/>
    <cellStyle name="Note 3 3 2 2 3" xfId="5328" xr:uid="{00000000-0005-0000-0000-0000AC210000}"/>
    <cellStyle name="Note 3 3 2 2 3 2" xfId="13778" xr:uid="{0BDB4323-D76E-4DBE-9F23-F288B6F40738}"/>
    <cellStyle name="Note 3 3 2 2 4" xfId="9560" xr:uid="{ADEFD742-E4E9-4369-91A8-31766E38658C}"/>
    <cellStyle name="Note 3 3 2 3" xfId="1434" xr:uid="{00000000-0005-0000-0000-0000AD210000}"/>
    <cellStyle name="Note 3 3 2 3 2" xfId="3664" xr:uid="{00000000-0005-0000-0000-0000AE210000}"/>
    <cellStyle name="Note 3 3 2 3 2 2" xfId="7886" xr:uid="{00000000-0005-0000-0000-0000AF210000}"/>
    <cellStyle name="Note 3 3 2 3 2 2 2" xfId="16336" xr:uid="{C895D6D9-5C90-4476-8967-338ABACF2366}"/>
    <cellStyle name="Note 3 3 2 3 2 3" xfId="12118" xr:uid="{9C39F2D5-9333-4CC3-A7CB-ADC5E718FDC3}"/>
    <cellStyle name="Note 3 3 2 3 3" xfId="5741" xr:uid="{00000000-0005-0000-0000-0000B0210000}"/>
    <cellStyle name="Note 3 3 2 3 3 2" xfId="14191" xr:uid="{B0D6CB4E-9B8D-427D-BFFD-5B36D770B5B7}"/>
    <cellStyle name="Note 3 3 2 3 4" xfId="9973" xr:uid="{84C4AAFF-87C2-4A60-A9B8-2F0A8C9087B3}"/>
    <cellStyle name="Note 3 3 2 4" xfId="1848" xr:uid="{00000000-0005-0000-0000-0000B1210000}"/>
    <cellStyle name="Note 3 3 2 4 2" xfId="4077" xr:uid="{00000000-0005-0000-0000-0000B2210000}"/>
    <cellStyle name="Note 3 3 2 4 2 2" xfId="8299" xr:uid="{00000000-0005-0000-0000-0000B3210000}"/>
    <cellStyle name="Note 3 3 2 4 2 2 2" xfId="16749" xr:uid="{4394C016-5DB3-4E32-A5DC-BACE282C550E}"/>
    <cellStyle name="Note 3 3 2 4 2 3" xfId="12531" xr:uid="{A0A2A2E8-9C18-4F33-8841-B7047FBF7392}"/>
    <cellStyle name="Note 3 3 2 4 3" xfId="6154" xr:uid="{00000000-0005-0000-0000-0000B4210000}"/>
    <cellStyle name="Note 3 3 2 4 3 2" xfId="14604" xr:uid="{8FB201DA-6096-494D-BA1C-C4B13F79F330}"/>
    <cellStyle name="Note 3 3 2 4 4" xfId="10386" xr:uid="{FCCD3CB8-1E6D-4EB1-9200-9FF7907E0148}"/>
    <cellStyle name="Note 3 3 2 5" xfId="2261" xr:uid="{00000000-0005-0000-0000-0000B5210000}"/>
    <cellStyle name="Note 3 3 2 5 2" xfId="4490" xr:uid="{00000000-0005-0000-0000-0000B6210000}"/>
    <cellStyle name="Note 3 3 2 5 2 2" xfId="8712" xr:uid="{00000000-0005-0000-0000-0000B7210000}"/>
    <cellStyle name="Note 3 3 2 5 2 2 2" xfId="17162" xr:uid="{7F90156C-77AD-43F9-AA16-A1224CEC97AB}"/>
    <cellStyle name="Note 3 3 2 5 2 3" xfId="12944" xr:uid="{9E7B196E-8AC2-4947-A999-4E5F3ABB2022}"/>
    <cellStyle name="Note 3 3 2 5 3" xfId="6567" xr:uid="{00000000-0005-0000-0000-0000B8210000}"/>
    <cellStyle name="Note 3 3 2 5 3 2" xfId="15017" xr:uid="{978FD3D2-D9BF-4996-8C52-3775C43F5AAA}"/>
    <cellStyle name="Note 3 3 2 5 4" xfId="10799" xr:uid="{290F5D57-C26A-45BE-A30F-86A207E90316}"/>
    <cellStyle name="Note 3 3 2 6" xfId="2697" xr:uid="{00000000-0005-0000-0000-0000B9210000}"/>
    <cellStyle name="Note 3 3 2 6 2" xfId="6980" xr:uid="{00000000-0005-0000-0000-0000BA210000}"/>
    <cellStyle name="Note 3 3 2 6 2 2" xfId="15430" xr:uid="{8AC6A51D-97EF-4AEA-839B-0CF7800432DB}"/>
    <cellStyle name="Note 3 3 2 6 3" xfId="11212" xr:uid="{E8BE3875-5782-4FFE-BD71-A9BDCBB33EC0}"/>
    <cellStyle name="Note 3 3 2 7" xfId="2756" xr:uid="{00000000-0005-0000-0000-0000BB210000}"/>
    <cellStyle name="Note 3 3 2 8" xfId="2837" xr:uid="{00000000-0005-0000-0000-0000BC210000}"/>
    <cellStyle name="Note 3 3 2 8 2" xfId="7060" xr:uid="{00000000-0005-0000-0000-0000BD210000}"/>
    <cellStyle name="Note 3 3 2 8 2 2" xfId="15510" xr:uid="{D97D4544-5324-4A71-8EDF-EA87D9047B40}"/>
    <cellStyle name="Note 3 3 2 8 3" xfId="11292" xr:uid="{25FBC75B-2B43-4174-9546-806401BBE788}"/>
    <cellStyle name="Note 3 3 2 9" xfId="4915" xr:uid="{00000000-0005-0000-0000-0000BE210000}"/>
    <cellStyle name="Note 3 3 2 9 2" xfId="13365" xr:uid="{CB4F0E3E-19F2-44BD-BA69-B9445E61BD17}"/>
    <cellStyle name="Note 3 3 3" xfId="1018" xr:uid="{00000000-0005-0000-0000-0000BF210000}"/>
    <cellStyle name="Note 3 3 3 2" xfId="3250" xr:uid="{00000000-0005-0000-0000-0000C0210000}"/>
    <cellStyle name="Note 3 3 3 2 2" xfId="7472" xr:uid="{00000000-0005-0000-0000-0000C1210000}"/>
    <cellStyle name="Note 3 3 3 2 2 2" xfId="15922" xr:uid="{0659D1D1-5184-46AC-B750-FBCF8EA5CB08}"/>
    <cellStyle name="Note 3 3 3 2 3" xfId="11704" xr:uid="{EEF4B6EE-3188-4ACB-8FC3-14B8B8C9F634}"/>
    <cellStyle name="Note 3 3 3 3" xfId="5327" xr:uid="{00000000-0005-0000-0000-0000C2210000}"/>
    <cellStyle name="Note 3 3 3 3 2" xfId="13777" xr:uid="{2BACE5BB-E2A9-4277-BF2D-DADFDCC41A5D}"/>
    <cellStyle name="Note 3 3 3 4" xfId="9559" xr:uid="{EF36E334-6D25-45FF-BA81-BC87AC43ACB5}"/>
    <cellStyle name="Note 3 3 4" xfId="1433" xr:uid="{00000000-0005-0000-0000-0000C3210000}"/>
    <cellStyle name="Note 3 3 4 2" xfId="3663" xr:uid="{00000000-0005-0000-0000-0000C4210000}"/>
    <cellStyle name="Note 3 3 4 2 2" xfId="7885" xr:uid="{00000000-0005-0000-0000-0000C5210000}"/>
    <cellStyle name="Note 3 3 4 2 2 2" xfId="16335" xr:uid="{1151B9E2-9827-41FE-8A1C-8D2B25AB79E0}"/>
    <cellStyle name="Note 3 3 4 2 3" xfId="12117" xr:uid="{618994A7-60E7-4CBE-AE14-8B5E6F1C069A}"/>
    <cellStyle name="Note 3 3 4 3" xfId="5740" xr:uid="{00000000-0005-0000-0000-0000C6210000}"/>
    <cellStyle name="Note 3 3 4 3 2" xfId="14190" xr:uid="{D377B75F-2147-4CF6-82B2-933F83C063CE}"/>
    <cellStyle name="Note 3 3 4 4" xfId="9972" xr:uid="{4928F680-348B-4DB0-807D-2667B437D1D1}"/>
    <cellStyle name="Note 3 3 5" xfId="1847" xr:uid="{00000000-0005-0000-0000-0000C7210000}"/>
    <cellStyle name="Note 3 3 5 2" xfId="4076" xr:uid="{00000000-0005-0000-0000-0000C8210000}"/>
    <cellStyle name="Note 3 3 5 2 2" xfId="8298" xr:uid="{00000000-0005-0000-0000-0000C9210000}"/>
    <cellStyle name="Note 3 3 5 2 2 2" xfId="16748" xr:uid="{76FFAB20-72E3-4D5E-99A2-ECF4C138B2FE}"/>
    <cellStyle name="Note 3 3 5 2 3" xfId="12530" xr:uid="{D9FC0B30-9969-4C41-B903-81F8BA7815D8}"/>
    <cellStyle name="Note 3 3 5 3" xfId="6153" xr:uid="{00000000-0005-0000-0000-0000CA210000}"/>
    <cellStyle name="Note 3 3 5 3 2" xfId="14603" xr:uid="{B65D1145-D60C-4EA1-AE30-2ED266E4D7D7}"/>
    <cellStyle name="Note 3 3 5 4" xfId="10385" xr:uid="{0FBC732D-379C-4B10-A4E0-5A63BC0BACEA}"/>
    <cellStyle name="Note 3 3 6" xfId="2260" xr:uid="{00000000-0005-0000-0000-0000CB210000}"/>
    <cellStyle name="Note 3 3 6 2" xfId="4489" xr:uid="{00000000-0005-0000-0000-0000CC210000}"/>
    <cellStyle name="Note 3 3 6 2 2" xfId="8711" xr:uid="{00000000-0005-0000-0000-0000CD210000}"/>
    <cellStyle name="Note 3 3 6 2 2 2" xfId="17161" xr:uid="{7F94DD30-03BA-46D9-824D-C2F4C5C85962}"/>
    <cellStyle name="Note 3 3 6 2 3" xfId="12943" xr:uid="{376DB453-214A-4C36-94D2-AA0F3C62023C}"/>
    <cellStyle name="Note 3 3 6 3" xfId="6566" xr:uid="{00000000-0005-0000-0000-0000CE210000}"/>
    <cellStyle name="Note 3 3 6 3 2" xfId="15016" xr:uid="{EECEB327-CA7E-4E37-9143-618DD5A16626}"/>
    <cellStyle name="Note 3 3 6 4" xfId="10798" xr:uid="{840003C9-F8E7-4D53-9E8F-11264F029FCB}"/>
    <cellStyle name="Note 3 3 7" xfId="2696" xr:uid="{00000000-0005-0000-0000-0000CF210000}"/>
    <cellStyle name="Note 3 3 7 2" xfId="6979" xr:uid="{00000000-0005-0000-0000-0000D0210000}"/>
    <cellStyle name="Note 3 3 7 2 2" xfId="15429" xr:uid="{B1133608-12A2-4894-AF0D-7740B4D57AB3}"/>
    <cellStyle name="Note 3 3 7 3" xfId="11211" xr:uid="{A4068CD2-2F7E-49B6-8C01-F849E5F4FACE}"/>
    <cellStyle name="Note 3 3 8" xfId="2755" xr:uid="{00000000-0005-0000-0000-0000D1210000}"/>
    <cellStyle name="Note 3 3 9" xfId="2836" xr:uid="{00000000-0005-0000-0000-0000D2210000}"/>
    <cellStyle name="Note 3 3 9 2" xfId="7059" xr:uid="{00000000-0005-0000-0000-0000D3210000}"/>
    <cellStyle name="Note 3 3 9 2 2" xfId="15509" xr:uid="{ACC27464-B124-4464-B106-709CE0D94B6F}"/>
    <cellStyle name="Note 3 3 9 3" xfId="11291" xr:uid="{B738A16F-1406-4D3E-B6D6-18874A1F7718}"/>
    <cellStyle name="Note 3 4" xfId="560" xr:uid="{00000000-0005-0000-0000-0000D4210000}"/>
    <cellStyle name="Note 3 4 10" xfId="9148" xr:uid="{F8BFBD87-1208-4B2B-BE6C-9D96489D8E5E}"/>
    <cellStyle name="Note 3 4 2" xfId="1020" xr:uid="{00000000-0005-0000-0000-0000D5210000}"/>
    <cellStyle name="Note 3 4 2 2" xfId="3252" xr:uid="{00000000-0005-0000-0000-0000D6210000}"/>
    <cellStyle name="Note 3 4 2 2 2" xfId="7474" xr:uid="{00000000-0005-0000-0000-0000D7210000}"/>
    <cellStyle name="Note 3 4 2 2 2 2" xfId="15924" xr:uid="{904FBFA6-BDEF-4C2D-A6B9-0BD5FB7B6BED}"/>
    <cellStyle name="Note 3 4 2 2 3" xfId="11706" xr:uid="{9A16977E-5F0A-42CB-A1DF-D56FC2D99982}"/>
    <cellStyle name="Note 3 4 2 3" xfId="5329" xr:uid="{00000000-0005-0000-0000-0000D8210000}"/>
    <cellStyle name="Note 3 4 2 3 2" xfId="13779" xr:uid="{3954FCBA-2648-411B-9454-7F5C7AED18EF}"/>
    <cellStyle name="Note 3 4 2 4" xfId="9561" xr:uid="{61A7FA73-14F0-403B-BED8-1203F2A127A4}"/>
    <cellStyle name="Note 3 4 3" xfId="1435" xr:uid="{00000000-0005-0000-0000-0000D9210000}"/>
    <cellStyle name="Note 3 4 3 2" xfId="3665" xr:uid="{00000000-0005-0000-0000-0000DA210000}"/>
    <cellStyle name="Note 3 4 3 2 2" xfId="7887" xr:uid="{00000000-0005-0000-0000-0000DB210000}"/>
    <cellStyle name="Note 3 4 3 2 2 2" xfId="16337" xr:uid="{97F24EE4-ED1F-4600-B32E-C6A1A641AEEF}"/>
    <cellStyle name="Note 3 4 3 2 3" xfId="12119" xr:uid="{E8671595-33A0-47A5-B4B6-3D9E034754CE}"/>
    <cellStyle name="Note 3 4 3 3" xfId="5742" xr:uid="{00000000-0005-0000-0000-0000DC210000}"/>
    <cellStyle name="Note 3 4 3 3 2" xfId="14192" xr:uid="{9A984E6F-F80D-4FE1-BD15-7BEDEB0C244D}"/>
    <cellStyle name="Note 3 4 3 4" xfId="9974" xr:uid="{83B25D35-41FD-48F0-803D-8A0395B74AE4}"/>
    <cellStyle name="Note 3 4 4" xfId="1849" xr:uid="{00000000-0005-0000-0000-0000DD210000}"/>
    <cellStyle name="Note 3 4 4 2" xfId="4078" xr:uid="{00000000-0005-0000-0000-0000DE210000}"/>
    <cellStyle name="Note 3 4 4 2 2" xfId="8300" xr:uid="{00000000-0005-0000-0000-0000DF210000}"/>
    <cellStyle name="Note 3 4 4 2 2 2" xfId="16750" xr:uid="{562CCE1E-B733-4CE0-BD6E-B142057E9E46}"/>
    <cellStyle name="Note 3 4 4 2 3" xfId="12532" xr:uid="{E58F9F34-FEA6-4D58-8FF0-B7DF0BD4B934}"/>
    <cellStyle name="Note 3 4 4 3" xfId="6155" xr:uid="{00000000-0005-0000-0000-0000E0210000}"/>
    <cellStyle name="Note 3 4 4 3 2" xfId="14605" xr:uid="{22FA1242-9100-4961-B56C-29CF0CBF14DA}"/>
    <cellStyle name="Note 3 4 4 4" xfId="10387" xr:uid="{D792EFF2-6BB9-422D-8EDB-78B1BA67FAB5}"/>
    <cellStyle name="Note 3 4 5" xfId="2262" xr:uid="{00000000-0005-0000-0000-0000E1210000}"/>
    <cellStyle name="Note 3 4 5 2" xfId="4491" xr:uid="{00000000-0005-0000-0000-0000E2210000}"/>
    <cellStyle name="Note 3 4 5 2 2" xfId="8713" xr:uid="{00000000-0005-0000-0000-0000E3210000}"/>
    <cellStyle name="Note 3 4 5 2 2 2" xfId="17163" xr:uid="{AB4C6109-5D38-4C00-BB51-3FDC1FB8D4ED}"/>
    <cellStyle name="Note 3 4 5 2 3" xfId="12945" xr:uid="{1D0A4110-76A7-434A-B7B7-ABB0D4714883}"/>
    <cellStyle name="Note 3 4 5 3" xfId="6568" xr:uid="{00000000-0005-0000-0000-0000E4210000}"/>
    <cellStyle name="Note 3 4 5 3 2" xfId="15018" xr:uid="{97DA6C34-5E25-4139-812D-75FCEE1540CF}"/>
    <cellStyle name="Note 3 4 5 4" xfId="10800" xr:uid="{95CFA901-B83E-476B-8284-EBB9F53C3D48}"/>
    <cellStyle name="Note 3 4 6" xfId="2698" xr:uid="{00000000-0005-0000-0000-0000E5210000}"/>
    <cellStyle name="Note 3 4 6 2" xfId="6981" xr:uid="{00000000-0005-0000-0000-0000E6210000}"/>
    <cellStyle name="Note 3 4 6 2 2" xfId="15431" xr:uid="{1A10DEDF-6B4B-4710-87CB-9C5D6252B437}"/>
    <cellStyle name="Note 3 4 6 3" xfId="11213" xr:uid="{FCC61083-E0EE-47BD-92F5-53BB1D064EE4}"/>
    <cellStyle name="Note 3 4 7" xfId="2757" xr:uid="{00000000-0005-0000-0000-0000E7210000}"/>
    <cellStyle name="Note 3 4 8" xfId="2838" xr:uid="{00000000-0005-0000-0000-0000E8210000}"/>
    <cellStyle name="Note 3 4 8 2" xfId="7061" xr:uid="{00000000-0005-0000-0000-0000E9210000}"/>
    <cellStyle name="Note 3 4 8 2 2" xfId="15511" xr:uid="{87327FF8-5B47-4BBD-9AFD-813A98F0DCC5}"/>
    <cellStyle name="Note 3 4 8 3" xfId="11293" xr:uid="{B6DFDC5B-6DE7-4F41-B140-9CB0EDB50C64}"/>
    <cellStyle name="Note 3 4 9" xfId="4916" xr:uid="{00000000-0005-0000-0000-0000EA210000}"/>
    <cellStyle name="Note 3 4 9 2" xfId="13366" xr:uid="{82E395C4-7B31-4C6C-8B52-CB31093DF8EA}"/>
    <cellStyle name="Note 3 5" xfId="561" xr:uid="{00000000-0005-0000-0000-0000EB210000}"/>
    <cellStyle name="Note 3 5 10" xfId="9149" xr:uid="{A8702E1F-08E0-43D0-93CA-025454E3115D}"/>
    <cellStyle name="Note 3 5 2" xfId="1021" xr:uid="{00000000-0005-0000-0000-0000EC210000}"/>
    <cellStyle name="Note 3 5 2 2" xfId="3253" xr:uid="{00000000-0005-0000-0000-0000ED210000}"/>
    <cellStyle name="Note 3 5 2 2 2" xfId="7475" xr:uid="{00000000-0005-0000-0000-0000EE210000}"/>
    <cellStyle name="Note 3 5 2 2 2 2" xfId="15925" xr:uid="{E8853D22-A170-4DEA-8CEC-8954B5F477DF}"/>
    <cellStyle name="Note 3 5 2 2 3" xfId="11707" xr:uid="{0CE2ADEF-AB75-429A-B3CF-F7D94B2A5D12}"/>
    <cellStyle name="Note 3 5 2 3" xfId="5330" xr:uid="{00000000-0005-0000-0000-0000EF210000}"/>
    <cellStyle name="Note 3 5 2 3 2" xfId="13780" xr:uid="{342F7B1D-F18C-4E2A-9742-722C4B2F7382}"/>
    <cellStyle name="Note 3 5 2 4" xfId="9562" xr:uid="{7406C6A7-4030-4941-882C-562922FDEAE8}"/>
    <cellStyle name="Note 3 5 3" xfId="1436" xr:uid="{00000000-0005-0000-0000-0000F0210000}"/>
    <cellStyle name="Note 3 5 3 2" xfId="3666" xr:uid="{00000000-0005-0000-0000-0000F1210000}"/>
    <cellStyle name="Note 3 5 3 2 2" xfId="7888" xr:uid="{00000000-0005-0000-0000-0000F2210000}"/>
    <cellStyle name="Note 3 5 3 2 2 2" xfId="16338" xr:uid="{7CBBC90B-B801-45C3-9465-C3A42B9326B8}"/>
    <cellStyle name="Note 3 5 3 2 3" xfId="12120" xr:uid="{62B95797-F292-455F-998B-E3B98C88AA1A}"/>
    <cellStyle name="Note 3 5 3 3" xfId="5743" xr:uid="{00000000-0005-0000-0000-0000F3210000}"/>
    <cellStyle name="Note 3 5 3 3 2" xfId="14193" xr:uid="{B6544F0C-D1BE-41F3-B7CE-EC9668B89AF1}"/>
    <cellStyle name="Note 3 5 3 4" xfId="9975" xr:uid="{A911C8FD-1C71-4EB6-8AE8-2418BAE4D4C7}"/>
    <cellStyle name="Note 3 5 4" xfId="1850" xr:uid="{00000000-0005-0000-0000-0000F4210000}"/>
    <cellStyle name="Note 3 5 4 2" xfId="4079" xr:uid="{00000000-0005-0000-0000-0000F5210000}"/>
    <cellStyle name="Note 3 5 4 2 2" xfId="8301" xr:uid="{00000000-0005-0000-0000-0000F6210000}"/>
    <cellStyle name="Note 3 5 4 2 2 2" xfId="16751" xr:uid="{A34ADA0C-D21E-435B-984C-3B31A013C7C8}"/>
    <cellStyle name="Note 3 5 4 2 3" xfId="12533" xr:uid="{A95B6156-EC49-4732-AEF9-4C017482C62F}"/>
    <cellStyle name="Note 3 5 4 3" xfId="6156" xr:uid="{00000000-0005-0000-0000-0000F7210000}"/>
    <cellStyle name="Note 3 5 4 3 2" xfId="14606" xr:uid="{561A7382-C71B-4C88-8603-5339256FAFEF}"/>
    <cellStyle name="Note 3 5 4 4" xfId="10388" xr:uid="{71CE0F21-B4DA-412E-813A-0FAD2424B03E}"/>
    <cellStyle name="Note 3 5 5" xfId="2263" xr:uid="{00000000-0005-0000-0000-0000F8210000}"/>
    <cellStyle name="Note 3 5 5 2" xfId="4492" xr:uid="{00000000-0005-0000-0000-0000F9210000}"/>
    <cellStyle name="Note 3 5 5 2 2" xfId="8714" xr:uid="{00000000-0005-0000-0000-0000FA210000}"/>
    <cellStyle name="Note 3 5 5 2 2 2" xfId="17164" xr:uid="{4849580C-9BD9-4B1A-AE50-91D99E6E239C}"/>
    <cellStyle name="Note 3 5 5 2 3" xfId="12946" xr:uid="{B0D2EDD2-FC8C-4125-8886-DA6A72D95786}"/>
    <cellStyle name="Note 3 5 5 3" xfId="6569" xr:uid="{00000000-0005-0000-0000-0000FB210000}"/>
    <cellStyle name="Note 3 5 5 3 2" xfId="15019" xr:uid="{1E131EA7-866D-460B-90CC-3DCE9A171F17}"/>
    <cellStyle name="Note 3 5 5 4" xfId="10801" xr:uid="{00EFA842-5CB9-4DDD-B3FB-806CB433F7C7}"/>
    <cellStyle name="Note 3 5 6" xfId="2699" xr:uid="{00000000-0005-0000-0000-0000FC210000}"/>
    <cellStyle name="Note 3 5 6 2" xfId="6982" xr:uid="{00000000-0005-0000-0000-0000FD210000}"/>
    <cellStyle name="Note 3 5 6 2 2" xfId="15432" xr:uid="{FF0B58AB-D63B-4F7A-9C27-6E3936AFF7BA}"/>
    <cellStyle name="Note 3 5 6 3" xfId="11214" xr:uid="{9C8E3D19-2BD0-4A2E-9598-B0252968A0DA}"/>
    <cellStyle name="Note 3 5 7" xfId="2758" xr:uid="{00000000-0005-0000-0000-0000FE210000}"/>
    <cellStyle name="Note 3 5 8" xfId="2839" xr:uid="{00000000-0005-0000-0000-0000FF210000}"/>
    <cellStyle name="Note 3 5 8 2" xfId="7062" xr:uid="{00000000-0005-0000-0000-000000220000}"/>
    <cellStyle name="Note 3 5 8 2 2" xfId="15512" xr:uid="{6D6D0C58-7FE2-4847-A929-0BFF4A53CB07}"/>
    <cellStyle name="Note 3 5 8 3" xfId="11294" xr:uid="{5EAE29CE-04B9-4FC3-8CD7-DA8A2C3AEF75}"/>
    <cellStyle name="Note 3 5 9" xfId="4917" xr:uid="{00000000-0005-0000-0000-000001220000}"/>
    <cellStyle name="Note 3 5 9 2" xfId="13367" xr:uid="{F5470243-62D8-49C4-99D9-B4B3A355C1BA}"/>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943FE1E7-F8D8-4CE2-B51D-56FD4B6E8F03}"/>
    <cellStyle name="Percent 4" xfId="4502" xr:uid="{00000000-0005-0000-0000-000007220000}"/>
    <cellStyle name="Percent 4 2" xfId="8717" xr:uid="{00000000-0005-0000-0000-000008220000}"/>
    <cellStyle name="Percent 4 2 2" xfId="17167" xr:uid="{C7533E0C-80E6-401B-AA97-82BE8A4CA9B7}"/>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17183" xr:uid="{935C4CFC-CA01-4B1B-8243-6E001AB26D99}"/>
    <cellStyle name="Percent 4 3 2 2 2 3" xfId="17180" xr:uid="{D6AD43A6-8790-46B7-82D0-9C4AF2A2F1ED}"/>
    <cellStyle name="Percent 4 3 2 2 3" xfId="17176" xr:uid="{4384AE95-68EE-4BF3-A0A4-0E4C9E266BBE}"/>
    <cellStyle name="Percent 4 3 2 3" xfId="17173" xr:uid="{EFACCE6A-A0DC-44BC-80AB-45AF62A40339}"/>
    <cellStyle name="Percent 4 3 3" xfId="17170" xr:uid="{F11B5E5E-88B1-4412-91D8-37AFC79A10F1}"/>
    <cellStyle name="Percent 4 4" xfId="12953" xr:uid="{02D7FD5F-49A7-4BBF-8327-0CEFEE3DE347}"/>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2604</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2603</v>
      </c>
      <c r="E18" s="441"/>
      <c r="G18" s="441"/>
      <c r="H18" s="441"/>
      <c r="I18" s="441"/>
      <c r="J18" s="1264" t="s">
        <v>2602</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2518</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56" workbookViewId="0">
      <selection activeCell="I27" sqref="I27"/>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6" t="s">
        <v>1586</v>
      </c>
      <c r="B1" s="2656"/>
      <c r="C1" s="2656"/>
      <c r="D1" s="2656"/>
      <c r="E1" s="2656"/>
      <c r="F1" s="2656"/>
      <c r="G1" s="2656"/>
      <c r="H1" s="2656"/>
      <c r="I1" s="2656"/>
      <c r="J1" s="2656"/>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31721954</v>
      </c>
      <c r="I3" s="1105"/>
    </row>
    <row r="4" spans="1:13" s="1051" customFormat="1" ht="20.100000000000001" customHeight="1">
      <c r="B4" s="1094"/>
      <c r="D4" s="1108"/>
      <c r="F4" s="1092" t="s">
        <v>1992</v>
      </c>
      <c r="G4" s="1091" t="s">
        <v>1991</v>
      </c>
      <c r="H4" s="1093">
        <f>I18</f>
        <v>21141686.568872549</v>
      </c>
      <c r="I4" s="1095"/>
      <c r="K4" s="1055"/>
    </row>
    <row r="5" spans="1:13" s="1051" customFormat="1" ht="20.100000000000001" customHeight="1" thickBot="1">
      <c r="B5" s="1096"/>
      <c r="C5" s="1097"/>
      <c r="D5" s="1109"/>
      <c r="E5" s="1098"/>
      <c r="F5" s="1109" t="s">
        <v>1942</v>
      </c>
      <c r="G5" s="1110"/>
      <c r="H5" s="1106">
        <f>IFERROR(H3/H4,0)</f>
        <v>1.5004457613473965</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9" t="s">
        <v>1940</v>
      </c>
      <c r="C8" s="2660"/>
      <c r="D8" s="2660"/>
      <c r="E8" s="2661"/>
      <c r="G8" s="2662" t="s">
        <v>1941</v>
      </c>
      <c r="H8" s="2663"/>
      <c r="I8" s="2664"/>
      <c r="K8" s="1057"/>
    </row>
    <row r="9" spans="1:13" ht="15" customHeight="1">
      <c r="A9" s="1046"/>
      <c r="B9" s="2657" t="s">
        <v>1974</v>
      </c>
      <c r="C9" s="2657"/>
      <c r="D9" s="2657"/>
      <c r="E9" s="1059">
        <f>G33</f>
        <v>6312500</v>
      </c>
      <c r="G9" s="2665" t="s">
        <v>1972</v>
      </c>
      <c r="H9" s="2665"/>
      <c r="I9" s="1060">
        <f>SUMIF(Application!M554:M565,"Loan, Tax-Exempt",Application!AM554:AM565)</f>
        <v>13340901</v>
      </c>
      <c r="K9" s="1061"/>
      <c r="M9" s="1062"/>
    </row>
    <row r="10" spans="1:13" ht="15" customHeight="1" thickBot="1">
      <c r="A10" s="1046"/>
      <c r="B10" s="2657" t="s">
        <v>1975</v>
      </c>
      <c r="C10" s="2657"/>
      <c r="D10" s="2657"/>
      <c r="E10" s="1060">
        <f>G47</f>
        <v>11140704</v>
      </c>
      <c r="G10" s="2669" t="s">
        <v>1943</v>
      </c>
      <c r="H10" s="2669"/>
      <c r="I10" s="1140">
        <f>'Basis &amp; Credits'!AB78</f>
        <v>10436940</v>
      </c>
      <c r="M10" s="1062"/>
    </row>
    <row r="11" spans="1:13" ht="15" customHeight="1">
      <c r="A11" s="1046"/>
      <c r="B11" s="2673" t="s">
        <v>2263</v>
      </c>
      <c r="C11" s="2674"/>
      <c r="D11" s="2675"/>
      <c r="E11" s="1060">
        <f>SUM(E12,E13)</f>
        <v>760000</v>
      </c>
      <c r="G11" s="2672" t="s">
        <v>1983</v>
      </c>
      <c r="H11" s="2672"/>
      <c r="I11" s="1139">
        <f>I9+I10</f>
        <v>23777841</v>
      </c>
      <c r="M11" s="1062"/>
    </row>
    <row r="12" spans="1:13" ht="15" customHeight="1">
      <c r="A12" s="1063"/>
      <c r="B12" s="2658" t="s">
        <v>2265</v>
      </c>
      <c r="C12" s="2658"/>
      <c r="D12" s="2658"/>
      <c r="E12" s="1165">
        <f>G56</f>
        <v>0</v>
      </c>
      <c r="M12" s="1062"/>
    </row>
    <row r="13" spans="1:13" ht="15" customHeight="1">
      <c r="A13" s="1049"/>
      <c r="B13" s="2658" t="s">
        <v>2266</v>
      </c>
      <c r="C13" s="2658"/>
      <c r="D13" s="2658"/>
      <c r="E13" s="1165">
        <f>G65</f>
        <v>760000</v>
      </c>
      <c r="G13" s="2662" t="s">
        <v>2006</v>
      </c>
      <c r="H13" s="2663"/>
      <c r="I13" s="2664"/>
      <c r="M13" s="1062"/>
    </row>
    <row r="14" spans="1:13" ht="15" customHeight="1">
      <c r="A14" s="1049"/>
      <c r="B14" s="2673" t="s">
        <v>2264</v>
      </c>
      <c r="C14" s="2674"/>
      <c r="D14" s="2675"/>
      <c r="E14" s="1167">
        <f>MAX(E15,E16)+E17</f>
        <v>13508750</v>
      </c>
      <c r="G14" s="2665" t="s">
        <v>139</v>
      </c>
      <c r="H14" s="2665"/>
      <c r="I14" s="1064">
        <f>15%*(AND(G120="Yes",G122&lt;&gt;""))</f>
        <v>0</v>
      </c>
      <c r="M14" s="1062"/>
    </row>
    <row r="15" spans="1:13" ht="15" customHeight="1">
      <c r="A15" s="1049"/>
      <c r="B15" s="2676" t="s">
        <v>2270</v>
      </c>
      <c r="C15" s="2677"/>
      <c r="D15" s="2678"/>
      <c r="E15" s="1165">
        <f>G80</f>
        <v>3787500</v>
      </c>
      <c r="G15" s="1137" t="s">
        <v>1984</v>
      </c>
      <c r="H15" s="1137"/>
      <c r="I15" s="1064">
        <f>IF(Application!AJ1032&gt;0,10%,IF(Application!AJ1036&gt;0,5%,0))</f>
        <v>0.05</v>
      </c>
      <c r="M15" s="1062"/>
    </row>
    <row r="16" spans="1:13" ht="15" customHeight="1">
      <c r="A16" s="1049"/>
      <c r="B16" s="2676" t="s">
        <v>2269</v>
      </c>
      <c r="C16" s="2677"/>
      <c r="D16" s="2678"/>
      <c r="E16" s="1165">
        <f>G90</f>
        <v>0</v>
      </c>
      <c r="G16" s="2665" t="s">
        <v>1985</v>
      </c>
      <c r="H16" s="2665"/>
      <c r="I16" s="1064">
        <f>G132</f>
        <v>6.0866013071895424E-2</v>
      </c>
    </row>
    <row r="17" spans="1:21" ht="15" customHeight="1" thickBot="1">
      <c r="A17" s="1049"/>
      <c r="B17" s="2676" t="s">
        <v>2268</v>
      </c>
      <c r="C17" s="2677"/>
      <c r="D17" s="2678"/>
      <c r="E17" s="1165">
        <f>G115</f>
        <v>9721250</v>
      </c>
      <c r="G17" s="2665" t="s">
        <v>2278</v>
      </c>
      <c r="H17" s="2665"/>
      <c r="I17" s="1064">
        <f>IF(AND(G139="Yes",OR(G136,G137)),IF(G143&gt;15%,15%,G143),0)</f>
        <v>0</v>
      </c>
    </row>
    <row r="18" spans="1:21" ht="15" customHeight="1">
      <c r="A18" s="1046"/>
      <c r="B18" s="2668" t="s">
        <v>1939</v>
      </c>
      <c r="C18" s="2668"/>
      <c r="D18" s="2668"/>
      <c r="E18" s="1111">
        <f>SUM(E9:E11,E14)</f>
        <v>31721954</v>
      </c>
      <c r="G18" s="1138" t="s">
        <v>1973</v>
      </c>
      <c r="H18" s="1138"/>
      <c r="I18" s="1112">
        <f>I11-((I11*I14)+(I11*I15)+(I11*I16)+(I11*I17))</f>
        <v>21141686.568872549</v>
      </c>
      <c r="M18" s="1065">
        <f>SUM(Cdlac[Quantity])</f>
        <v>104</v>
      </c>
      <c r="O18" s="1084" t="s">
        <v>583</v>
      </c>
      <c r="P18" s="1044">
        <f>MATCH(Application!T189,Application!CB160:CB217,0)</f>
        <v>19</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32</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13</v>
      </c>
      <c r="N21" s="1071">
        <f>Application!AC719</f>
        <v>0.8</v>
      </c>
      <c r="O21" s="1071">
        <f>IF(Cdlac[[#This Row],[Quantity]]&gt;0,IF(Cdlac[[#This Row],[Federal]],30%,IF(AND(OR(NOT($G$38),$G$38=""),$G$43),40%,Cdlac[[#This Row],[iAMI]])),"")</f>
        <v>0.8</v>
      </c>
      <c r="P21" s="1065" cm="1">
        <f t="array" ref="P21">IF(Cdlac[[#This Row],[Quantity]]&gt;0,INDEX(TcacRents,$P$18,Cdlac[[#This Row],[Bedrooms]]+1)*Cdlac[[#This Row],[AMI]],"")</f>
        <v>2272</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0</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6" t="s">
        <v>1987</v>
      </c>
      <c r="D22" s="2666" t="s">
        <v>1988</v>
      </c>
      <c r="E22" s="2666" t="s">
        <v>1989</v>
      </c>
      <c r="F22" s="2666" t="s">
        <v>2609</v>
      </c>
      <c r="G22" s="2666" t="s">
        <v>1986</v>
      </c>
      <c r="H22" s="1070"/>
      <c r="I22" s="1069"/>
      <c r="L22" s="1044">
        <f>IFERROR(MIN(4,MATCH(Application!B720,UnitSizes,0)-1),"")</f>
        <v>2</v>
      </c>
      <c r="M22" s="1065">
        <f>Application!G720</f>
        <v>3</v>
      </c>
      <c r="N22" s="1071">
        <f>Application!AC720</f>
        <v>0.3</v>
      </c>
      <c r="O22" s="1071">
        <f>IF(Cdlac[[#This Row],[Quantity]]&gt;0,IF(Cdlac[[#This Row],[Federal]],30%,IF(AND(OR(NOT($G$38),$G$38=""),$G$43),40%,Cdlac[[#This Row],[iAMI]])),"")</f>
        <v>0.3</v>
      </c>
      <c r="P22" s="1065" cm="1">
        <f t="array" ref="P22">IF(Cdlac[[#This Row],[Quantity]]&gt;0,INDEX(TcacRents,$P$18,Cdlac[[#This Row],[Bedrooms]]+1)*Cdlac[[#This Row],[AMI]],"")</f>
        <v>1021.8</v>
      </c>
      <c r="Q22" s="1164"/>
      <c r="R22" s="1065" cm="1">
        <f t="array" ref="R22">IF(Cdlac[[#This Row],[Quantity]]&gt;0,INDEX(HudFmrs,$P$18,Cdlac[[#This Row],[Bedrooms]]+1),"")</f>
        <v>2625</v>
      </c>
      <c r="S22" s="1065">
        <f>IF(Cdlac[[#This Row],[Quantity]]&gt;0,MAX(0,Cdlac[[#This Row],[Fair Market Rent]]-IF(AND($G$37,$G$38,$G$38&lt;&gt;"",NOT(Cdlac[[#This Row],[Federal]]),Cdlac[[#This Row],[Preservation Rent]]&lt;&gt;""),Cdlac[[#This Row],[Preservation Rent]],Cdlac[[#This Row],[Restricted Rent]])),"")</f>
        <v>1603.2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7"/>
      <c r="D23" s="2667"/>
      <c r="E23" s="2667"/>
      <c r="F23" s="2667"/>
      <c r="G23" s="2667"/>
      <c r="H23" s="1070"/>
      <c r="I23" s="1069"/>
      <c r="L23" s="1044">
        <f>IFERROR(MIN(4,MATCH(Application!B721,UnitSizes,0)-1),"")</f>
        <v>2</v>
      </c>
      <c r="M23" s="1065">
        <f>Application!G721</f>
        <v>3</v>
      </c>
      <c r="N23" s="1071">
        <f>Application!AC721</f>
        <v>0.5</v>
      </c>
      <c r="O23" s="1071">
        <f>IF(Cdlac[[#This Row],[Quantity]]&gt;0,IF(Cdlac[[#This Row],[Federal]],30%,IF(AND(OR(NOT($G$38),$G$38=""),$G$43),40%,Cdlac[[#This Row],[iAMI]])),"")</f>
        <v>0.5</v>
      </c>
      <c r="P23" s="1065" cm="1">
        <f t="array" ref="P23">IF(Cdlac[[#This Row],[Quantity]]&gt;0,INDEX(TcacRents,$P$18,Cdlac[[#This Row],[Bedrooms]]+1)*Cdlac[[#This Row],[AMI]],"")</f>
        <v>1703</v>
      </c>
      <c r="Q23" s="1164"/>
      <c r="R23" s="1065" cm="1">
        <f t="array" ref="R23">IF(Cdlac[[#This Row],[Quantity]]&gt;0,INDEX(HudFmrs,$P$18,Cdlac[[#This Row],[Bedrooms]]+1),"")</f>
        <v>2625</v>
      </c>
      <c r="S23" s="1065">
        <f>IF(Cdlac[[#This Row],[Quantity]]&gt;0,MAX(0,Cdlac[[#This Row],[Fair Market Rent]]-IF(AND($G$37,$G$38,$G$38&lt;&gt;"",NOT(Cdlac[[#This Row],[Federal]]),Cdlac[[#This Row],[Preservation Rent]]&lt;&gt;""),Cdlac[[#This Row],[Preservation Rent]],Cdlac[[#This Row],[Restricted Rent]])),"")</f>
        <v>922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23</v>
      </c>
      <c r="N24" s="1071">
        <f>Application!AC722</f>
        <v>0.8</v>
      </c>
      <c r="O24" s="1071">
        <f>IF(Cdlac[[#This Row],[Quantity]]&gt;0,IF(Cdlac[[#This Row],[Federal]],30%,IF(AND(OR(NOT($G$38),$G$38=""),$G$43),40%,Cdlac[[#This Row],[iAMI]])),"")</f>
        <v>0.8</v>
      </c>
      <c r="P24" s="1065" cm="1">
        <f t="array" ref="P24">IF(Cdlac[[#This Row],[Quantity]]&gt;0,INDEX(TcacRents,$P$18,Cdlac[[#This Row],[Bedrooms]]+1)*Cdlac[[#This Row],[AMI]],"")</f>
        <v>2724.8</v>
      </c>
      <c r="Q24" s="1164"/>
      <c r="R24" s="1065" cm="1">
        <f t="array" ref="R24">IF(Cdlac[[#This Row],[Quantity]]&gt;0,INDEX(HudFmrs,$P$18,Cdlac[[#This Row],[Bedrooms]]+1),"")</f>
        <v>2625</v>
      </c>
      <c r="S24" s="1065">
        <f>IF(Cdlac[[#This Row],[Quantity]]&gt;0,MAX(0,Cdlac[[#This Row],[Fair Market Rent]]-IF(AND($G$37,$G$38,$G$38&lt;&gt;"",NOT(Cdlac[[#This Row],[Federal]]),Cdlac[[#This Row],[Preservation Rent]]&lt;&gt;""),Cdlac[[#This Row],[Preservation Rent]],Cdlac[[#This Row],[Restricted Rent]])),"")</f>
        <v>0</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45</v>
      </c>
      <c r="F25" s="1072">
        <f>E25</f>
        <v>45</v>
      </c>
      <c r="G25" s="1072">
        <f>D25*F25</f>
        <v>45</v>
      </c>
      <c r="L25" s="1044">
        <f>IFERROR(MIN(4,MATCH(Application!B723,UnitSizes,0)-1),"")</f>
        <v>3</v>
      </c>
      <c r="M25" s="1065">
        <f>Application!G723</f>
        <v>3</v>
      </c>
      <c r="N25" s="1071">
        <f>Application!AC723</f>
        <v>0.3</v>
      </c>
      <c r="O25" s="1071">
        <f>IF(Cdlac[[#This Row],[Quantity]]&gt;0,IF(Cdlac[[#This Row],[Federal]],30%,IF(AND(OR(NOT($G$38),$G$38=""),$G$43),40%,Cdlac[[#This Row],[iAMI]])),"")</f>
        <v>0.3</v>
      </c>
      <c r="P25" s="1065" cm="1">
        <f t="array" ref="P25">IF(Cdlac[[#This Row],[Quantity]]&gt;0,INDEX(TcacRents,$P$18,Cdlac[[#This Row],[Bedrooms]]+1)*Cdlac[[#This Row],[AMI]],"")</f>
        <v>1181.3999999999999</v>
      </c>
      <c r="Q25" s="1164"/>
      <c r="R25" s="1065" cm="1">
        <f t="array" ref="R25">IF(Cdlac[[#This Row],[Quantity]]&gt;0,INDEX(HudFmrs,$P$18,Cdlac[[#This Row],[Bedrooms]]+1),"")</f>
        <v>3335</v>
      </c>
      <c r="S25" s="1065">
        <f>IF(Cdlac[[#This Row],[Quantity]]&gt;0,MAX(0,Cdlac[[#This Row],[Fair Market Rent]]-IF(AND($G$37,$G$38,$G$38&lt;&gt;"",NOT(Cdlac[[#This Row],[Federal]]),Cdlac[[#This Row],[Preservation Rent]]&lt;&gt;""),Cdlac[[#This Row],[Preservation Rent]],Cdlac[[#This Row],[Restricted Rent]])),"")</f>
        <v>2153.6000000000004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29</v>
      </c>
      <c r="F26" s="1075">
        <f>SUM(E26:E28)-SUM(F27:F28)</f>
        <v>29</v>
      </c>
      <c r="G26" s="1072">
        <f>D26*F26</f>
        <v>36.25</v>
      </c>
      <c r="H26" s="1074"/>
      <c r="I26" s="1074"/>
      <c r="L26" s="1044">
        <f>IFERROR(MIN(4,MATCH(Application!B724,UnitSizes,0)-1),"")</f>
        <v>3</v>
      </c>
      <c r="M26" s="1065">
        <f>Application!G724</f>
        <v>3</v>
      </c>
      <c r="N26" s="1071">
        <f>Application!AC724</f>
        <v>0.5</v>
      </c>
      <c r="O26" s="1071">
        <f>IF(Cdlac[[#This Row],[Quantity]]&gt;0,IF(Cdlac[[#This Row],[Federal]],30%,IF(AND(OR(NOT($G$38),$G$38=""),$G$43),40%,Cdlac[[#This Row],[iAMI]])),"")</f>
        <v>0.5</v>
      </c>
      <c r="P26" s="1065" cm="1">
        <f t="array" ref="P26">IF(Cdlac[[#This Row],[Quantity]]&gt;0,INDEX(TcacRents,$P$18,Cdlac[[#This Row],[Bedrooms]]+1)*Cdlac[[#This Row],[AMI]],"")</f>
        <v>1969</v>
      </c>
      <c r="Q26" s="1164"/>
      <c r="R26" s="1065" cm="1">
        <f t="array" ref="R26">IF(Cdlac[[#This Row],[Quantity]]&gt;0,INDEX(HudFmrs,$P$18,Cdlac[[#This Row],[Bedrooms]]+1),"")</f>
        <v>3335</v>
      </c>
      <c r="S26" s="1065">
        <f>IF(Cdlac[[#This Row],[Quantity]]&gt;0,MAX(0,Cdlac[[#This Row],[Fair Market Rent]]-IF(AND($G$37,$G$38,$G$38&lt;&gt;"",NOT(Cdlac[[#This Row],[Federal]]),Cdlac[[#This Row],[Preservation Rent]]&lt;&gt;""),Cdlac[[#This Row],[Preservation Rent]],Cdlac[[#This Row],[Restricted Rent]])),"")</f>
        <v>1366</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30</v>
      </c>
      <c r="F27" s="1075">
        <f>MIN(E27,ROUNDDOWN(E29*30%,0))</f>
        <v>30</v>
      </c>
      <c r="G27" s="1072">
        <f>D27*F27</f>
        <v>45</v>
      </c>
      <c r="H27" s="1074"/>
      <c r="I27" s="1074"/>
      <c r="L27" s="1044">
        <f>IFERROR(MIN(4,MATCH(Application!B725,UnitSizes,0)-1),"")</f>
        <v>3</v>
      </c>
      <c r="M27" s="1065">
        <f>Application!G725</f>
        <v>24</v>
      </c>
      <c r="N27" s="1071">
        <f>Application!AC725</f>
        <v>0.8</v>
      </c>
      <c r="O27" s="1071">
        <f>IF(Cdlac[[#This Row],[Quantity]]&gt;0,IF(Cdlac[[#This Row],[Federal]],30%,IF(AND(OR(NOT($G$38),$G$38=""),$G$43),40%,Cdlac[[#This Row],[iAMI]])),"")</f>
        <v>0.8</v>
      </c>
      <c r="P27" s="1065" cm="1">
        <f t="array" ref="P27">IF(Cdlac[[#This Row],[Quantity]]&gt;0,INDEX(TcacRents,$P$18,Cdlac[[#This Row],[Bedrooms]]+1)*Cdlac[[#This Row],[AMI]],"")</f>
        <v>3150.4</v>
      </c>
      <c r="Q27" s="1164"/>
      <c r="R27" s="1065" cm="1">
        <f t="array" ref="R27">IF(Cdlac[[#This Row],[Quantity]]&gt;0,INDEX(HudFmrs,$P$18,Cdlac[[#This Row],[Bedrooms]]+1),"")</f>
        <v>3335</v>
      </c>
      <c r="S27" s="1065">
        <f>IF(Cdlac[[#This Row],[Quantity]]&gt;0,MAX(0,Cdlac[[#This Row],[Fair Market Rent]]-IF(AND($G$37,$G$38,$G$38&lt;&gt;"",NOT(Cdlac[[#This Row],[Federal]]),Cdlac[[#This Row],[Preservation Rent]]&lt;&gt;""),Cdlac[[#This Row],[Preservation Rent]],Cdlac[[#This Row],[Restricted Rent]])),"")</f>
        <v>184.59999999999991</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0" t="s">
        <v>1587</v>
      </c>
      <c r="D29" s="2681"/>
      <c r="E29" s="1089">
        <f>SUM(E24:E28)</f>
        <v>104</v>
      </c>
      <c r="F29" s="1089">
        <f>SUM(F24:F28)</f>
        <v>104</v>
      </c>
      <c r="G29" s="1090">
        <f>SUMPRODUCT(D24:D28,F24:F28)</f>
        <v>126.25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126.25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6312500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3" t="str">
        <f>IF(AND(G37,G38,G38&lt;&gt;""),"Enter the average rent charged for each unit type over the last three years, as documented with rent rolls or property audits, in cells Q20:Q44","")</f>
        <v/>
      </c>
      <c r="D39" s="2683"/>
      <c r="E39" s="2683"/>
      <c r="F39" s="2683"/>
      <c r="G39" s="2683"/>
      <c r="H39" s="2683"/>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3"/>
      <c r="D40" s="2683"/>
      <c r="E40" s="2683"/>
      <c r="F40" s="2683"/>
      <c r="G40" s="2683"/>
      <c r="H40" s="2683"/>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3"/>
      <c r="D41" s="2683"/>
      <c r="E41" s="2683"/>
      <c r="F41" s="2683"/>
      <c r="G41" s="2683"/>
      <c r="H41" s="2683"/>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61892.800000000003</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11140704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52</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38</v>
      </c>
    </row>
    <row r="61" spans="2:21" ht="15" customHeight="1">
      <c r="E61" s="1117" t="s">
        <v>1995</v>
      </c>
      <c r="G61" s="1079">
        <f>ROUNDDOWN(E29*50%,0)</f>
        <v>52</v>
      </c>
    </row>
    <row r="62" spans="2:21" ht="15" customHeight="1">
      <c r="E62" s="1117"/>
      <c r="G62" s="1079"/>
    </row>
    <row r="63" spans="2:21" ht="15" customHeight="1">
      <c r="E63" s="1117" t="s">
        <v>1955</v>
      </c>
      <c r="G63" s="1114">
        <f>MIN(G60:G61)</f>
        <v>38</v>
      </c>
    </row>
    <row r="64" spans="2:21" ht="15" customHeight="1">
      <c r="E64" s="1117" t="s">
        <v>1945</v>
      </c>
      <c r="F64" s="1113" t="s">
        <v>1993</v>
      </c>
      <c r="G64" s="1124">
        <v>20000</v>
      </c>
    </row>
    <row r="65" spans="2:14" ht="15" customHeight="1">
      <c r="E65" s="1118" t="s">
        <v>1977</v>
      </c>
      <c r="F65" s="1046"/>
      <c r="G65" s="1123">
        <f>G63*G64</f>
        <v>760000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t="s">
        <v>670</v>
      </c>
    </row>
    <row r="72" spans="2:14" ht="15" customHeight="1">
      <c r="C72" s="1077" t="s">
        <v>1969</v>
      </c>
      <c r="G72" s="1044" t="str">
        <f>Application!T193</f>
        <v>High Resource</v>
      </c>
      <c r="L72" s="2653" t="s">
        <v>1970</v>
      </c>
      <c r="M72" s="2654"/>
      <c r="N72" s="1131">
        <v>30000</v>
      </c>
    </row>
    <row r="73" spans="2:14" ht="15" customHeight="1">
      <c r="C73" s="2655" t="s">
        <v>2262</v>
      </c>
      <c r="D73" s="2655"/>
      <c r="E73" s="2655"/>
      <c r="F73" s="2655"/>
      <c r="G73" s="1043" t="s">
        <v>546</v>
      </c>
      <c r="L73" s="2670" t="s">
        <v>1938</v>
      </c>
      <c r="M73" s="2671"/>
      <c r="N73" s="1132">
        <v>20000</v>
      </c>
    </row>
    <row r="74" spans="2:14" ht="15" customHeight="1" thickBot="1">
      <c r="C74" s="2655"/>
      <c r="D74" s="2655"/>
      <c r="E74" s="2655"/>
      <c r="F74" s="2655"/>
      <c r="L74" s="2645" t="s">
        <v>1971</v>
      </c>
      <c r="M74" s="2646"/>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126.25</v>
      </c>
    </row>
    <row r="80" spans="2:14" ht="15" customHeight="1">
      <c r="D80" s="1046"/>
      <c r="E80" s="1118" t="s">
        <v>2267</v>
      </c>
      <c r="F80" s="1046"/>
      <c r="G80" s="1123">
        <f>G79*G78*G76</f>
        <v>3787500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670</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126.25</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126.25</v>
      </c>
    </row>
    <row r="97" spans="2:14" ht="15" customHeight="1">
      <c r="E97" s="1118" t="s">
        <v>1962</v>
      </c>
      <c r="F97" s="1046"/>
      <c r="G97" s="1123">
        <f>G94*G95*G96</f>
        <v>3535000</v>
      </c>
      <c r="L97" s="1127" t="str">
        <f>'Points System'!H638</f>
        <v>(i)</v>
      </c>
      <c r="M97" s="2651" t="s">
        <v>1406</v>
      </c>
      <c r="N97" s="2652"/>
    </row>
    <row r="98" spans="2:14" ht="15" customHeight="1">
      <c r="C98" s="1077"/>
      <c r="G98" s="1114"/>
      <c r="L98" s="1128" t="str">
        <f>'Points System'!H650</f>
        <v>(i)</v>
      </c>
      <c r="M98" s="2647" t="s">
        <v>1957</v>
      </c>
      <c r="N98" s="2648"/>
    </row>
    <row r="99" spans="2:14" ht="15" customHeight="1">
      <c r="E99" s="1084" t="s">
        <v>1998</v>
      </c>
      <c r="G99" s="1126">
        <f>COUNTIFS(L97:L104,"(i)")</f>
        <v>6</v>
      </c>
      <c r="L99" s="1128" t="str">
        <f>'Points System'!H685</f>
        <v>(i)</v>
      </c>
      <c r="M99" s="2647" t="s">
        <v>1958</v>
      </c>
      <c r="N99" s="2648"/>
    </row>
    <row r="100" spans="2:14" ht="15" customHeight="1">
      <c r="E100" s="1084" t="s">
        <v>1945</v>
      </c>
      <c r="F100" s="1113" t="s">
        <v>1993</v>
      </c>
      <c r="G100" s="1124">
        <v>4000</v>
      </c>
      <c r="L100" s="1128" t="str">
        <f>IF(OR('Points System'!H709="(ii)",'Points System'!H709="(i)"),"(i)","N/A")</f>
        <v>(i)</v>
      </c>
      <c r="M100" s="2647" t="s">
        <v>1959</v>
      </c>
      <c r="N100" s="2648"/>
    </row>
    <row r="101" spans="2:14" ht="15" customHeight="1">
      <c r="E101" s="1118" t="s">
        <v>1963</v>
      </c>
      <c r="F101" s="1046"/>
      <c r="G101" s="1123">
        <f>G96*G99*G100</f>
        <v>3030000</v>
      </c>
      <c r="L101" s="1129" t="str">
        <f>'Points System'!H723</f>
        <v>N/A</v>
      </c>
      <c r="M101" s="2647" t="s">
        <v>1432</v>
      </c>
      <c r="N101" s="2648"/>
    </row>
    <row r="102" spans="2:14" ht="15" customHeight="1">
      <c r="L102" s="1128" t="str">
        <f>'Points System'!H735</f>
        <v>N/A</v>
      </c>
      <c r="M102" s="2647" t="s">
        <v>1960</v>
      </c>
      <c r="N102" s="2648"/>
    </row>
    <row r="103" spans="2:14" ht="15" customHeight="1">
      <c r="C103" s="1080" t="s">
        <v>1965</v>
      </c>
      <c r="L103" s="1128" t="str">
        <f>'Points System'!H751</f>
        <v>(i)</v>
      </c>
      <c r="M103" s="2647" t="s">
        <v>1961</v>
      </c>
      <c r="N103" s="2648"/>
    </row>
    <row r="104" spans="2:14" ht="15" customHeight="1" thickBot="1">
      <c r="C104" s="1077" t="s">
        <v>1966</v>
      </c>
      <c r="G104" s="1043"/>
      <c r="L104" s="1130" t="str">
        <f>'Points System'!H763</f>
        <v>(i)</v>
      </c>
      <c r="M104" s="2649" t="s">
        <v>1435</v>
      </c>
      <c r="N104" s="2650"/>
    </row>
    <row r="105" spans="2:14" ht="15" customHeight="1">
      <c r="C105" s="1077" t="s">
        <v>1967</v>
      </c>
      <c r="G105" s="1043"/>
    </row>
    <row r="106" spans="2:14" ht="15" customHeight="1">
      <c r="C106" s="1077" t="s">
        <v>2140</v>
      </c>
      <c r="G106" s="1043" t="s">
        <v>546</v>
      </c>
    </row>
    <row r="107" spans="2:14" ht="15" customHeight="1">
      <c r="C107" s="1077" t="s">
        <v>2141</v>
      </c>
      <c r="G107" s="1043" t="s">
        <v>546</v>
      </c>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126.25</v>
      </c>
    </row>
    <row r="112" spans="2:14" ht="15" customHeight="1">
      <c r="E112" s="1084" t="s">
        <v>1945</v>
      </c>
      <c r="F112" s="1113" t="s">
        <v>1993</v>
      </c>
      <c r="G112" s="1124">
        <v>25000</v>
      </c>
    </row>
    <row r="113" spans="2:9" ht="15" customHeight="1">
      <c r="E113" s="1118" t="s">
        <v>1964</v>
      </c>
      <c r="F113" s="1046"/>
      <c r="G113" s="1123">
        <f>G109*G112*G96</f>
        <v>3156250</v>
      </c>
    </row>
    <row r="114" spans="2:9" ht="15" customHeight="1">
      <c r="C114" s="1077"/>
      <c r="E114" s="1077"/>
    </row>
    <row r="115" spans="2:9" ht="15" customHeight="1">
      <c r="E115" s="1118" t="s">
        <v>2272</v>
      </c>
      <c r="G115" s="1123">
        <f>G113+G101+G97</f>
        <v>9721250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2" t="s">
        <v>2227</v>
      </c>
      <c r="D119" s="2682"/>
      <c r="E119" s="2682"/>
      <c r="F119" s="2682"/>
    </row>
    <row r="120" spans="2:9" ht="15" customHeight="1">
      <c r="C120" s="2682"/>
      <c r="D120" s="2682"/>
      <c r="E120" s="2682"/>
      <c r="F120" s="2682"/>
      <c r="G120" s="1043"/>
    </row>
    <row r="121" spans="2:9" ht="15" customHeight="1"/>
    <row r="122" spans="2:9" ht="15" customHeight="1">
      <c r="C122" s="1044" t="s">
        <v>2229</v>
      </c>
      <c r="G122" s="2684"/>
      <c r="H122" s="2684"/>
    </row>
    <row r="123" spans="2:9" ht="15" customHeight="1">
      <c r="G123" s="2684"/>
      <c r="H123" s="2684"/>
    </row>
    <row r="124" spans="2:9" ht="15" customHeight="1">
      <c r="G124" s="2685"/>
      <c r="H124" s="2685"/>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2001</v>
      </c>
      <c r="G131" s="1078">
        <f>MEDIAN((Application!CU160:CU217))</f>
        <v>489600</v>
      </c>
    </row>
    <row r="132" spans="2:9" ht="15">
      <c r="D132" s="1046"/>
      <c r="E132" s="1118" t="s">
        <v>2003</v>
      </c>
      <c r="F132" s="1134"/>
      <c r="G132" s="1135">
        <f>((G130-G131)/G131)*0.25</f>
        <v>6.0866013071895424E-2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79" t="s">
        <v>2275</v>
      </c>
      <c r="D138" s="2679"/>
      <c r="E138" s="2679"/>
      <c r="F138" s="2679"/>
    </row>
    <row r="139" spans="2:9">
      <c r="B139" s="1045"/>
      <c r="C139" s="2679"/>
      <c r="D139" s="2679"/>
      <c r="E139" s="2679"/>
      <c r="F139" s="2679"/>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2001135.15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6" t="s">
        <v>910</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1 Bedroom</v>
      </c>
      <c r="B4" s="1082">
        <f>Application!G718</f>
        <v>32</v>
      </c>
      <c r="C4" s="1162"/>
      <c r="D4" s="428">
        <f>Application!O718</f>
        <v>809</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13</v>
      </c>
      <c r="C5" s="1162"/>
      <c r="D5" s="428">
        <f>Application!O719</f>
        <v>2229</v>
      </c>
      <c r="E5" s="429"/>
      <c r="F5" s="1083"/>
      <c r="G5" s="428">
        <f t="shared" ref="G5:G38" si="2">F5*B5</f>
        <v>0</v>
      </c>
      <c r="H5" s="429"/>
      <c r="I5" s="428" t="str">
        <f t="shared" si="0"/>
        <v/>
      </c>
      <c r="J5" s="428" t="str">
        <f t="shared" si="1"/>
        <v/>
      </c>
      <c r="K5" s="204"/>
      <c r="L5" s="305"/>
    </row>
    <row r="6" spans="1:12">
      <c r="A6" s="428" t="str">
        <f>Application!B720</f>
        <v>2 Bedrooms</v>
      </c>
      <c r="B6" s="1082">
        <f>Application!G720</f>
        <v>3</v>
      </c>
      <c r="C6" s="1162"/>
      <c r="D6" s="428">
        <f>Application!O720</f>
        <v>966</v>
      </c>
      <c r="E6" s="429"/>
      <c r="F6" s="1083"/>
      <c r="G6" s="428">
        <f t="shared" si="2"/>
        <v>0</v>
      </c>
      <c r="H6" s="429"/>
      <c r="I6" s="428" t="str">
        <f t="shared" si="0"/>
        <v/>
      </c>
      <c r="J6" s="428" t="str">
        <f t="shared" si="1"/>
        <v/>
      </c>
      <c r="K6" s="204"/>
      <c r="L6" s="305"/>
    </row>
    <row r="7" spans="1:12">
      <c r="A7" s="428" t="str">
        <f>Application!B721</f>
        <v>2 Bedrooms</v>
      </c>
      <c r="B7" s="1082">
        <f>Application!G721</f>
        <v>3</v>
      </c>
      <c r="C7" s="1162"/>
      <c r="D7" s="428">
        <f>Application!O721</f>
        <v>1647.5</v>
      </c>
      <c r="E7" s="429"/>
      <c r="F7" s="1083"/>
      <c r="G7" s="428">
        <f t="shared" si="2"/>
        <v>0</v>
      </c>
      <c r="H7" s="429"/>
      <c r="I7" s="428" t="str">
        <f t="shared" si="0"/>
        <v/>
      </c>
      <c r="J7" s="428" t="str">
        <f t="shared" si="1"/>
        <v/>
      </c>
      <c r="K7" s="204"/>
      <c r="L7" s="305"/>
    </row>
    <row r="8" spans="1:12">
      <c r="A8" s="428" t="str">
        <f>Application!B722</f>
        <v>2 Bedrooms</v>
      </c>
      <c r="B8" s="1082">
        <f>Application!G722</f>
        <v>23</v>
      </c>
      <c r="C8" s="1162"/>
      <c r="D8" s="428">
        <f>Application!O722</f>
        <v>2670</v>
      </c>
      <c r="E8" s="429"/>
      <c r="F8" s="1083"/>
      <c r="G8" s="428">
        <f t="shared" si="2"/>
        <v>0</v>
      </c>
      <c r="H8" s="429"/>
      <c r="I8" s="428" t="str">
        <f t="shared" si="0"/>
        <v/>
      </c>
      <c r="J8" s="428" t="str">
        <f t="shared" si="1"/>
        <v/>
      </c>
      <c r="K8" s="204"/>
      <c r="L8" s="305"/>
    </row>
    <row r="9" spans="1:12">
      <c r="A9" s="428" t="str">
        <f>Application!B723</f>
        <v>3 Bedrooms</v>
      </c>
      <c r="B9" s="1082">
        <f>Application!G723</f>
        <v>3</v>
      </c>
      <c r="C9" s="1162"/>
      <c r="D9" s="428">
        <f>Application!O723</f>
        <v>1113.5</v>
      </c>
      <c r="E9" s="429"/>
      <c r="F9" s="1083"/>
      <c r="G9" s="428">
        <f t="shared" si="2"/>
        <v>0</v>
      </c>
      <c r="H9" s="429"/>
      <c r="I9" s="428" t="str">
        <f t="shared" si="0"/>
        <v/>
      </c>
      <c r="J9" s="428" t="str">
        <f t="shared" si="1"/>
        <v/>
      </c>
      <c r="K9" s="204"/>
      <c r="L9" s="305"/>
    </row>
    <row r="10" spans="1:12">
      <c r="A10" s="428" t="str">
        <f>Application!B724</f>
        <v>3 Bedrooms</v>
      </c>
      <c r="B10" s="1082">
        <f>Application!G724</f>
        <v>3</v>
      </c>
      <c r="C10" s="1162"/>
      <c r="D10" s="428">
        <f>Application!O724</f>
        <v>1901.5</v>
      </c>
      <c r="E10" s="429"/>
      <c r="F10" s="1083"/>
      <c r="G10" s="428">
        <f t="shared" si="2"/>
        <v>0</v>
      </c>
      <c r="H10" s="429"/>
      <c r="I10" s="428" t="str">
        <f t="shared" si="0"/>
        <v/>
      </c>
      <c r="J10" s="428" t="str">
        <f t="shared" si="1"/>
        <v/>
      </c>
      <c r="K10" s="204"/>
      <c r="L10" s="305"/>
    </row>
    <row r="11" spans="1:12">
      <c r="A11" s="428" t="str">
        <f>Application!B725</f>
        <v>3 Bedrooms</v>
      </c>
      <c r="B11" s="1082">
        <f>Application!G725</f>
        <v>24</v>
      </c>
      <c r="C11" s="1162"/>
      <c r="D11" s="428">
        <f>Application!O725</f>
        <v>3083</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207152.5</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2257</v>
      </c>
    </row>
    <row r="43" spans="1:12">
      <c r="A43" s="2687" t="s">
        <v>2496</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2258</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 workbookViewId="0">
      <selection activeCell="E32" sqref="E32"/>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2525886</v>
      </c>
      <c r="G4" s="219">
        <f>E4*$C$4</f>
        <v>2589033.15</v>
      </c>
      <c r="I4" s="219">
        <f>G4*$C$4</f>
        <v>2653758.9787499998</v>
      </c>
      <c r="K4" s="219">
        <f>I4*$C$4</f>
        <v>2720102.9532187497</v>
      </c>
      <c r="M4" s="219">
        <f>K4*$C$4</f>
        <v>2788105.5270492183</v>
      </c>
      <c r="O4" s="219">
        <f>M4*$C$4</f>
        <v>2857808.1652254486</v>
      </c>
      <c r="Q4" s="219">
        <f>O4*$C$4</f>
        <v>2929253.3693560846</v>
      </c>
      <c r="S4" s="219">
        <f>Q4*$C$4</f>
        <v>3002484.7035899865</v>
      </c>
      <c r="U4" s="219">
        <f>S4*$C$4</f>
        <v>3077546.8211797359</v>
      </c>
      <c r="W4" s="219">
        <f>U4*$C$4</f>
        <v>3154485.4917092291</v>
      </c>
      <c r="Y4" s="219">
        <f>W4*$C$4</f>
        <v>3233347.6290019597</v>
      </c>
      <c r="AA4" s="219">
        <f>Y4*$C$4</f>
        <v>3314181.3197270082</v>
      </c>
      <c r="AC4" s="219">
        <f>AA4*$C$4</f>
        <v>3397035.8527201833</v>
      </c>
      <c r="AE4" s="219">
        <f>AC4*$C$4</f>
        <v>3481961.7490381878</v>
      </c>
      <c r="AG4" s="219">
        <f>AE4*$C$4</f>
        <v>3569010.7927641422</v>
      </c>
    </row>
    <row r="5" spans="1:34" s="210" customFormat="1" ht="14.25">
      <c r="B5" s="210" t="s">
        <v>839</v>
      </c>
      <c r="C5" s="238">
        <f>IF(Application!$D$211="Special Needs",(((0.1*Application!$T$212)+(0.05*(1-Application!$T$212)))),0.05)</f>
        <v>0.05</v>
      </c>
      <c r="E5" s="221">
        <f>-E4*$C$5</f>
        <v>-126294.3</v>
      </c>
      <c r="F5" s="221"/>
      <c r="G5" s="221">
        <f>-G4*$C$5</f>
        <v>-129451.6575</v>
      </c>
      <c r="H5" s="221"/>
      <c r="I5" s="221">
        <f>-I4*$C$5</f>
        <v>-132687.94893749998</v>
      </c>
      <c r="J5" s="221"/>
      <c r="K5" s="221">
        <f>-K4*$C$5</f>
        <v>-136005.14766093748</v>
      </c>
      <c r="L5" s="221"/>
      <c r="M5" s="221">
        <f>-M4*$C$5</f>
        <v>-139405.27635246093</v>
      </c>
      <c r="N5" s="221"/>
      <c r="O5" s="221">
        <f>-O4*$C$5</f>
        <v>-142890.40826127245</v>
      </c>
      <c r="P5" s="221"/>
      <c r="Q5" s="221">
        <f>-Q4*$C$5</f>
        <v>-146462.66846780424</v>
      </c>
      <c r="R5" s="221"/>
      <c r="S5" s="221">
        <f>-S4*$C$5</f>
        <v>-150124.23517949934</v>
      </c>
      <c r="T5" s="221"/>
      <c r="U5" s="221">
        <f>-U4*$C$5</f>
        <v>-153877.34105898681</v>
      </c>
      <c r="V5" s="221"/>
      <c r="W5" s="221">
        <f>-W4*$C$5</f>
        <v>-157724.27458546148</v>
      </c>
      <c r="X5" s="221"/>
      <c r="Y5" s="221">
        <f>-Y4*$C$5</f>
        <v>-161667.38145009801</v>
      </c>
      <c r="Z5" s="221"/>
      <c r="AA5" s="221">
        <f>-AA4*$C$5</f>
        <v>-165709.06598635041</v>
      </c>
      <c r="AB5" s="221"/>
      <c r="AC5" s="221">
        <f>-AC4*$C$5</f>
        <v>-169851.79263600917</v>
      </c>
      <c r="AD5" s="221"/>
      <c r="AE5" s="221">
        <f>-AE4*$C$5</f>
        <v>-174098.08745190941</v>
      </c>
      <c r="AF5" s="221"/>
      <c r="AG5" s="221">
        <f>-AG4*$C$5</f>
        <v>-178450.53963820712</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132750</v>
      </c>
      <c r="F8" s="222"/>
      <c r="G8" s="222">
        <f>E8*$C$8</f>
        <v>136068.75</v>
      </c>
      <c r="H8" s="222"/>
      <c r="I8" s="222">
        <f>G8*$C$8</f>
        <v>139470.46875</v>
      </c>
      <c r="J8" s="222"/>
      <c r="K8" s="222">
        <f>I8*$C$8</f>
        <v>142957.23046875</v>
      </c>
      <c r="L8" s="222"/>
      <c r="M8" s="222">
        <f>K8*$C$8</f>
        <v>146531.16123046874</v>
      </c>
      <c r="N8" s="222"/>
      <c r="O8" s="222">
        <f>M8*$C$8</f>
        <v>150194.44026123045</v>
      </c>
      <c r="P8" s="222"/>
      <c r="Q8" s="222">
        <f>O8*$C$8</f>
        <v>153949.30126776121</v>
      </c>
      <c r="R8" s="222"/>
      <c r="S8" s="222">
        <f>Q8*$C$8</f>
        <v>157798.03379945524</v>
      </c>
      <c r="T8" s="222"/>
      <c r="U8" s="222">
        <f>S8*$C$8</f>
        <v>161742.9846444416</v>
      </c>
      <c r="V8" s="222"/>
      <c r="W8" s="222">
        <f>U8*$C$8</f>
        <v>165786.55926055263</v>
      </c>
      <c r="X8" s="222"/>
      <c r="Y8" s="222">
        <f>W8*$C$8</f>
        <v>169931.22324206642</v>
      </c>
      <c r="Z8" s="222"/>
      <c r="AA8" s="222">
        <f>Y8*$C$8</f>
        <v>174179.50382311808</v>
      </c>
      <c r="AB8" s="222"/>
      <c r="AC8" s="222">
        <f>AA8*$C$8</f>
        <v>178533.99141869601</v>
      </c>
      <c r="AD8" s="222"/>
      <c r="AE8" s="222">
        <f>AC8*$C$8</f>
        <v>182997.34120416339</v>
      </c>
      <c r="AF8" s="222"/>
      <c r="AG8" s="222">
        <f>AE8*$C$8</f>
        <v>187572.27473426744</v>
      </c>
    </row>
    <row r="9" spans="1:34" s="210" customFormat="1" ht="14.25">
      <c r="B9" s="210" t="s">
        <v>839</v>
      </c>
      <c r="C9" s="238">
        <f>IF(Application!$D$211="Special Needs",(((0.1*Application!$T$212)+(0.05*(1-Application!$T$212)))),0.05)</f>
        <v>0.05</v>
      </c>
      <c r="E9" s="221">
        <f>-E8*$C$9</f>
        <v>-6637.5</v>
      </c>
      <c r="F9" s="221"/>
      <c r="G9" s="221">
        <f>-G8*$C$9</f>
        <v>-6803.4375</v>
      </c>
      <c r="H9" s="221"/>
      <c r="I9" s="221">
        <f>-I8*$C$9</f>
        <v>-6973.5234375</v>
      </c>
      <c r="J9" s="221"/>
      <c r="K9" s="221">
        <f>-K8*$C$9</f>
        <v>-7147.8615234375002</v>
      </c>
      <c r="L9" s="221"/>
      <c r="M9" s="221">
        <f>-M8*$C$9</f>
        <v>-7326.5580615234376</v>
      </c>
      <c r="N9" s="221"/>
      <c r="O9" s="221">
        <f>-O8*$C$9</f>
        <v>-7509.7220130615233</v>
      </c>
      <c r="P9" s="221"/>
      <c r="Q9" s="221">
        <f>-Q8*$C$9</f>
        <v>-7697.465063388061</v>
      </c>
      <c r="R9" s="221"/>
      <c r="S9" s="221">
        <f>-S8*$C$9</f>
        <v>-7889.9016899727621</v>
      </c>
      <c r="T9" s="221"/>
      <c r="U9" s="221">
        <f>-U8*$C$9</f>
        <v>-8087.1492322220802</v>
      </c>
      <c r="V9" s="221"/>
      <c r="W9" s="221">
        <f>-W8*$C$9</f>
        <v>-8289.327963027632</v>
      </c>
      <c r="X9" s="221"/>
      <c r="Y9" s="221">
        <f>-Y8*$C$9</f>
        <v>-8496.5611621033222</v>
      </c>
      <c r="Z9" s="221"/>
      <c r="AA9" s="221">
        <f>-AA8*$C$9</f>
        <v>-8708.9751911559051</v>
      </c>
      <c r="AB9" s="221"/>
      <c r="AC9" s="221">
        <f>-AC8*$C$9</f>
        <v>-8926.6995709348012</v>
      </c>
      <c r="AD9" s="221"/>
      <c r="AE9" s="221">
        <f>-AE8*$C$9</f>
        <v>-9149.8670602081693</v>
      </c>
      <c r="AF9" s="221"/>
      <c r="AG9" s="221">
        <f>-AG8*$C$9</f>
        <v>-9378.6137367133724</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2525704.2000000002</v>
      </c>
      <c r="G11" s="223">
        <f>SUM(G4:G10)</f>
        <v>2588846.8049999997</v>
      </c>
      <c r="I11" s="223">
        <f>SUM(I4:I10)</f>
        <v>2653567.9751249999</v>
      </c>
      <c r="K11" s="223">
        <f>SUM(K4:K10)</f>
        <v>2719907.1745031248</v>
      </c>
      <c r="M11" s="223">
        <f>SUM(M4:M10)</f>
        <v>2787904.8538657026</v>
      </c>
      <c r="O11" s="223">
        <f>SUM(O4:O10)</f>
        <v>2857602.4752123449</v>
      </c>
      <c r="Q11" s="223">
        <f>SUM(Q4:Q10)</f>
        <v>2929042.5370926536</v>
      </c>
      <c r="S11" s="223">
        <f>SUM(S4:S10)</f>
        <v>3002268.6005199696</v>
      </c>
      <c r="U11" s="223">
        <f>SUM(U4:U10)</f>
        <v>3077325.3155329684</v>
      </c>
      <c r="W11" s="223">
        <f>SUM(W4:W10)</f>
        <v>3154258.4484212925</v>
      </c>
      <c r="Y11" s="223">
        <f>SUM(Y4:Y10)</f>
        <v>3233114.9096318246</v>
      </c>
      <c r="AA11" s="223">
        <f>SUM(AA4:AA10)</f>
        <v>3313942.7823726204</v>
      </c>
      <c r="AC11" s="223">
        <f>SUM(AC4:AC10)</f>
        <v>3396791.3519319356</v>
      </c>
      <c r="AE11" s="223">
        <f>SUM(AE4:AE10)</f>
        <v>3481711.1357302335</v>
      </c>
      <c r="AG11" s="223">
        <f>SUM(AG4:AG10)</f>
        <v>3568753.9141234891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114650</v>
      </c>
      <c r="G15" s="219">
        <f>E15*$C$14</f>
        <v>118662.74999999999</v>
      </c>
      <c r="I15" s="219">
        <f>G15*$C$14</f>
        <v>122815.94624999998</v>
      </c>
      <c r="K15" s="219">
        <f>I15*$C$14</f>
        <v>127114.50436874997</v>
      </c>
      <c r="M15" s="219">
        <f>K15*$C$14</f>
        <v>131563.51202165621</v>
      </c>
      <c r="O15" s="219">
        <f>M15*$C$14</f>
        <v>136168.23494241416</v>
      </c>
      <c r="Q15" s="219">
        <f>O15*$C$14</f>
        <v>140934.12316539863</v>
      </c>
      <c r="S15" s="219">
        <f>Q15*$C$14</f>
        <v>145866.81747618757</v>
      </c>
      <c r="U15" s="219">
        <f>S15*$C$14</f>
        <v>150972.15608785412</v>
      </c>
      <c r="W15" s="219">
        <f>U15*$C$14</f>
        <v>156256.181550929</v>
      </c>
      <c r="Y15" s="219">
        <f>W15*$C$14</f>
        <v>161725.14790521152</v>
      </c>
      <c r="AA15" s="219">
        <f>Y15*$C$14</f>
        <v>167385.52808189392</v>
      </c>
      <c r="AC15" s="219">
        <f>AA15*$C$14</f>
        <v>173244.02156476019</v>
      </c>
      <c r="AE15" s="219">
        <f>AC15*$C$14</f>
        <v>179307.56231952677</v>
      </c>
      <c r="AG15" s="219">
        <f>AE15*$C$14</f>
        <v>185583.32700071018</v>
      </c>
    </row>
    <row r="16" spans="1:34" s="210" customFormat="1" ht="14.25">
      <c r="A16" s="210" t="s">
        <v>344</v>
      </c>
      <c r="C16" s="233"/>
      <c r="E16" s="222">
        <f>Application!W849</f>
        <v>150000</v>
      </c>
      <c r="F16" s="222"/>
      <c r="G16" s="222">
        <f t="shared" ref="G16:AG21" si="0">E16*$C$14</f>
        <v>155250</v>
      </c>
      <c r="H16" s="222"/>
      <c r="I16" s="222">
        <f t="shared" si="0"/>
        <v>160683.75</v>
      </c>
      <c r="J16" s="222"/>
      <c r="K16" s="222">
        <f t="shared" si="0"/>
        <v>166307.68124999999</v>
      </c>
      <c r="L16" s="222"/>
      <c r="M16" s="222">
        <f t="shared" si="0"/>
        <v>172128.45009374997</v>
      </c>
      <c r="N16" s="222"/>
      <c r="O16" s="222">
        <f t="shared" si="0"/>
        <v>178152.94584703119</v>
      </c>
      <c r="P16" s="222"/>
      <c r="Q16" s="222">
        <f t="shared" si="0"/>
        <v>184388.29895167728</v>
      </c>
      <c r="R16" s="222"/>
      <c r="S16" s="222">
        <f t="shared" si="0"/>
        <v>190841.88941498596</v>
      </c>
      <c r="T16" s="222"/>
      <c r="U16" s="222">
        <f t="shared" si="0"/>
        <v>197521.35554451044</v>
      </c>
      <c r="V16" s="222"/>
      <c r="W16" s="222">
        <f t="shared" si="0"/>
        <v>204434.60298856828</v>
      </c>
      <c r="X16" s="222"/>
      <c r="Y16" s="222">
        <f t="shared" si="0"/>
        <v>211589.81409316816</v>
      </c>
      <c r="Z16" s="222"/>
      <c r="AA16" s="222">
        <f t="shared" si="0"/>
        <v>218995.45758642902</v>
      </c>
      <c r="AB16" s="222"/>
      <c r="AC16" s="222">
        <f t="shared" si="0"/>
        <v>226660.29860195401</v>
      </c>
      <c r="AD16" s="222"/>
      <c r="AE16" s="222">
        <f t="shared" si="0"/>
        <v>234593.40905302239</v>
      </c>
      <c r="AF16" s="222"/>
      <c r="AG16" s="222">
        <f t="shared" si="0"/>
        <v>242804.17836987815</v>
      </c>
    </row>
    <row r="17" spans="1:33" s="210" customFormat="1" ht="14.25">
      <c r="A17" s="210" t="s">
        <v>562</v>
      </c>
      <c r="C17" s="233"/>
      <c r="E17" s="222">
        <f>Application!W855</f>
        <v>68990</v>
      </c>
      <c r="F17" s="222"/>
      <c r="G17" s="222">
        <f t="shared" si="0"/>
        <v>71404.649999999994</v>
      </c>
      <c r="H17" s="222"/>
      <c r="I17" s="222">
        <f t="shared" si="0"/>
        <v>73903.812749999983</v>
      </c>
      <c r="J17" s="222"/>
      <c r="K17" s="222">
        <f t="shared" si="0"/>
        <v>76490.446196249977</v>
      </c>
      <c r="L17" s="222"/>
      <c r="M17" s="222">
        <f t="shared" si="0"/>
        <v>79167.611813118725</v>
      </c>
      <c r="N17" s="222"/>
      <c r="O17" s="222">
        <f t="shared" si="0"/>
        <v>81938.478226577878</v>
      </c>
      <c r="P17" s="222"/>
      <c r="Q17" s="222">
        <f t="shared" si="0"/>
        <v>84806.324964508094</v>
      </c>
      <c r="R17" s="222"/>
      <c r="S17" s="222">
        <f t="shared" si="0"/>
        <v>87774.546338265864</v>
      </c>
      <c r="T17" s="222"/>
      <c r="U17" s="222">
        <f t="shared" si="0"/>
        <v>90846.655460105161</v>
      </c>
      <c r="V17" s="222"/>
      <c r="W17" s="222">
        <f t="shared" si="0"/>
        <v>94026.288401208833</v>
      </c>
      <c r="X17" s="222"/>
      <c r="Y17" s="222">
        <f t="shared" si="0"/>
        <v>97317.208495251136</v>
      </c>
      <c r="Z17" s="222"/>
      <c r="AA17" s="222">
        <f t="shared" si="0"/>
        <v>100723.31079258492</v>
      </c>
      <c r="AB17" s="222"/>
      <c r="AC17" s="222">
        <f t="shared" si="0"/>
        <v>104248.62667032538</v>
      </c>
      <c r="AD17" s="222"/>
      <c r="AE17" s="222">
        <f t="shared" si="0"/>
        <v>107897.32860378677</v>
      </c>
      <c r="AF17" s="222"/>
      <c r="AG17" s="222">
        <f t="shared" si="0"/>
        <v>111673.73510491929</v>
      </c>
    </row>
    <row r="18" spans="1:33" s="210" customFormat="1" ht="14.25">
      <c r="A18" s="210" t="s">
        <v>843</v>
      </c>
      <c r="C18" s="233"/>
      <c r="E18" s="222">
        <f>Application!W862</f>
        <v>136410</v>
      </c>
      <c r="F18" s="222"/>
      <c r="G18" s="222">
        <f t="shared" si="0"/>
        <v>141184.34999999998</v>
      </c>
      <c r="H18" s="222"/>
      <c r="I18" s="222">
        <f t="shared" si="0"/>
        <v>146125.80224999998</v>
      </c>
      <c r="J18" s="222"/>
      <c r="K18" s="222">
        <f t="shared" si="0"/>
        <v>151240.20532874996</v>
      </c>
      <c r="L18" s="222"/>
      <c r="M18" s="222">
        <f t="shared" si="0"/>
        <v>156533.61251525619</v>
      </c>
      <c r="N18" s="222"/>
      <c r="O18" s="222">
        <f t="shared" si="0"/>
        <v>162012.28895329015</v>
      </c>
      <c r="P18" s="222"/>
      <c r="Q18" s="222">
        <f t="shared" si="0"/>
        <v>167682.71906665529</v>
      </c>
      <c r="R18" s="222"/>
      <c r="S18" s="222">
        <f t="shared" si="0"/>
        <v>173551.61423398822</v>
      </c>
      <c r="T18" s="222"/>
      <c r="U18" s="222">
        <f t="shared" si="0"/>
        <v>179625.92073217779</v>
      </c>
      <c r="V18" s="222"/>
      <c r="W18" s="222">
        <f t="shared" si="0"/>
        <v>185912.82795780399</v>
      </c>
      <c r="X18" s="222"/>
      <c r="Y18" s="222">
        <f t="shared" si="0"/>
        <v>192419.77693632711</v>
      </c>
      <c r="Z18" s="222"/>
      <c r="AA18" s="222">
        <f t="shared" si="0"/>
        <v>199154.46912909855</v>
      </c>
      <c r="AB18" s="222"/>
      <c r="AC18" s="222">
        <f t="shared" si="0"/>
        <v>206124.87554861698</v>
      </c>
      <c r="AD18" s="222"/>
      <c r="AE18" s="222">
        <f t="shared" si="0"/>
        <v>213339.24619281857</v>
      </c>
      <c r="AF18" s="222"/>
      <c r="AG18" s="222">
        <f t="shared" si="0"/>
        <v>220806.1198095672</v>
      </c>
    </row>
    <row r="19" spans="1:33" s="210" customFormat="1" ht="14.25">
      <c r="A19" s="210" t="s">
        <v>155</v>
      </c>
      <c r="C19" s="233"/>
      <c r="E19" s="222">
        <f>Application!W863</f>
        <v>52450</v>
      </c>
      <c r="F19" s="222"/>
      <c r="G19" s="222">
        <f t="shared" si="0"/>
        <v>54285.749999999993</v>
      </c>
      <c r="H19" s="222"/>
      <c r="I19" s="222">
        <f t="shared" si="0"/>
        <v>56185.751249999987</v>
      </c>
      <c r="J19" s="222"/>
      <c r="K19" s="222">
        <f t="shared" si="0"/>
        <v>58152.252543749979</v>
      </c>
      <c r="L19" s="222"/>
      <c r="M19" s="222">
        <f t="shared" si="0"/>
        <v>60187.581382781224</v>
      </c>
      <c r="N19" s="222"/>
      <c r="O19" s="222">
        <f t="shared" si="0"/>
        <v>62294.14673117856</v>
      </c>
      <c r="P19" s="222"/>
      <c r="Q19" s="222">
        <f t="shared" si="0"/>
        <v>64474.441866769805</v>
      </c>
      <c r="R19" s="222"/>
      <c r="S19" s="222">
        <f t="shared" si="0"/>
        <v>66731.04733210674</v>
      </c>
      <c r="T19" s="222"/>
      <c r="U19" s="222">
        <f t="shared" si="0"/>
        <v>69066.633988730464</v>
      </c>
      <c r="V19" s="222"/>
      <c r="W19" s="222">
        <f t="shared" si="0"/>
        <v>71483.966178336021</v>
      </c>
      <c r="X19" s="222"/>
      <c r="Y19" s="222">
        <f t="shared" si="0"/>
        <v>73985.904994577781</v>
      </c>
      <c r="Z19" s="222"/>
      <c r="AA19" s="222">
        <f t="shared" si="0"/>
        <v>76575.411669387991</v>
      </c>
      <c r="AB19" s="222"/>
      <c r="AC19" s="222">
        <f t="shared" si="0"/>
        <v>79255.551077816563</v>
      </c>
      <c r="AD19" s="222"/>
      <c r="AE19" s="222">
        <f t="shared" si="0"/>
        <v>82029.495365540133</v>
      </c>
      <c r="AF19" s="222"/>
      <c r="AG19" s="222">
        <f t="shared" si="0"/>
        <v>84900.527703334024</v>
      </c>
    </row>
    <row r="20" spans="1:33" s="210" customFormat="1" ht="14.25">
      <c r="A20" s="210" t="s">
        <v>390</v>
      </c>
      <c r="C20" s="233"/>
      <c r="E20" s="222">
        <f>Application!W872</f>
        <v>116500</v>
      </c>
      <c r="F20" s="222"/>
      <c r="G20" s="222">
        <f t="shared" si="0"/>
        <v>120577.49999999999</v>
      </c>
      <c r="H20" s="222"/>
      <c r="I20" s="222">
        <f t="shared" si="0"/>
        <v>124797.71249999998</v>
      </c>
      <c r="J20" s="222"/>
      <c r="K20" s="222">
        <f t="shared" si="0"/>
        <v>129165.63243749997</v>
      </c>
      <c r="L20" s="222"/>
      <c r="M20" s="222">
        <f t="shared" si="0"/>
        <v>133686.42957281246</v>
      </c>
      <c r="N20" s="222"/>
      <c r="O20" s="222">
        <f t="shared" si="0"/>
        <v>138365.45460786088</v>
      </c>
      <c r="P20" s="222"/>
      <c r="Q20" s="222">
        <f t="shared" si="0"/>
        <v>143208.24551913599</v>
      </c>
      <c r="R20" s="222"/>
      <c r="S20" s="222">
        <f t="shared" si="0"/>
        <v>148220.53411230573</v>
      </c>
      <c r="T20" s="222"/>
      <c r="U20" s="222">
        <f t="shared" si="0"/>
        <v>153408.25280623641</v>
      </c>
      <c r="V20" s="222"/>
      <c r="W20" s="222">
        <f t="shared" si="0"/>
        <v>158777.54165445469</v>
      </c>
      <c r="X20" s="222"/>
      <c r="Y20" s="222">
        <f t="shared" si="0"/>
        <v>164334.7556123606</v>
      </c>
      <c r="Z20" s="222"/>
      <c r="AA20" s="222">
        <f t="shared" si="0"/>
        <v>170086.47205879321</v>
      </c>
      <c r="AB20" s="222"/>
      <c r="AC20" s="222">
        <f t="shared" si="0"/>
        <v>176039.49858085095</v>
      </c>
      <c r="AD20" s="222"/>
      <c r="AE20" s="222">
        <f t="shared" si="0"/>
        <v>182200.88103118073</v>
      </c>
      <c r="AF20" s="222"/>
      <c r="AG20" s="222">
        <f t="shared" si="0"/>
        <v>188577.91186727205</v>
      </c>
    </row>
    <row r="21" spans="1:33" s="210" customFormat="1" ht="14.25">
      <c r="A21" s="226" t="s">
        <v>963</v>
      </c>
      <c r="B21" s="226"/>
      <c r="C21" s="233"/>
      <c r="E21" s="232">
        <f>Application!W879</f>
        <v>12000</v>
      </c>
      <c r="F21" s="222"/>
      <c r="G21" s="232">
        <f t="shared" si="0"/>
        <v>12419.999999999998</v>
      </c>
      <c r="H21" s="222"/>
      <c r="I21" s="232">
        <f t="shared" si="0"/>
        <v>12854.699999999997</v>
      </c>
      <c r="J21" s="222"/>
      <c r="K21" s="232">
        <f t="shared" si="0"/>
        <v>13304.614499999996</v>
      </c>
      <c r="L21" s="222"/>
      <c r="M21" s="232">
        <f t="shared" si="0"/>
        <v>13770.276007499995</v>
      </c>
      <c r="N21" s="222"/>
      <c r="O21" s="232">
        <f t="shared" si="0"/>
        <v>14252.235667762494</v>
      </c>
      <c r="P21" s="222"/>
      <c r="Q21" s="232">
        <f t="shared" si="0"/>
        <v>14751.063916134181</v>
      </c>
      <c r="R21" s="222"/>
      <c r="S21" s="232">
        <f t="shared" si="0"/>
        <v>15267.351153198875</v>
      </c>
      <c r="T21" s="222"/>
      <c r="U21" s="232">
        <f t="shared" si="0"/>
        <v>15801.708443560834</v>
      </c>
      <c r="V21" s="222"/>
      <c r="W21" s="232">
        <f t="shared" si="0"/>
        <v>16354.768239085462</v>
      </c>
      <c r="X21" s="222"/>
      <c r="Y21" s="232">
        <f t="shared" si="0"/>
        <v>16927.185127453453</v>
      </c>
      <c r="Z21" s="222"/>
      <c r="AA21" s="232">
        <f t="shared" si="0"/>
        <v>17519.636606914322</v>
      </c>
      <c r="AB21" s="222"/>
      <c r="AC21" s="232">
        <f t="shared" si="0"/>
        <v>18132.823888156323</v>
      </c>
      <c r="AD21" s="222"/>
      <c r="AE21" s="232">
        <f t="shared" si="0"/>
        <v>18767.472724241794</v>
      </c>
      <c r="AF21" s="222"/>
      <c r="AG21" s="232">
        <f t="shared" si="0"/>
        <v>19424.334269590254</v>
      </c>
    </row>
    <row r="22" spans="1:33" s="223" customFormat="1" ht="15">
      <c r="A22" s="223" t="s">
        <v>844</v>
      </c>
      <c r="C22" s="233"/>
      <c r="E22" s="223">
        <f>SUM(E15:E21)</f>
        <v>651000</v>
      </c>
      <c r="G22" s="223">
        <f>SUM(G15:G21)</f>
        <v>673785</v>
      </c>
      <c r="I22" s="223">
        <f>SUM(I15:I21)</f>
        <v>697367.47499999986</v>
      </c>
      <c r="K22" s="223">
        <f>SUM(K15:K21)</f>
        <v>721775.33662499976</v>
      </c>
      <c r="M22" s="223">
        <f>SUM(M15:M21)</f>
        <v>747037.47340687481</v>
      </c>
      <c r="O22" s="223">
        <f>SUM(O15:O21)</f>
        <v>773183.78497611522</v>
      </c>
      <c r="Q22" s="223">
        <f>SUM(Q15:Q21)</f>
        <v>800245.21745027916</v>
      </c>
      <c r="S22" s="223">
        <f>SUM(S15:S21)</f>
        <v>828253.80006103893</v>
      </c>
      <c r="U22" s="223">
        <f>SUM(U15:U21)</f>
        <v>857242.6830631753</v>
      </c>
      <c r="W22" s="223">
        <f>SUM(W15:W21)</f>
        <v>887246.1769703863</v>
      </c>
      <c r="Y22" s="223">
        <f>SUM(Y15:Y21)</f>
        <v>918299.79316434963</v>
      </c>
      <c r="AA22" s="223">
        <f>SUM(AA15:AA21)</f>
        <v>950440.28592510184</v>
      </c>
      <c r="AC22" s="223">
        <f>SUM(AC15:AC21)</f>
        <v>983705.69593248027</v>
      </c>
      <c r="AE22" s="223">
        <f>SUM(AE15:AE21)</f>
        <v>1018135.3952901172</v>
      </c>
      <c r="AG22" s="223">
        <f>SUM(AG15:AG21)</f>
        <v>1053770.1341252711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24300</v>
      </c>
      <c r="F27" s="222"/>
      <c r="G27" s="222">
        <f>E27*$C$27</f>
        <v>25150.499999999996</v>
      </c>
      <c r="H27" s="222"/>
      <c r="I27" s="222">
        <f>G27*$C$27</f>
        <v>26030.767499999994</v>
      </c>
      <c r="J27" s="222"/>
      <c r="K27" s="222">
        <f>I27*$C$27</f>
        <v>26941.844362499993</v>
      </c>
      <c r="L27" s="222"/>
      <c r="M27" s="222">
        <f>K27*$C$27</f>
        <v>27884.808915187492</v>
      </c>
      <c r="N27" s="222"/>
      <c r="O27" s="222">
        <f>M27*$C$27</f>
        <v>28860.777227219052</v>
      </c>
      <c r="P27" s="222"/>
      <c r="Q27" s="222">
        <f>O27*$C$27</f>
        <v>29870.904430171719</v>
      </c>
      <c r="R27" s="222"/>
      <c r="S27" s="222">
        <f>Q27*$C$27</f>
        <v>30916.386085227725</v>
      </c>
      <c r="T27" s="222"/>
      <c r="U27" s="222">
        <f>S27*$C$27</f>
        <v>31998.459598210691</v>
      </c>
      <c r="V27" s="222"/>
      <c r="W27" s="222">
        <f>U27*$C$27</f>
        <v>33118.405684148063</v>
      </c>
      <c r="X27" s="222"/>
      <c r="Y27" s="222">
        <f>W27*$C$27</f>
        <v>34277.549883093241</v>
      </c>
      <c r="Z27" s="222"/>
      <c r="AA27" s="222">
        <f>Y27*$C$27</f>
        <v>35477.264129001502</v>
      </c>
      <c r="AB27" s="222"/>
      <c r="AC27" s="222">
        <f>AA27*$C$27</f>
        <v>36718.968373516553</v>
      </c>
      <c r="AD27" s="222"/>
      <c r="AE27" s="222">
        <f>AC27*$C$27</f>
        <v>38004.13226658963</v>
      </c>
      <c r="AF27" s="222"/>
      <c r="AG27" s="222">
        <f>AE27*$C$27</f>
        <v>39334.276895920266</v>
      </c>
    </row>
    <row r="28" spans="1:33" s="210" customFormat="1" ht="14.25">
      <c r="A28" s="210" t="s">
        <v>847</v>
      </c>
      <c r="C28" s="237"/>
      <c r="E28" s="222">
        <f>Application!AC889</f>
        <v>31500</v>
      </c>
      <c r="F28" s="222"/>
      <c r="G28" s="222">
        <f>$E$28</f>
        <v>31500</v>
      </c>
      <c r="H28" s="222"/>
      <c r="I28" s="222">
        <f>$E$28</f>
        <v>31500</v>
      </c>
      <c r="J28" s="222"/>
      <c r="K28" s="222">
        <f>$E$28</f>
        <v>31500</v>
      </c>
      <c r="L28" s="222"/>
      <c r="M28" s="222">
        <f>$E$28</f>
        <v>31500</v>
      </c>
      <c r="N28" s="222"/>
      <c r="O28" s="222">
        <f>$E$28</f>
        <v>31500</v>
      </c>
      <c r="P28" s="222"/>
      <c r="Q28" s="222">
        <f>$E$28</f>
        <v>31500</v>
      </c>
      <c r="R28" s="222"/>
      <c r="S28" s="222">
        <f>$E$28</f>
        <v>31500</v>
      </c>
      <c r="T28" s="222"/>
      <c r="U28" s="222">
        <f>$E$28</f>
        <v>31500</v>
      </c>
      <c r="V28" s="222"/>
      <c r="W28" s="222">
        <f>$E$28</f>
        <v>31500</v>
      </c>
      <c r="X28" s="222"/>
      <c r="Y28" s="222">
        <f>$E$28</f>
        <v>31500</v>
      </c>
      <c r="Z28" s="222"/>
      <c r="AA28" s="222">
        <f>$E$28</f>
        <v>31500</v>
      </c>
      <c r="AB28" s="222"/>
      <c r="AC28" s="222">
        <f>$E$28</f>
        <v>31500</v>
      </c>
      <c r="AD28" s="222"/>
      <c r="AE28" s="222">
        <f>$E$28</f>
        <v>31500</v>
      </c>
      <c r="AF28" s="222"/>
      <c r="AG28" s="222">
        <f>$E$28</f>
        <v>31500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15750</v>
      </c>
      <c r="F30" s="222"/>
      <c r="G30" s="222">
        <f>E30*$C$30</f>
        <v>16065</v>
      </c>
      <c r="H30" s="222"/>
      <c r="I30" s="222">
        <f>G30*$C$30</f>
        <v>16386.3</v>
      </c>
      <c r="J30" s="222"/>
      <c r="K30" s="222">
        <f>I30*$C$30</f>
        <v>16714.025999999998</v>
      </c>
      <c r="L30" s="222"/>
      <c r="M30" s="222">
        <f>K30*$C$30</f>
        <v>17048.306519999998</v>
      </c>
      <c r="N30" s="222"/>
      <c r="O30" s="222">
        <f>M30*$C$30</f>
        <v>17389.272650399998</v>
      </c>
      <c r="P30" s="222"/>
      <c r="Q30" s="222">
        <f>O30*$C$30</f>
        <v>17737.058103407999</v>
      </c>
      <c r="R30" s="222"/>
      <c r="S30" s="222">
        <f>Q30*$C$30</f>
        <v>18091.799265476158</v>
      </c>
      <c r="T30" s="222"/>
      <c r="U30" s="222">
        <f>S30*$C$30</f>
        <v>18453.635250785683</v>
      </c>
      <c r="V30" s="222"/>
      <c r="W30" s="222">
        <f>U30*$C$30</f>
        <v>18822.707955801397</v>
      </c>
      <c r="X30" s="222"/>
      <c r="Y30" s="222">
        <f>W30*$C$30</f>
        <v>19199.162114917424</v>
      </c>
      <c r="Z30" s="222"/>
      <c r="AA30" s="222">
        <f>Y30*$C$30</f>
        <v>19583.145357215773</v>
      </c>
      <c r="AB30" s="222"/>
      <c r="AC30" s="222">
        <f>AA30*$C$30</f>
        <v>19974.80826436009</v>
      </c>
      <c r="AD30" s="222"/>
      <c r="AE30" s="222">
        <f>AC30*$C$30</f>
        <v>20374.304429647291</v>
      </c>
      <c r="AF30" s="222"/>
      <c r="AG30" s="222">
        <f>AE30*$C$30</f>
        <v>20781.790518240236</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(Bond Issuer Fees):</v>
      </c>
      <c r="C32" s="316">
        <v>1</v>
      </c>
      <c r="E32" s="222">
        <f>Application!AC894</f>
        <v>7875</v>
      </c>
      <c r="F32" s="222"/>
      <c r="G32" s="222">
        <f>E32*$C$32</f>
        <v>7875</v>
      </c>
      <c r="H32" s="222"/>
      <c r="I32" s="222">
        <f>G32*$C$32</f>
        <v>7875</v>
      </c>
      <c r="J32" s="222"/>
      <c r="K32" s="222">
        <f>I32*$C$32</f>
        <v>7875</v>
      </c>
      <c r="L32" s="222"/>
      <c r="M32" s="222">
        <f>K32*$C$32</f>
        <v>7875</v>
      </c>
      <c r="N32" s="222"/>
      <c r="O32" s="222">
        <f>M32*$C$32</f>
        <v>7875</v>
      </c>
      <c r="P32" s="222"/>
      <c r="Q32" s="222">
        <f>O32*$C$32</f>
        <v>7875</v>
      </c>
      <c r="R32" s="222"/>
      <c r="S32" s="222">
        <f>Q32*$C$32</f>
        <v>7875</v>
      </c>
      <c r="T32" s="222"/>
      <c r="U32" s="222">
        <f>S32*$C$32</f>
        <v>7875</v>
      </c>
      <c r="V32" s="222"/>
      <c r="W32" s="222">
        <f>U32*$C$32</f>
        <v>7875</v>
      </c>
      <c r="X32" s="222"/>
      <c r="Y32" s="222">
        <f>W32*$C$32</f>
        <v>7875</v>
      </c>
      <c r="Z32" s="222"/>
      <c r="AA32" s="222">
        <f>Y32*$C$32</f>
        <v>7875</v>
      </c>
      <c r="AB32" s="222"/>
      <c r="AC32" s="222">
        <f>AA32*$C$32</f>
        <v>7875</v>
      </c>
      <c r="AD32" s="222"/>
      <c r="AE32" s="222">
        <f>AC32*$C$32</f>
        <v>7875</v>
      </c>
      <c r="AF32" s="222"/>
      <c r="AG32" s="222">
        <f>AE32*$C$32</f>
        <v>7875</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730425</v>
      </c>
      <c r="G35" s="223">
        <f>SUM(G22:G33)</f>
        <v>754375.5</v>
      </c>
      <c r="I35" s="223">
        <f>SUM(I22:I33)</f>
        <v>779159.54249999986</v>
      </c>
      <c r="K35" s="223">
        <f>SUM(K22:K33)</f>
        <v>804806.20698749973</v>
      </c>
      <c r="M35" s="223">
        <f>SUM(M22:M33)</f>
        <v>831345.58884206228</v>
      </c>
      <c r="O35" s="223">
        <f>SUM(O22:O33)</f>
        <v>858808.83485373424</v>
      </c>
      <c r="Q35" s="223">
        <f>SUM(Q22:Q33)</f>
        <v>887228.17998385883</v>
      </c>
      <c r="S35" s="223">
        <f>SUM(S22:S33)</f>
        <v>916636.98541174282</v>
      </c>
      <c r="U35" s="223">
        <f>SUM(U22:U33)</f>
        <v>947069.77791217167</v>
      </c>
      <c r="W35" s="223">
        <f>SUM(W22:W33)</f>
        <v>978562.29061033577</v>
      </c>
      <c r="Y35" s="223">
        <f>SUM(Y22:Y33)</f>
        <v>1011151.5051623603</v>
      </c>
      <c r="AA35" s="223">
        <f>SUM(AA22:AA33)</f>
        <v>1044875.6954113191</v>
      </c>
      <c r="AC35" s="223">
        <f>SUM(AC22:AC33)</f>
        <v>1079774.4725703569</v>
      </c>
      <c r="AE35" s="223">
        <f>SUM(AE22:AE33)</f>
        <v>1115888.8319863542</v>
      </c>
      <c r="AG35" s="223">
        <f>SUM(AG22:AG33)</f>
        <v>1153261.2015394317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1795279.2000000002</v>
      </c>
      <c r="G37" s="223">
        <f>G11-G35</f>
        <v>1834471.3049999997</v>
      </c>
      <c r="I37" s="223">
        <f>I11-I35</f>
        <v>1874408.4326249999</v>
      </c>
      <c r="K37" s="223">
        <f>K11-K35</f>
        <v>1915100.9675156251</v>
      </c>
      <c r="M37" s="223">
        <f>M11-M35</f>
        <v>1956559.2650236404</v>
      </c>
      <c r="O37" s="223">
        <f>O11-O35</f>
        <v>1998793.6403586105</v>
      </c>
      <c r="Q37" s="223">
        <f>Q11-Q35</f>
        <v>2041814.3571087946</v>
      </c>
      <c r="S37" s="223">
        <f>S11-S35</f>
        <v>2085631.6151082269</v>
      </c>
      <c r="U37" s="223">
        <f>U11-U35</f>
        <v>2130255.5376207968</v>
      </c>
      <c r="W37" s="223">
        <f>W11-W35</f>
        <v>2175696.1578109567</v>
      </c>
      <c r="Y37" s="223">
        <f>Y11-Y35</f>
        <v>2221963.4044694644</v>
      </c>
      <c r="AA37" s="223">
        <f>AA11-AA35</f>
        <v>2269067.086961301</v>
      </c>
      <c r="AC37" s="223">
        <f>AC11-AC35</f>
        <v>2317016.8793615787</v>
      </c>
      <c r="AE37" s="223">
        <f>AE11-AE35</f>
        <v>2365822.3037438793</v>
      </c>
      <c r="AG37" s="223">
        <f>AG11-AG35</f>
        <v>2415492.7125840574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KeyBank</v>
      </c>
      <c r="B40" s="226"/>
      <c r="C40" s="220"/>
      <c r="E40" s="222">
        <f>Application!AF627</f>
        <v>1543440</v>
      </c>
      <c r="F40" s="222"/>
      <c r="G40" s="222">
        <f>$E$40</f>
        <v>1543440</v>
      </c>
      <c r="H40" s="222"/>
      <c r="I40" s="222">
        <f>$E$40</f>
        <v>1543440</v>
      </c>
      <c r="J40" s="222"/>
      <c r="K40" s="222">
        <f>$E$40</f>
        <v>1543440</v>
      </c>
      <c r="L40" s="222"/>
      <c r="M40" s="222">
        <f>$E$40</f>
        <v>1543440</v>
      </c>
      <c r="N40" s="222"/>
      <c r="O40" s="222">
        <f>$E$40</f>
        <v>1543440</v>
      </c>
      <c r="P40" s="222"/>
      <c r="Q40" s="222">
        <f>$E$40</f>
        <v>1543440</v>
      </c>
      <c r="R40" s="222"/>
      <c r="S40" s="222">
        <f>$E$40</f>
        <v>1543440</v>
      </c>
      <c r="T40" s="222"/>
      <c r="U40" s="222">
        <f>$E$40</f>
        <v>1543440</v>
      </c>
      <c r="V40" s="222"/>
      <c r="W40" s="222">
        <f>$E$40</f>
        <v>1543440</v>
      </c>
      <c r="X40" s="222"/>
      <c r="Y40" s="222">
        <f>$E$40</f>
        <v>1543440</v>
      </c>
      <c r="Z40" s="222"/>
      <c r="AA40" s="222">
        <f>$E$40</f>
        <v>1543440</v>
      </c>
      <c r="AB40" s="222"/>
      <c r="AC40" s="222">
        <f>$E$40</f>
        <v>1543440</v>
      </c>
      <c r="AD40" s="222"/>
      <c r="AE40" s="222">
        <f>$E$40</f>
        <v>1543440</v>
      </c>
      <c r="AF40" s="222"/>
      <c r="AG40" s="222">
        <f>$E$40</f>
        <v>1543440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1543440</v>
      </c>
      <c r="G43" s="223">
        <f>SUM(G40:G42)</f>
        <v>1543440</v>
      </c>
      <c r="I43" s="223">
        <f>SUM(I40:I42)</f>
        <v>1543440</v>
      </c>
      <c r="K43" s="223">
        <f>SUM(K40:K42)</f>
        <v>1543440</v>
      </c>
      <c r="M43" s="223">
        <f>SUM(M40:M42)</f>
        <v>1543440</v>
      </c>
      <c r="O43" s="223">
        <f>SUM(O40:O42)</f>
        <v>1543440</v>
      </c>
      <c r="Q43" s="223">
        <f>SUM(Q40:Q42)</f>
        <v>1543440</v>
      </c>
      <c r="S43" s="223">
        <f>SUM(S40:S42)</f>
        <v>1543440</v>
      </c>
      <c r="U43" s="223">
        <f>SUM(U40:U42)</f>
        <v>1543440</v>
      </c>
      <c r="W43" s="223">
        <f>SUM(W40:W42)</f>
        <v>1543440</v>
      </c>
      <c r="Y43" s="223">
        <f>SUM(Y40:Y42)</f>
        <v>1543440</v>
      </c>
      <c r="AA43" s="223">
        <f>SUM(AA40:AA42)</f>
        <v>1543440</v>
      </c>
      <c r="AC43" s="223">
        <f>SUM(AC40:AC42)</f>
        <v>1543440</v>
      </c>
      <c r="AE43" s="223">
        <f>SUM(AE40:AE42)</f>
        <v>1543440</v>
      </c>
      <c r="AG43" s="223">
        <f>SUM(AG40:AG42)</f>
        <v>1543440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251839.20000000019</v>
      </c>
      <c r="G45" s="223">
        <f>G37-G43</f>
        <v>291031.3049999997</v>
      </c>
      <c r="I45" s="223">
        <f>I37-I43</f>
        <v>330968.4326249999</v>
      </c>
      <c r="K45" s="223">
        <f>K37-K43</f>
        <v>371660.96751562506</v>
      </c>
      <c r="M45" s="223">
        <f>M37-M43</f>
        <v>413119.26502364036</v>
      </c>
      <c r="O45" s="223">
        <f>O37-O43</f>
        <v>455353.64035861054</v>
      </c>
      <c r="Q45" s="223">
        <f>Q37-Q43</f>
        <v>498374.35710879462</v>
      </c>
      <c r="S45" s="223">
        <f>S37-S43</f>
        <v>542191.61510822689</v>
      </c>
      <c r="U45" s="223">
        <f>U37-U43</f>
        <v>586815.53762079682</v>
      </c>
      <c r="W45" s="223">
        <f>W37-W43</f>
        <v>632256.15781095671</v>
      </c>
      <c r="Y45" s="223">
        <f>Y37-Y43</f>
        <v>678523.40446946444</v>
      </c>
      <c r="AA45" s="223">
        <f>AA37-AA43</f>
        <v>725627.08696130104</v>
      </c>
      <c r="AC45" s="223">
        <f>AC37-AC43</f>
        <v>773576.87936157873</v>
      </c>
      <c r="AE45" s="223">
        <f>AE37-AE43</f>
        <v>822382.30374387931</v>
      </c>
      <c r="AG45" s="223">
        <f>AG37-AG43</f>
        <v>872052.71258405736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9.4724964229778053E-2</v>
      </c>
      <c r="G47" s="227">
        <f>G45/(G4+G6+G8)</f>
        <v>0.10679648529840287</v>
      </c>
      <c r="I47" s="227">
        <f>I45/(I4+I6+I8)</f>
        <v>0.11848952577856564</v>
      </c>
      <c r="K47" s="227">
        <f>K45/(K4+K6+K8)</f>
        <v>0.12981248862080907</v>
      </c>
      <c r="M47" s="227">
        <f>M45/(M4+M6+M8)</f>
        <v>0.14077356378510178</v>
      </c>
      <c r="O47" s="227">
        <f>O45/(O4+O6+O8)</f>
        <v>0.15138073335708987</v>
      </c>
      <c r="Q47" s="227">
        <f>Q45/(Q4+Q6+Q8)</f>
        <v>0.16164177653879466</v>
      </c>
      <c r="S47" s="227">
        <f>S45/(S4+S6+S8)</f>
        <v>0.17156427451681283</v>
      </c>
      <c r="U47" s="227">
        <f>U45/(U4+U6+U8)</f>
        <v>0.18115561521099915</v>
      </c>
      <c r="W47" s="227">
        <f>W45/(W4+W6+W8)</f>
        <v>0.19042299790653838</v>
      </c>
      <c r="Y47" s="227">
        <f>Y45/(Y4+Y6+Y8)</f>
        <v>0.19937343777224287</v>
      </c>
      <c r="AA47" s="227">
        <f>AA45/(AA4+AA6+AA8)</f>
        <v>0.2080137702678434</v>
      </c>
      <c r="AC47" s="227">
        <f>AC45/(AC4+AC6+AC8)</f>
        <v>0.21635065544297394</v>
      </c>
      <c r="AE47" s="227">
        <f>AE45/(AE4+AE6+AE8)</f>
        <v>0.22439058213048102</v>
      </c>
      <c r="AG47" s="227">
        <f>AG45/(AG4+AG6+AG8)</f>
        <v>0.23213987203663147</v>
      </c>
    </row>
    <row r="48" spans="1:33" s="227" customFormat="1" ht="14.25">
      <c r="A48" s="227" t="s">
        <v>853</v>
      </c>
      <c r="C48" s="220"/>
      <c r="E48" s="227">
        <f>E45/E43</f>
        <v>0.16316747006686375</v>
      </c>
      <c r="G48" s="227">
        <f>G45/G43</f>
        <v>0.18856016754781507</v>
      </c>
      <c r="I48" s="227">
        <f>I45/I43</f>
        <v>0.21443556770914315</v>
      </c>
      <c r="K48" s="227">
        <f>K45/K43</f>
        <v>0.24080039879465678</v>
      </c>
      <c r="M48" s="227">
        <f>M45/M43</f>
        <v>0.26766137007181384</v>
      </c>
      <c r="O48" s="227">
        <f>O45/O43</f>
        <v>0.29502516479980467</v>
      </c>
      <c r="Q48" s="227">
        <f>Q45/Q43</f>
        <v>0.32289843279220093</v>
      </c>
      <c r="S48" s="227">
        <f>S45/S43</f>
        <v>0.3512877825559963</v>
      </c>
      <c r="U48" s="227">
        <f>U45/U43</f>
        <v>0.38019977298812835</v>
      </c>
      <c r="W48" s="227">
        <f>W45/W43</f>
        <v>0.40964090460980451</v>
      </c>
      <c r="Y48" s="227">
        <f>Y45/Y43</f>
        <v>0.43961761031816232</v>
      </c>
      <c r="AA48" s="227">
        <f>AA45/AA43</f>
        <v>0.47013624563397416</v>
      </c>
      <c r="AC48" s="227">
        <f>AC45/AC43</f>
        <v>0.50120307842324852</v>
      </c>
      <c r="AE48" s="227">
        <f>AE45/AE43</f>
        <v>0.53282427806968802</v>
      </c>
      <c r="AG48" s="227">
        <f>AG45/AG43</f>
        <v>0.5650059040740536</v>
      </c>
    </row>
    <row r="49" spans="1:34" s="228" customFormat="1" ht="14.25">
      <c r="A49" s="228" t="s">
        <v>851</v>
      </c>
      <c r="C49" s="229"/>
      <c r="E49" s="228">
        <f>E37/E43</f>
        <v>1.1631674700668637</v>
      </c>
      <c r="G49" s="228">
        <f>G37/G43</f>
        <v>1.188560167547815</v>
      </c>
      <c r="I49" s="228">
        <f>I37/I43</f>
        <v>1.2144355677091432</v>
      </c>
      <c r="K49" s="228">
        <f>K37/K43</f>
        <v>1.2408003987946568</v>
      </c>
      <c r="M49" s="228">
        <f>M37/M43</f>
        <v>1.2676613700718138</v>
      </c>
      <c r="O49" s="228">
        <f>O37/O43</f>
        <v>1.2950251647998048</v>
      </c>
      <c r="Q49" s="228">
        <f>Q37/Q43</f>
        <v>1.3228984327922009</v>
      </c>
      <c r="S49" s="228">
        <f>S37/S43</f>
        <v>1.3512877825559964</v>
      </c>
      <c r="U49" s="228">
        <f>U37/U43</f>
        <v>1.3801997729881283</v>
      </c>
      <c r="W49" s="228">
        <f>W37/W43</f>
        <v>1.4096409046098046</v>
      </c>
      <c r="Y49" s="228">
        <f>Y37/Y43</f>
        <v>1.4396176103181624</v>
      </c>
      <c r="AA49" s="228">
        <f>AA37/AA43</f>
        <v>1.4701362456339742</v>
      </c>
      <c r="AC49" s="228">
        <f>AC37/AC43</f>
        <v>1.5012030784232486</v>
      </c>
      <c r="AE49" s="228">
        <f>AE37/AE43</f>
        <v>1.5328242780696881</v>
      </c>
      <c r="AG49" s="228">
        <f>AG37/AG43</f>
        <v>1.5650059040740536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0" t="s">
        <v>1185</v>
      </c>
      <c r="B52" s="2690"/>
      <c r="C52" s="269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v>15000</v>
      </c>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v>7500</v>
      </c>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22500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229339.20000000019</v>
      </c>
      <c r="G60" s="962">
        <f>G45-G58</f>
        <v>291031.3049999997</v>
      </c>
      <c r="I60" s="962">
        <f>I45-I58</f>
        <v>330968.4326249999</v>
      </c>
      <c r="K60" s="962">
        <f>K45-K58</f>
        <v>371660.96751562506</v>
      </c>
      <c r="M60" s="962">
        <f>M45-M58</f>
        <v>413119.26502364036</v>
      </c>
      <c r="O60" s="962">
        <f>O45-O58</f>
        <v>455353.64035861054</v>
      </c>
      <c r="Q60" s="962">
        <f>Q45-Q58</f>
        <v>498374.35710879462</v>
      </c>
      <c r="S60" s="962">
        <f>S45-S58</f>
        <v>542191.61510822689</v>
      </c>
      <c r="U60" s="962">
        <f>U45-U58</f>
        <v>586815.53762079682</v>
      </c>
      <c r="W60" s="962">
        <f>W45-W58</f>
        <v>632256.15781095671</v>
      </c>
      <c r="Y60" s="962">
        <f>Y45-Y58</f>
        <v>678523.40446946444</v>
      </c>
      <c r="AA60" s="962">
        <f>AA45-AA58</f>
        <v>725627.08696130104</v>
      </c>
      <c r="AC60" s="962">
        <f>AC45-AC58</f>
        <v>773576.87936157873</v>
      </c>
      <c r="AE60" s="962">
        <f>AE45-AE58</f>
        <v>822382.30374387931</v>
      </c>
      <c r="AG60" s="962">
        <f>AG45-AG58</f>
        <v>872052.71258405736</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229339.20000000019</v>
      </c>
      <c r="G62" s="962">
        <f>G60*$C$62</f>
        <v>291031.3049999997</v>
      </c>
      <c r="I62" s="962">
        <f>I60*$C$62</f>
        <v>330968.4326249999</v>
      </c>
      <c r="K62" s="962">
        <f>K60*$C$62</f>
        <v>371660.96751562506</v>
      </c>
      <c r="M62" s="962">
        <f>M60*$C$62</f>
        <v>413119.26502364036</v>
      </c>
      <c r="O62" s="962">
        <f>O60*$C$62</f>
        <v>455353.64035861054</v>
      </c>
      <c r="Q62" s="962">
        <f>Q60*$C$62</f>
        <v>498374.35710879462</v>
      </c>
      <c r="S62" s="962">
        <f>S60*$C$62</f>
        <v>542191.61510822689</v>
      </c>
      <c r="U62" s="962">
        <f>U60*$C$62</f>
        <v>586815.53762079682</v>
      </c>
      <c r="W62" s="962">
        <f>W60*$C$62</f>
        <v>632256.15781095671</v>
      </c>
      <c r="Y62" s="962">
        <f>Y60*$C$62</f>
        <v>678523.40446946444</v>
      </c>
      <c r="AA62" s="962">
        <f>AA60*$C$62</f>
        <v>725627.08696130104</v>
      </c>
      <c r="AC62" s="962">
        <f>AC60*$C$62</f>
        <v>773576.87936157873</v>
      </c>
      <c r="AE62" s="962">
        <f>AE60*$C$62</f>
        <v>822382.30374387931</v>
      </c>
      <c r="AG62" s="962">
        <f>AG60*$C$62</f>
        <v>872052.71258405736</v>
      </c>
    </row>
    <row r="63" spans="1:34" s="962" customFormat="1">
      <c r="A63" s="2690" t="s">
        <v>1185</v>
      </c>
      <c r="B63" s="2690"/>
      <c r="C63" s="269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8" t="s">
        <v>1722</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3000000</v>
      </c>
      <c r="C5" s="266">
        <f>'Sources and Uses Budget'!$C4</f>
        <v>3000000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3000000</v>
      </c>
      <c r="C9" s="270">
        <f>SUM(C5:C8)</f>
        <v>3000000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3000000</v>
      </c>
      <c r="C13" s="270">
        <f>SUM(C9+C12)</f>
        <v>3000000</v>
      </c>
      <c r="D13" s="270">
        <f t="shared" si="0"/>
        <v>0</v>
      </c>
      <c r="E13" s="268"/>
      <c r="F13" s="267"/>
    </row>
    <row r="14" spans="1:6" s="352" customFormat="1">
      <c r="A14" s="366" t="s">
        <v>903</v>
      </c>
      <c r="B14" s="266">
        <f>'Sources and Uses Budget'!$C13</f>
        <v>20000</v>
      </c>
      <c r="C14" s="266">
        <f>'Sources and Uses Budget'!$C13</f>
        <v>20000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22661420</v>
      </c>
      <c r="C31" s="266">
        <f>'Sources and Uses Budget'!$C30</f>
        <v>22661420</v>
      </c>
      <c r="D31" s="270">
        <f t="shared" si="0"/>
        <v>0</v>
      </c>
      <c r="E31" s="268"/>
      <c r="F31" s="267"/>
    </row>
    <row r="32" spans="1:6" s="352" customFormat="1">
      <c r="A32" s="145" t="s">
        <v>601</v>
      </c>
      <c r="B32" s="266">
        <f>'Sources and Uses Budget'!$C31</f>
        <v>1056470</v>
      </c>
      <c r="C32" s="266">
        <f>'Sources and Uses Budget'!$C31</f>
        <v>1056470</v>
      </c>
      <c r="D32" s="270">
        <f t="shared" si="0"/>
        <v>0</v>
      </c>
      <c r="E32" s="268"/>
      <c r="F32" s="267"/>
    </row>
    <row r="33" spans="1:6" s="352" customFormat="1">
      <c r="A33" s="145" t="s">
        <v>137</v>
      </c>
      <c r="B33" s="266">
        <f>'Sources and Uses Budget'!$C32</f>
        <v>1056470</v>
      </c>
      <c r="C33" s="266">
        <f>'Sources and Uses Budget'!$C32</f>
        <v>1056470</v>
      </c>
      <c r="D33" s="270">
        <f t="shared" si="0"/>
        <v>0</v>
      </c>
      <c r="E33" s="268"/>
      <c r="F33" s="267"/>
    </row>
    <row r="34" spans="1:6" s="352" customFormat="1">
      <c r="A34" s="145" t="s">
        <v>138</v>
      </c>
      <c r="B34" s="266">
        <f>'Sources and Uses Budget'!$C33</f>
        <v>939085</v>
      </c>
      <c r="C34" s="266">
        <f>'Sources and Uses Budget'!$C33</f>
        <v>939085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234771</v>
      </c>
      <c r="C36" s="266">
        <f>'Sources and Uses Budget'!$C35</f>
        <v>234771</v>
      </c>
      <c r="D36" s="270">
        <f t="shared" si="0"/>
        <v>0</v>
      </c>
      <c r="E36" s="268"/>
      <c r="F36" s="267"/>
    </row>
    <row r="37" spans="1:6" s="352" customFormat="1">
      <c r="A37" s="283" t="s">
        <v>1641</v>
      </c>
      <c r="B37" s="266">
        <f>'Sources and Uses Budget'!$C36</f>
        <v>225000</v>
      </c>
      <c r="C37" s="266">
        <f>'Sources and Uses Budget'!$C36</f>
        <v>225000</v>
      </c>
      <c r="D37" s="270"/>
      <c r="E37" s="268"/>
      <c r="F37" s="267"/>
    </row>
    <row r="38" spans="1:6" s="352" customFormat="1">
      <c r="A38" s="155" t="str">
        <f>'Sources and Uses Budget'!A37</f>
        <v>Other: (Utility Costs)</v>
      </c>
      <c r="B38" s="266">
        <f>'Sources and Uses Budget'!$C37</f>
        <v>215700</v>
      </c>
      <c r="C38" s="266">
        <f>'Sources and Uses Budget'!$C37</f>
        <v>215700</v>
      </c>
      <c r="D38" s="270">
        <f t="shared" si="0"/>
        <v>0</v>
      </c>
      <c r="E38" s="268"/>
      <c r="F38" s="267"/>
    </row>
    <row r="39" spans="1:6" s="352" customFormat="1">
      <c r="A39" s="271" t="s">
        <v>143</v>
      </c>
      <c r="B39" s="270">
        <f>SUM(B30:B38)</f>
        <v>26388916</v>
      </c>
      <c r="C39" s="270">
        <f>SUM(C30:C38)</f>
        <v>26388916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2650000</v>
      </c>
      <c r="C41" s="266">
        <f>'Sources and Uses Budget'!$C40</f>
        <v>2650000</v>
      </c>
      <c r="D41" s="270">
        <f t="shared" si="0"/>
        <v>0</v>
      </c>
      <c r="E41" s="268"/>
      <c r="F41" s="267"/>
    </row>
    <row r="42" spans="1:6" s="352" customFormat="1">
      <c r="A42" s="269" t="s">
        <v>146</v>
      </c>
      <c r="B42" s="266">
        <f>'Sources and Uses Budget'!$C41</f>
        <v>1299605</v>
      </c>
      <c r="C42" s="266">
        <f>'Sources and Uses Budget'!$C41</f>
        <v>1299605</v>
      </c>
      <c r="D42" s="270">
        <f t="shared" si="0"/>
        <v>0</v>
      </c>
      <c r="E42" s="268"/>
      <c r="F42" s="267"/>
    </row>
    <row r="43" spans="1:6" s="352" customFormat="1">
      <c r="A43" s="271" t="s">
        <v>147</v>
      </c>
      <c r="B43" s="270">
        <f>SUM(B41:B42)</f>
        <v>3949605</v>
      </c>
      <c r="C43" s="270">
        <f>SUM(C41:C42)</f>
        <v>3949605</v>
      </c>
      <c r="D43" s="270">
        <f t="shared" si="0"/>
        <v>0</v>
      </c>
      <c r="E43" s="268"/>
      <c r="F43" s="267"/>
    </row>
    <row r="44" spans="1:6" s="352" customFormat="1">
      <c r="A44" s="271" t="s">
        <v>148</v>
      </c>
      <c r="B44" s="266">
        <f>'Sources and Uses Budget'!$C43</f>
        <v>150000</v>
      </c>
      <c r="C44" s="266">
        <f>'Sources and Uses Budget'!$C43</f>
        <v>150000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4447239</v>
      </c>
      <c r="C46" s="266">
        <f>'Sources and Uses Budget'!$C45</f>
        <v>4447239</v>
      </c>
      <c r="D46" s="270">
        <f t="shared" si="0"/>
        <v>0</v>
      </c>
      <c r="E46" s="268"/>
      <c r="F46" s="267"/>
    </row>
    <row r="47" spans="1:6" s="352" customFormat="1">
      <c r="A47" s="145" t="s">
        <v>151</v>
      </c>
      <c r="B47" s="266">
        <f>'Sources and Uses Budget'!$C46</f>
        <v>430051</v>
      </c>
      <c r="C47" s="266">
        <f>'Sources and Uses Budget'!$C46</f>
        <v>430051</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648146</v>
      </c>
      <c r="C50" s="266">
        <f>'Sources and Uses Budget'!$C49</f>
        <v>648146</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131250</v>
      </c>
      <c r="C52" s="266">
        <f>'Sources and Uses Budget'!$C51</f>
        <v>131250</v>
      </c>
      <c r="D52" s="270">
        <f t="shared" si="0"/>
        <v>0</v>
      </c>
      <c r="E52" s="268"/>
      <c r="F52" s="267"/>
    </row>
    <row r="53" spans="1:6" s="352" customFormat="1">
      <c r="A53" s="145" t="s">
        <v>155</v>
      </c>
      <c r="B53" s="266">
        <f>'Sources and Uses Budget'!$C52</f>
        <v>600000</v>
      </c>
      <c r="C53" s="266">
        <f>'Sources and Uses Budget'!$C52</f>
        <v>600000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6356686</v>
      </c>
      <c r="C55" s="273">
        <f>SUM(C46:C54)</f>
        <v>6356686</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234984</v>
      </c>
      <c r="C57" s="266">
        <f>'Sources and Uses Budget'!$C56</f>
        <v>234984</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105000</v>
      </c>
      <c r="C59" s="266">
        <f>'Sources and Uses Budget'!$C58</f>
        <v>105000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339984</v>
      </c>
      <c r="C63" s="270">
        <f>SUM(C57:C62)</f>
        <v>339984</v>
      </c>
      <c r="D63" s="270">
        <f t="shared" si="0"/>
        <v>0</v>
      </c>
      <c r="E63" s="268"/>
      <c r="F63" s="267"/>
    </row>
    <row r="64" spans="1:6" s="352" customFormat="1">
      <c r="A64" s="274" t="s">
        <v>302</v>
      </c>
      <c r="B64" s="270">
        <f>SUM(B9+B12+B14+B15+B17+B26+B28+B39+B43+B44+B55+B63)</f>
        <v>40205191</v>
      </c>
      <c r="C64" s="270">
        <f>SUM(C9+C12+C14+C15+C17+C26+C28+C39+C43+C44+C55+C63)</f>
        <v>40205191</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319600</v>
      </c>
      <c r="C66" s="266">
        <f>'Sources and Uses Budget'!$C65</f>
        <v>319600</v>
      </c>
      <c r="D66" s="270">
        <f t="shared" si="0"/>
        <v>0</v>
      </c>
      <c r="E66" s="268"/>
      <c r="F66" s="267"/>
    </row>
    <row r="67" spans="1:6" s="352" customFormat="1" ht="24">
      <c r="A67" s="283" t="s">
        <v>1642</v>
      </c>
      <c r="B67" s="266">
        <f>'Sources and Uses Budget'!$C66</f>
        <v>500000</v>
      </c>
      <c r="C67" s="266">
        <f>'Sources and Uses Budget'!$C66</f>
        <v>500000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819600</v>
      </c>
      <c r="C71" s="270">
        <f>SUM(C66:C70)</f>
        <v>819600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573042</v>
      </c>
      <c r="C76" s="266">
        <f>'Sources and Uses Budget'!$C75</f>
        <v>573042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573042</v>
      </c>
      <c r="C78" s="270">
        <f>SUM(C73:C77)</f>
        <v>573042</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1617750</v>
      </c>
      <c r="C80" s="266">
        <f>'Sources and Uses Budget'!$C79</f>
        <v>1617750</v>
      </c>
      <c r="D80" s="270">
        <f t="shared" si="1"/>
        <v>0</v>
      </c>
      <c r="E80" s="268"/>
      <c r="F80" s="267"/>
    </row>
    <row r="81" spans="1:6" s="352" customFormat="1">
      <c r="A81" s="510" t="s">
        <v>58</v>
      </c>
      <c r="B81" s="266">
        <f>'Sources and Uses Budget'!$C80</f>
        <v>877149</v>
      </c>
      <c r="C81" s="266">
        <f>'Sources and Uses Budget'!$C80</f>
        <v>877149</v>
      </c>
      <c r="D81" s="270">
        <f>C81-B81</f>
        <v>0</v>
      </c>
      <c r="E81" s="268"/>
      <c r="F81" s="267"/>
    </row>
    <row r="82" spans="1:6" s="352" customFormat="1">
      <c r="A82" s="271" t="s">
        <v>1210</v>
      </c>
      <c r="B82" s="270">
        <f>SUM(B80:B81)</f>
        <v>2494899</v>
      </c>
      <c r="C82" s="270">
        <f>SUM(C80:C81)</f>
        <v>2494899</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114847</v>
      </c>
      <c r="C84" s="266">
        <f>'Sources and Uses Budget'!$C83</f>
        <v>114847</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2000000</v>
      </c>
      <c r="C87" s="266">
        <f>'Sources and Uses Budget'!$C86</f>
        <v>2000000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50000</v>
      </c>
      <c r="C89" s="266">
        <f>'Sources and Uses Budget'!$C88</f>
        <v>50000</v>
      </c>
      <c r="D89" s="270">
        <f t="shared" si="1"/>
        <v>0</v>
      </c>
      <c r="E89" s="268"/>
      <c r="F89" s="267"/>
    </row>
    <row r="90" spans="1:6" s="352" customFormat="1">
      <c r="A90" s="269" t="s">
        <v>773</v>
      </c>
      <c r="B90" s="266">
        <f>'Sources and Uses Budget'!$C89</f>
        <v>50000</v>
      </c>
      <c r="C90" s="266">
        <f>'Sources and Uses Budget'!$C89</f>
        <v>50000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1212</v>
      </c>
      <c r="B93" s="266">
        <f>'Sources and Uses Budget'!$C92</f>
        <v>0</v>
      </c>
      <c r="C93" s="266">
        <f>'Sources and Uses Budget'!$C92</f>
        <v>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2274847</v>
      </c>
      <c r="C97" s="270">
        <f>SUM(C84:C96)</f>
        <v>2274847</v>
      </c>
      <c r="D97" s="270">
        <f t="shared" si="1"/>
        <v>0</v>
      </c>
      <c r="E97" s="268"/>
      <c r="F97" s="267"/>
    </row>
    <row r="98" spans="1:6" s="352" customFormat="1">
      <c r="A98" s="271" t="s">
        <v>776</v>
      </c>
      <c r="B98" s="270">
        <f>SUM(B64+B71+B78+B82+B97)</f>
        <v>46367579</v>
      </c>
      <c r="C98" s="270">
        <f>SUM(C64+C71+C78+C82+C97)</f>
        <v>46367579</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7970413</v>
      </c>
      <c r="C100" s="266">
        <f>'Sources and Uses Budget'!$C99</f>
        <v>7970413</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7970413</v>
      </c>
      <c r="C105" s="270">
        <f>SUM(C100:C104)</f>
        <v>7970413</v>
      </c>
      <c r="D105" s="270">
        <f t="shared" si="1"/>
        <v>0</v>
      </c>
      <c r="E105" s="268"/>
      <c r="F105" s="267"/>
    </row>
    <row r="106" spans="1:6" s="352" customFormat="1">
      <c r="A106" s="271" t="s">
        <v>781</v>
      </c>
      <c r="B106" s="273">
        <f>SUM(B98+B105)</f>
        <v>54337992</v>
      </c>
      <c r="C106" s="273">
        <f>SUM(C98+C105)</f>
        <v>54337992</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F1100" sqref="F1100"/>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2458</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2716</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2716</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2717</v>
      </c>
      <c r="D24" s="1301" t="s">
        <v>1092</v>
      </c>
      <c r="E24" s="1301"/>
      <c r="F24" s="1301"/>
      <c r="I24" s="490"/>
    </row>
    <row r="25" spans="1:9" ht="14.25">
      <c r="A25" s="484"/>
      <c r="B25" s="484"/>
      <c r="D25" s="1301"/>
      <c r="E25" s="1301"/>
      <c r="F25" s="1301"/>
      <c r="I25" s="490"/>
    </row>
    <row r="26" spans="1:9">
      <c r="I26" s="490"/>
    </row>
    <row r="27" spans="1:9" ht="14.25">
      <c r="A27" s="484"/>
      <c r="B27" s="485" t="s">
        <v>2716</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2716</v>
      </c>
      <c r="D33" s="1301" t="s">
        <v>2049</v>
      </c>
      <c r="E33" s="1301"/>
      <c r="F33" s="1301"/>
      <c r="I33" s="490"/>
    </row>
    <row r="34" spans="1:9">
      <c r="D34" s="1301"/>
      <c r="E34" s="1301"/>
      <c r="F34" s="1301"/>
      <c r="I34" s="490"/>
    </row>
    <row r="35" spans="1:9" ht="14.25">
      <c r="A35" s="484"/>
      <c r="B35" s="484"/>
      <c r="D35" s="447"/>
      <c r="I35" s="490"/>
    </row>
    <row r="36" spans="1:9" ht="14.45" customHeight="1">
      <c r="A36" s="484"/>
      <c r="B36" s="485" t="s">
        <v>2717</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2716</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2717</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2717</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2716</v>
      </c>
      <c r="D56" s="1324" t="s">
        <v>1096</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2717</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2717</v>
      </c>
      <c r="D65" s="1301" t="s">
        <v>1098</v>
      </c>
      <c r="E65" s="1301"/>
      <c r="F65" s="1301"/>
      <c r="I65" s="490"/>
    </row>
    <row r="66" spans="1:9">
      <c r="D66" s="1301"/>
      <c r="E66" s="1301"/>
      <c r="F66" s="1301"/>
      <c r="I66" s="490"/>
    </row>
    <row r="67" spans="1:9">
      <c r="I67" s="490"/>
    </row>
    <row r="68" spans="1:9" ht="14.25">
      <c r="A68" s="484"/>
      <c r="B68" s="485" t="s">
        <v>2716</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2716</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2716</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2716</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2716</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2716</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2717</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2717</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2717</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2716</v>
      </c>
      <c r="C128" s="402"/>
      <c r="D128" s="1323" t="s">
        <v>2050</v>
      </c>
      <c r="E128" s="1323"/>
      <c r="F128" s="1323"/>
      <c r="I128" s="490"/>
    </row>
    <row r="129" spans="1:9" ht="14.25">
      <c r="A129" s="484"/>
      <c r="B129" s="484"/>
      <c r="C129" s="402"/>
      <c r="D129" s="1323"/>
      <c r="E129" s="1323"/>
      <c r="F129" s="1323"/>
      <c r="I129" s="490"/>
    </row>
    <row r="130" spans="1:9">
      <c r="I130" s="490"/>
    </row>
    <row r="131" spans="1:9" ht="14.25">
      <c r="A131" s="484"/>
      <c r="B131" s="485" t="s">
        <v>2716</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2716</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2717</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2073</v>
      </c>
      <c r="E169" s="1320"/>
      <c r="F169" s="1320"/>
      <c r="G169" s="507"/>
      <c r="I169" s="490"/>
    </row>
    <row r="170" spans="1:9" ht="13.7" customHeight="1">
      <c r="D170" s="1318"/>
      <c r="E170" s="1318"/>
      <c r="F170" s="1318"/>
      <c r="G170" s="1318"/>
      <c r="I170" s="490"/>
    </row>
    <row r="171" spans="1:9" ht="14.45" customHeight="1">
      <c r="A171" s="489"/>
      <c r="B171" s="485" t="s">
        <v>2717</v>
      </c>
      <c r="C171" s="476"/>
      <c r="D171" s="1272" t="s">
        <v>2213</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2717</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2717</v>
      </c>
      <c r="D182" s="1313" t="s">
        <v>2051</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2716</v>
      </c>
      <c r="D197" s="1288" t="s">
        <v>1748</v>
      </c>
      <c r="E197" s="1288"/>
      <c r="F197" s="1288"/>
      <c r="I197" s="490"/>
    </row>
    <row r="198" spans="1:9">
      <c r="A198" s="404"/>
      <c r="B198" s="404"/>
      <c r="D198" s="1287" t="s">
        <v>1902</v>
      </c>
      <c r="E198" s="1287"/>
      <c r="F198" s="1287"/>
      <c r="I198" s="490"/>
    </row>
    <row r="199" spans="1:9">
      <c r="A199" s="404"/>
      <c r="B199" s="404"/>
      <c r="D199" s="96" t="s">
        <v>1749</v>
      </c>
      <c r="E199" s="1325" t="s">
        <v>1925</v>
      </c>
      <c r="F199" s="1325"/>
      <c r="I199" s="490"/>
    </row>
    <row r="200" spans="1:9">
      <c r="A200" s="404"/>
      <c r="B200" s="404"/>
      <c r="D200" s="3"/>
      <c r="E200" s="3"/>
      <c r="F200" s="3"/>
      <c r="I200" s="490"/>
    </row>
    <row r="201" spans="1:9">
      <c r="A201" s="404"/>
      <c r="B201" s="485" t="s">
        <v>2717</v>
      </c>
      <c r="D201" s="1287" t="s">
        <v>1750</v>
      </c>
      <c r="E201" s="1287"/>
      <c r="F201" s="1287"/>
      <c r="I201" s="490"/>
    </row>
    <row r="202" spans="1:9">
      <c r="A202" s="404"/>
      <c r="B202" s="404"/>
      <c r="D202" s="1288" t="s">
        <v>1902</v>
      </c>
      <c r="E202" s="1288"/>
      <c r="F202" s="1288"/>
      <c r="I202" s="490"/>
    </row>
    <row r="203" spans="1:9">
      <c r="A203" s="404"/>
      <c r="B203" s="404"/>
      <c r="D203" s="57" t="s">
        <v>1751</v>
      </c>
      <c r="E203" s="1325" t="s">
        <v>1926</v>
      </c>
      <c r="F203" s="1325"/>
      <c r="I203" s="490"/>
    </row>
    <row r="204" spans="1:9">
      <c r="A204" s="404"/>
      <c r="B204" s="404"/>
      <c r="D204" s="3"/>
      <c r="E204" s="3"/>
      <c r="F204" s="3"/>
      <c r="I204" s="490"/>
    </row>
    <row r="205" spans="1:9">
      <c r="A205" s="404"/>
      <c r="B205" s="485" t="s">
        <v>2717</v>
      </c>
      <c r="D205" s="1287" t="s">
        <v>1752</v>
      </c>
      <c r="E205" s="1287"/>
      <c r="F205" s="1287"/>
      <c r="I205" s="490"/>
    </row>
    <row r="206" spans="1:9">
      <c r="A206" s="404"/>
      <c r="B206" s="404"/>
      <c r="D206" s="1288" t="s">
        <v>1902</v>
      </c>
      <c r="E206" s="1288"/>
      <c r="F206" s="1288"/>
      <c r="I206" s="490"/>
    </row>
    <row r="207" spans="1:9">
      <c r="A207" s="404"/>
      <c r="B207" s="404"/>
      <c r="D207" s="57" t="s">
        <v>1749</v>
      </c>
      <c r="E207" s="1325" t="s">
        <v>1927</v>
      </c>
      <c r="F207" s="1325"/>
      <c r="I207" s="490"/>
    </row>
    <row r="208" spans="1:9">
      <c r="A208" s="404"/>
      <c r="B208" s="404"/>
      <c r="D208" s="392"/>
      <c r="E208" s="392"/>
      <c r="F208" s="392"/>
      <c r="I208" s="490"/>
    </row>
    <row r="209" spans="1:9" ht="14.25" customHeight="1">
      <c r="A209" s="484"/>
      <c r="B209" s="485" t="s">
        <v>2717</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2717</v>
      </c>
      <c r="D213" s="1287" t="s">
        <v>1753</v>
      </c>
      <c r="E213" s="1287"/>
      <c r="F213" s="1287"/>
      <c r="I213" s="490"/>
    </row>
    <row r="214" spans="1:9">
      <c r="D214" s="1288" t="s">
        <v>1902</v>
      </c>
      <c r="E214" s="1288"/>
      <c r="F214" s="1288"/>
      <c r="I214" s="490"/>
    </row>
    <row r="215" spans="1:9">
      <c r="D215" s="57" t="s">
        <v>1749</v>
      </c>
      <c r="E215" s="1325" t="s">
        <v>1929</v>
      </c>
      <c r="F215" s="1325"/>
      <c r="I215" s="490"/>
    </row>
    <row r="216" spans="1:9">
      <c r="D216" s="451"/>
      <c r="E216" s="451"/>
      <c r="F216" s="451"/>
      <c r="I216" s="490"/>
    </row>
    <row r="217" spans="1:9" ht="14.25">
      <c r="A217" s="484"/>
      <c r="B217" s="485" t="s">
        <v>2717</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2716</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2716</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2716</v>
      </c>
      <c r="D245" s="1301" t="s">
        <v>2053</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2717</v>
      </c>
      <c r="D250" s="1301" t="s">
        <v>2054</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2716</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2716</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2716</v>
      </c>
      <c r="D267" s="1301" t="s">
        <v>1197</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5" customHeight="1">
      <c r="A271" s="484"/>
      <c r="B271" s="485" t="s">
        <v>2717</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2717</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2717</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2717</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2717</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2717</v>
      </c>
      <c r="D305" s="1299" t="s">
        <v>1130</v>
      </c>
      <c r="E305" s="1299"/>
      <c r="F305" s="1299"/>
      <c r="I305" s="490"/>
    </row>
    <row r="306" spans="1:9" ht="14.25">
      <c r="A306" s="484"/>
      <c r="B306" s="484"/>
      <c r="D306" s="494"/>
      <c r="E306" s="495"/>
      <c r="F306" s="495"/>
      <c r="I306" s="490"/>
    </row>
    <row r="307" spans="1:9" ht="13.7" customHeight="1">
      <c r="B307" s="485" t="s">
        <v>2717</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2717</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2717</v>
      </c>
      <c r="D316" s="1299" t="s">
        <v>1132</v>
      </c>
      <c r="E316" s="1299"/>
      <c r="F316" s="1299"/>
      <c r="I316" s="490"/>
    </row>
    <row r="317" spans="1:9">
      <c r="E317" s="446"/>
      <c r="F317" s="446"/>
      <c r="I317" s="490"/>
    </row>
    <row r="318" spans="1:9" ht="14.25">
      <c r="A318" s="484"/>
      <c r="B318" s="485" t="s">
        <v>2717</v>
      </c>
      <c r="D318" s="1301" t="s">
        <v>2245</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2717</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2717</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2246</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2717</v>
      </c>
      <c r="C355" s="487"/>
      <c r="D355" s="1299" t="s">
        <v>1901</v>
      </c>
      <c r="E355" s="1299"/>
      <c r="F355" s="1299"/>
      <c r="I355" s="490"/>
    </row>
    <row r="356" spans="1:9" ht="12.75" customHeight="1">
      <c r="D356" s="1037"/>
      <c r="E356" s="96" t="s">
        <v>1900</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2717</v>
      </c>
      <c r="C360" s="476"/>
      <c r="D360" s="1318" t="s">
        <v>2057</v>
      </c>
      <c r="E360" s="1318"/>
      <c r="F360" s="1318"/>
      <c r="I360" s="480"/>
    </row>
    <row r="361" spans="1:9">
      <c r="A361" s="476"/>
      <c r="B361" s="476"/>
      <c r="C361" s="476"/>
      <c r="D361" s="447"/>
      <c r="E361" s="447"/>
      <c r="F361" s="446"/>
      <c r="I361" s="490"/>
    </row>
    <row r="362" spans="1:9">
      <c r="A362" s="476"/>
      <c r="B362" s="485" t="s">
        <v>2717</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2717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2717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2717</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2717</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2717</v>
      </c>
      <c r="D423" s="1272" t="s">
        <v>1882</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2717</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25">
      <c r="A435" s="484"/>
      <c r="B435" s="485" t="s">
        <v>2717</v>
      </c>
      <c r="C435" s="487"/>
      <c r="D435" s="1301" t="s">
        <v>2059</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2717</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2717</v>
      </c>
      <c r="C471" s="484"/>
      <c r="D471" s="1301" t="s">
        <v>1198</v>
      </c>
      <c r="E471" s="1301"/>
      <c r="F471" s="1301"/>
      <c r="I471" s="490"/>
    </row>
    <row r="472" spans="1:9">
      <c r="D472" s="1301"/>
      <c r="E472" s="1301"/>
      <c r="F472" s="1301"/>
      <c r="I472" s="490"/>
    </row>
    <row r="473" spans="1:9">
      <c r="D473" s="446"/>
      <c r="E473" s="446"/>
      <c r="F473" s="446"/>
      <c r="I473" s="490"/>
    </row>
    <row r="474" spans="1:9" ht="14.25">
      <c r="B474" s="485" t="s">
        <v>2717</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2717</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2717</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2717</v>
      </c>
      <c r="C486" s="402"/>
      <c r="D486" s="1301"/>
      <c r="E486" s="1301"/>
      <c r="F486" s="1301"/>
      <c r="I486" s="490"/>
    </row>
    <row r="487" spans="1:9">
      <c r="A487" s="402"/>
      <c r="C487" s="402"/>
      <c r="D487" s="1301"/>
      <c r="E487" s="1301"/>
      <c r="F487" s="1301"/>
      <c r="I487" s="490"/>
    </row>
    <row r="488" spans="1:9">
      <c r="A488" s="402"/>
      <c r="B488" s="485" t="s">
        <v>2717</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2717</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2717</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2717</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2717</v>
      </c>
      <c r="D509" s="1299" t="s">
        <v>1144</v>
      </c>
      <c r="E509" s="1299"/>
      <c r="F509" s="1299"/>
      <c r="I509" s="490"/>
    </row>
    <row r="510" spans="1:9" ht="14.25">
      <c r="A510" s="484"/>
      <c r="B510" s="484"/>
      <c r="D510" s="446"/>
      <c r="I510" s="490"/>
    </row>
    <row r="511" spans="1:9" ht="14.25">
      <c r="A511" s="484"/>
      <c r="B511" s="485" t="s">
        <v>2717</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2717</v>
      </c>
      <c r="D514" s="1299" t="s">
        <v>1146</v>
      </c>
      <c r="E514" s="1299"/>
      <c r="F514" s="1299"/>
      <c r="I514" s="490"/>
    </row>
    <row r="515" spans="1:9">
      <c r="D515" s="446"/>
      <c r="E515" s="446"/>
      <c r="F515" s="446"/>
      <c r="I515" s="490"/>
    </row>
    <row r="516" spans="1:9">
      <c r="B516" s="485" t="s">
        <v>2717</v>
      </c>
      <c r="D516" s="1301" t="s">
        <v>2280</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2716</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2716</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2716</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2716</v>
      </c>
      <c r="C548" s="487"/>
      <c r="D548" s="1299" t="s">
        <v>885</v>
      </c>
      <c r="E548" s="1299"/>
      <c r="F548" s="1299"/>
      <c r="I548" s="490"/>
    </row>
    <row r="549" spans="1:9" ht="13.7" customHeight="1">
      <c r="A549" s="487"/>
      <c r="B549" s="487"/>
      <c r="C549" s="487"/>
      <c r="D549" s="446"/>
      <c r="I549" s="490"/>
    </row>
    <row r="550" spans="1:9" ht="14.25">
      <c r="A550" s="484"/>
      <c r="B550" s="485" t="s">
        <v>2716</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2716</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2716</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2716</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2717</v>
      </c>
      <c r="C563" s="487"/>
      <c r="D563" s="1301" t="s">
        <v>2247</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2716</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2716</v>
      </c>
      <c r="C569" s="487"/>
      <c r="D569" s="1299" t="s">
        <v>1088</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2716</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2716</v>
      </c>
      <c r="C578" s="487"/>
      <c r="D578" s="1301" t="s">
        <v>2063</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2716</v>
      </c>
      <c r="D588" s="1313" t="s">
        <v>889</v>
      </c>
      <c r="E588" s="1313"/>
      <c r="F588" s="1313"/>
      <c r="I588" s="490"/>
    </row>
    <row r="589" spans="1:9">
      <c r="A589" s="490"/>
      <c r="B589" s="490"/>
      <c r="D589" s="476"/>
      <c r="I589" s="490"/>
    </row>
    <row r="590" spans="1:9">
      <c r="A590" s="490"/>
      <c r="B590" s="485" t="s">
        <v>2716</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2717</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2716</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2717</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2716</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2716</v>
      </c>
      <c r="D620" s="1307" t="s">
        <v>1112</v>
      </c>
      <c r="E620" s="1307"/>
      <c r="F620" s="1307"/>
      <c r="I620" s="490"/>
    </row>
    <row r="621" spans="1:9">
      <c r="D621" s="1307"/>
      <c r="E621" s="1307"/>
      <c r="F621" s="1307"/>
      <c r="I621" s="490"/>
    </row>
    <row r="622" spans="1:9">
      <c r="I622" s="490"/>
    </row>
    <row r="623" spans="1:9">
      <c r="B623" s="485" t="s">
        <v>2716</v>
      </c>
      <c r="D623" s="1307" t="s">
        <v>1113</v>
      </c>
      <c r="E623" s="1307"/>
      <c r="F623" s="1307"/>
      <c r="I623" s="490"/>
    </row>
    <row r="624" spans="1:9">
      <c r="C624" s="500"/>
      <c r="D624" s="1307"/>
      <c r="E624" s="1307"/>
      <c r="F624" s="1307"/>
      <c r="I624" s="490"/>
    </row>
    <row r="625" spans="1:9">
      <c r="C625" s="500"/>
      <c r="I625" s="490"/>
    </row>
    <row r="626" spans="1:9">
      <c r="B626" s="485" t="s">
        <v>2717</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2716</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2717</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2717</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2717</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2717</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2717</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2717</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2717</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2717</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2717</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2716</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2717</v>
      </c>
      <c r="C698" s="483"/>
      <c r="D698" s="1299" t="s">
        <v>2469</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2717</v>
      </c>
      <c r="C702" s="483"/>
      <c r="D702" s="1301" t="s">
        <v>2244</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2717</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2717</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2717</v>
      </c>
      <c r="C725" s="483"/>
      <c r="D725" s="1301" t="s">
        <v>2462</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2717</v>
      </c>
      <c r="C729" s="483"/>
      <c r="D729" s="1301" t="s">
        <v>2461</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2717</v>
      </c>
      <c r="C733" s="483"/>
      <c r="D733" s="1301" t="s">
        <v>2460</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2717</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2717</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2716</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2716</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2716</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2717</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2717</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2716</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2717</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2717</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2717</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2717</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2717</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2717</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2717</v>
      </c>
      <c r="C834" s="989"/>
      <c r="D834" s="1262" t="s">
        <v>1766</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2716</v>
      </c>
      <c r="C848" s="989"/>
      <c r="D848" s="1262" t="s">
        <v>1767</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2716</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2717</v>
      </c>
      <c r="C861" s="989"/>
      <c r="D861" s="1262" t="s">
        <v>1769</v>
      </c>
      <c r="E861" s="1262"/>
      <c r="F861" s="1262"/>
      <c r="G861" s="3"/>
      <c r="I861" s="490" t="s">
        <v>1881</v>
      </c>
    </row>
    <row r="862" spans="1:9" ht="12.75" customHeight="1">
      <c r="A862" s="175"/>
      <c r="B862" s="175"/>
      <c r="C862" s="989"/>
      <c r="D862" s="1262" t="s">
        <v>1770</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2717</v>
      </c>
      <c r="C865" s="989"/>
      <c r="D865" s="1262" t="s">
        <v>1771</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2716</v>
      </c>
      <c r="C875" s="354"/>
      <c r="D875" s="1288" t="s">
        <v>1774</v>
      </c>
      <c r="E875" s="1288"/>
      <c r="F875" s="1288"/>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2716</v>
      </c>
      <c r="C878" s="354"/>
      <c r="D878" s="1262" t="s">
        <v>1775</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2717</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2717</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2717</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2716</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2716</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2716</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2717</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2717</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2717</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2717</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2716</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2716</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2716</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2717</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2717</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2717</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2716</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2716</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2717</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2717</v>
      </c>
      <c r="C1007" s="174"/>
      <c r="D1007" s="1262" t="s">
        <v>2230</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2717</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2717</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2716</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2716</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2717</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2717</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2717</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2717</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2716</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2248</v>
      </c>
      <c r="E1045" s="1287"/>
      <c r="F1045" s="1287"/>
      <c r="G1045" s="98"/>
      <c r="I1045" s="490"/>
    </row>
    <row r="1046" spans="1:9" ht="12.75" customHeight="1">
      <c r="A1046" s="175"/>
      <c r="B1046" s="485" t="s">
        <v>2717</v>
      </c>
      <c r="C1046" s="354"/>
      <c r="D1046" s="1287" t="s">
        <v>986</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2717</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2716</v>
      </c>
      <c r="C1062" s="402"/>
      <c r="D1062" s="402" t="s">
        <v>1813</v>
      </c>
      <c r="I1062" s="490"/>
    </row>
    <row r="1063" spans="1:9">
      <c r="A1063" s="402"/>
      <c r="B1063" s="402"/>
      <c r="C1063" s="402"/>
      <c r="I1063" s="490"/>
    </row>
    <row r="1064" spans="1:9">
      <c r="A1064" s="402"/>
      <c r="B1064" s="485" t="s">
        <v>2716</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2716</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2717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2717</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2717</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2716</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2717</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2717</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2717</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2716</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2716</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2717</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95" workbookViewId="0">
      <selection activeCell="AA209" sqref="AA20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City of Los Angeles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38</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2510</v>
      </c>
      <c r="BE8" s="1249">
        <f>SUMIF($AC$718:$AC$752,"&lt;=35%",$G$718:G$752)-SUM($BE$5:BE7)</f>
        <v>0</v>
      </c>
    </row>
    <row r="9" spans="1:58" ht="12.95" customHeight="1">
      <c r="A9" s="1372" t="s">
        <v>2077</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2502</v>
      </c>
      <c r="BE9" s="1249">
        <f>SUMIF($AC$718:$AC$752,"&lt;=40%",$G$718:G$752)-SUM($BE$5:BE8)</f>
        <v>0</v>
      </c>
    </row>
    <row r="10" spans="1:58" ht="12.95" customHeight="1">
      <c r="A10" s="1372" t="s">
        <v>2459</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2511</v>
      </c>
      <c r="BE10" s="1249">
        <f>SUMIF($AC$718:$AC$752,"&lt;=45%",$G$718:G$752)-SUM($BE$5:BE9)</f>
        <v>0</v>
      </c>
    </row>
    <row r="11" spans="1:58" ht="12.95" customHeight="1">
      <c r="A11" s="1372" t="s">
        <v>2605</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2503</v>
      </c>
      <c r="BE11" s="1249">
        <f>SUMIF($AC$718:$AC$752,"&lt;=50%",$G$718:G$752)-SUM($BE$5:BE10)</f>
        <v>6</v>
      </c>
    </row>
    <row r="12" spans="1:58" ht="12.95" customHeight="1">
      <c r="A12" s="1411" t="s">
        <v>2611</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2512</v>
      </c>
      <c r="BE12" s="1249">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2504</v>
      </c>
      <c r="BE13" s="1249">
        <f>SUMIF($AC$718:$AC$752,"&lt;=60%",$G$718:G$752)-SUM($BE$5:BE12)</f>
        <v>0</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2505</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60</v>
      </c>
    </row>
    <row r="16" spans="1:58" ht="12.95" customHeight="1">
      <c r="A16" s="57" t="s">
        <v>2079</v>
      </c>
      <c r="C16" s="4"/>
      <c r="D16" s="4"/>
      <c r="E16" s="4"/>
      <c r="F16" s="4"/>
      <c r="G16" s="4"/>
      <c r="H16" s="1419" t="s">
        <v>2613</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657</v>
      </c>
      <c r="BE16" s="1249" t="str">
        <f>Application!H18</f>
        <v>Silver Lake Flats</v>
      </c>
    </row>
    <row r="17" spans="1:58" ht="12.95" customHeight="1">
      <c r="BD17" s="1247" t="s">
        <v>2519</v>
      </c>
      <c r="BE17" s="1249">
        <f>Application!AA934</f>
        <v>0</v>
      </c>
    </row>
    <row r="18" spans="1:58" ht="12.95" customHeight="1">
      <c r="A18" s="57" t="s">
        <v>101</v>
      </c>
      <c r="C18" s="4"/>
      <c r="D18" s="4"/>
      <c r="E18" s="4"/>
      <c r="F18" s="4"/>
      <c r="G18" s="4"/>
      <c r="H18" s="1416" t="s">
        <v>2614</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2520</v>
      </c>
      <c r="BE18" s="1249">
        <f>'CalHFA Addendum'!N11</f>
        <v>0</v>
      </c>
    </row>
    <row r="19" spans="1:58" ht="12.95" customHeight="1">
      <c r="BD19" s="1247" t="s">
        <v>2521</v>
      </c>
      <c r="BE19" s="1249">
        <f>Application!M26</f>
        <v>1912899</v>
      </c>
    </row>
    <row r="20" spans="1:58" ht="12.95"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2522</v>
      </c>
      <c r="BE20" s="1249">
        <f>Application!M27</f>
        <v>10436940</v>
      </c>
    </row>
    <row r="21" spans="1:58" ht="12.95"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2523</v>
      </c>
      <c r="BE21" s="1249">
        <f>Application!AM554</f>
        <v>13340901</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54337992</v>
      </c>
      <c r="BF22" s="3" t="s">
        <v>2596</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2524</v>
      </c>
      <c r="BE23" s="1249">
        <f>'Sources and Uses Budget'!B4</f>
        <v>3000000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2525</v>
      </c>
      <c r="BE24" s="1249">
        <f>Application!AG450</f>
        <v>75380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2.95" customHeight="1">
      <c r="A26" s="4"/>
      <c r="C26" s="4"/>
      <c r="D26" s="4"/>
      <c r="E26" s="4"/>
      <c r="F26" s="4"/>
      <c r="G26" s="4"/>
      <c r="H26" s="4"/>
      <c r="I26" s="4"/>
      <c r="J26" s="4"/>
      <c r="K26" s="4"/>
      <c r="L26" s="4"/>
      <c r="M26" s="1418">
        <f>'Basis &amp; Credits'!AB56</f>
        <v>1912899</v>
      </c>
      <c r="N26" s="1418"/>
      <c r="O26" s="1418"/>
      <c r="P26" s="1418"/>
      <c r="Q26" s="1418"/>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3">
        <f>'Basis &amp; Credits'!AB78</f>
        <v>10436940</v>
      </c>
      <c r="N27" s="1353"/>
      <c r="O27" s="1353"/>
      <c r="P27" s="1353"/>
      <c r="Q27" s="1353"/>
      <c r="R27" s="3" t="s">
        <v>1268</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413" t="s">
        <v>2148</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2528</v>
      </c>
      <c r="BE29" s="1249" t="b">
        <f>Application!M358="Yes"</f>
        <v>0</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2529</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332" t="s">
        <v>546</v>
      </c>
      <c r="P33" s="1332"/>
      <c r="Q33" s="1414" t="s">
        <v>2149</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2597</v>
      </c>
      <c r="BE33" s="1249" t="str">
        <f>Application!D220</f>
        <v>City of Los Angeles</v>
      </c>
    </row>
    <row r="34" spans="1:57" ht="12.95" customHeight="1">
      <c r="A34" s="1413" t="s">
        <v>2150</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2531</v>
      </c>
      <c r="BE34" s="1249" t="str">
        <f>Application!I185</f>
        <v>825 Hyperion Avenue</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2532</v>
      </c>
      <c r="BE35" s="1249" t="str">
        <f>IF(Application!E187="","",Application!E187)</f>
        <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2533</v>
      </c>
      <c r="BE36" s="1249" t="str">
        <f>Application!I189</f>
        <v>Los Angeles</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2534</v>
      </c>
      <c r="BE37" s="1249" t="str">
        <f>Application!T189</f>
        <v>Los Angeles</v>
      </c>
    </row>
    <row r="38" spans="1:57" ht="12.95" customHeight="1">
      <c r="A38" s="3"/>
      <c r="AZ38" s="20"/>
      <c r="BD38" s="1248" t="s">
        <v>2535</v>
      </c>
      <c r="BE38" s="1249">
        <f>Application!I190</f>
        <v>90029</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2536</v>
      </c>
      <c r="BE39" s="1249">
        <f>Application!AG437</f>
        <v>105</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104</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2537</v>
      </c>
      <c r="BE42" s="1251">
        <f>Application!AC753</f>
        <v>0.60000000000000009</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2538</v>
      </c>
      <c r="BE43" s="1251">
        <f>Application!AH753</f>
        <v>0.60012340066711345</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2539</v>
      </c>
      <c r="BE44" s="1249">
        <f>Application!AC454</f>
        <v>517504.6857142857</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2541</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2542</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2543</v>
      </c>
      <c r="BE48" s="1249" t="str">
        <f>Application!M243</f>
        <v>Kingdom Development, Inc.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2544</v>
      </c>
      <c r="BE49" s="1249" t="str">
        <f>Application!M246</f>
        <v>William Leach</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f>Application!AA249</f>
        <v>0</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2546</v>
      </c>
      <c r="BE51" s="1249" t="str">
        <f>Application!M251</f>
        <v>Samuelian Group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2547</v>
      </c>
      <c r="BE52" s="1249" t="str">
        <f>Application!M254</f>
        <v>Shant Samuelian</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2549</v>
      </c>
      <c r="BE54" s="1249" t="str">
        <f>Application!M259</f>
        <v>F&amp;M Development Group, LLC</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2550</v>
      </c>
      <c r="BE55" s="1249" t="str">
        <f>Application!M262</f>
        <v>Richard Montes</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2551</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2552</v>
      </c>
      <c r="BE57" s="1249" t="str">
        <f>Application!H287</f>
        <v>Samuelian Group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2553</v>
      </c>
      <c r="BE58" s="1249" t="str">
        <f>Application!H288</f>
        <v>214 Main Street #102</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El Segundo, CA, 90245</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2555</v>
      </c>
      <c r="BE60" s="1249" t="str">
        <f>Application!H290</f>
        <v>Shant Samuelian</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2556</v>
      </c>
      <c r="BE61" s="1249" t="str">
        <f>Application!H293</f>
        <v>shant@samueliangroup.com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0.83</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f>Application!X180</f>
        <v>0</v>
      </c>
    </row>
    <row r="65" spans="1:57" ht="12.95" customHeight="1">
      <c r="A65" s="1415" t="s">
        <v>2157</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2594</v>
      </c>
      <c r="BE65" s="1249" t="str">
        <f>Z205</f>
        <v>$500M</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2559</v>
      </c>
      <c r="BE66" s="1249"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2560</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415" t="s">
        <v>2158</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2562</v>
      </c>
      <c r="BE69" s="1249" t="str">
        <f>Application!W700</f>
        <v>California Municipal Finance Authority</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2563</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413" t="s">
        <v>2159</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2565</v>
      </c>
      <c r="BE72" s="1249">
        <f>'Points System'!AF805</f>
        <v>10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786" t="s">
        <v>2160</v>
      </c>
      <c r="B75" s="1786"/>
      <c r="C75" s="1786"/>
      <c r="D75" s="1786"/>
      <c r="E75" s="1786"/>
      <c r="F75" s="1786"/>
      <c r="G75" s="1786"/>
      <c r="H75" s="1786"/>
      <c r="I75" s="1786"/>
      <c r="J75" s="1786"/>
      <c r="K75" s="1786"/>
      <c r="L75" s="1786"/>
      <c r="M75" s="1786"/>
      <c r="N75" s="1786"/>
      <c r="O75" s="1786"/>
      <c r="P75" s="1786"/>
      <c r="Q75" s="1786"/>
      <c r="R75" s="1786"/>
      <c r="S75" s="1786"/>
      <c r="T75" s="1786"/>
      <c r="U75" s="1786"/>
      <c r="V75" s="1786"/>
      <c r="W75" s="1786"/>
      <c r="X75" s="1786"/>
      <c r="Y75" s="1786"/>
      <c r="Z75" s="1786"/>
      <c r="AA75" s="1786"/>
      <c r="AB75" s="1786"/>
      <c r="AC75" s="1786"/>
      <c r="AD75" s="1786"/>
      <c r="AE75" s="1786"/>
      <c r="AF75" s="1786"/>
      <c r="AG75" s="1786"/>
      <c r="AH75" s="1786"/>
      <c r="AI75" s="1786"/>
      <c r="AJ75" s="1786"/>
      <c r="AK75" s="1786"/>
      <c r="AL75" s="1786"/>
      <c r="AM75" s="1786"/>
      <c r="AN75" s="1786"/>
      <c r="AO75" s="1786"/>
      <c r="AP75" s="1786"/>
      <c r="AQ75" s="1786"/>
      <c r="AR75" s="1786"/>
      <c r="AS75" s="1786"/>
      <c r="AT75" s="1786"/>
      <c r="AU75" s="20"/>
      <c r="AV75" s="20"/>
      <c r="AW75" s="20"/>
      <c r="AX75" s="20"/>
      <c r="AY75" s="20"/>
      <c r="AZ75" s="20"/>
      <c r="BD75" s="1247" t="s">
        <v>2568</v>
      </c>
      <c r="BE75" s="1249">
        <f>'Points System'!AF808</f>
        <v>10</v>
      </c>
    </row>
    <row r="76" spans="1:57" ht="12.95" customHeight="1">
      <c r="A76" s="1786"/>
      <c r="B76" s="1786"/>
      <c r="C76" s="1786"/>
      <c r="D76" s="1786"/>
      <c r="E76" s="1786"/>
      <c r="F76" s="1786"/>
      <c r="G76" s="1786"/>
      <c r="H76" s="1786"/>
      <c r="I76" s="1786"/>
      <c r="J76" s="1786"/>
      <c r="K76" s="1786"/>
      <c r="L76" s="1786"/>
      <c r="M76" s="1786"/>
      <c r="N76" s="1786"/>
      <c r="O76" s="1786"/>
      <c r="P76" s="1786"/>
      <c r="Q76" s="1786"/>
      <c r="R76" s="1786"/>
      <c r="S76" s="1786"/>
      <c r="T76" s="1786"/>
      <c r="U76" s="1786"/>
      <c r="V76" s="1786"/>
      <c r="W76" s="1786"/>
      <c r="X76" s="1786"/>
      <c r="Y76" s="1786"/>
      <c r="Z76" s="1786"/>
      <c r="AA76" s="1786"/>
      <c r="AB76" s="1786"/>
      <c r="AC76" s="1786"/>
      <c r="AD76" s="1786"/>
      <c r="AE76" s="1786"/>
      <c r="AF76" s="1786"/>
      <c r="AG76" s="1786"/>
      <c r="AH76" s="1786"/>
      <c r="AI76" s="1786"/>
      <c r="AJ76" s="1786"/>
      <c r="AK76" s="1786"/>
      <c r="AL76" s="1786"/>
      <c r="AM76" s="1786"/>
      <c r="AN76" s="1786"/>
      <c r="AO76" s="1786"/>
      <c r="AP76" s="1786"/>
      <c r="AQ76" s="1786"/>
      <c r="AR76" s="1786"/>
      <c r="AS76" s="1786"/>
      <c r="AT76" s="1786"/>
      <c r="AU76" s="20"/>
      <c r="AV76" s="20"/>
      <c r="AW76" s="20"/>
      <c r="AX76" s="20"/>
      <c r="AY76" s="20"/>
      <c r="AZ76" s="17"/>
      <c r="BD76" s="1248" t="s">
        <v>2569</v>
      </c>
      <c r="BE76" s="1249">
        <f>'Points System'!AF811</f>
        <v>10</v>
      </c>
    </row>
    <row r="77" spans="1:57" ht="12.95" customHeight="1">
      <c r="A77" s="1786"/>
      <c r="B77" s="1786"/>
      <c r="C77" s="1786"/>
      <c r="D77" s="1786"/>
      <c r="E77" s="1786"/>
      <c r="F77" s="1786"/>
      <c r="G77" s="1786"/>
      <c r="H77" s="1786"/>
      <c r="I77" s="1786"/>
      <c r="J77" s="1786"/>
      <c r="K77" s="1786"/>
      <c r="L77" s="1786"/>
      <c r="M77" s="1786"/>
      <c r="N77" s="1786"/>
      <c r="O77" s="1786"/>
      <c r="P77" s="1786"/>
      <c r="Q77" s="1786"/>
      <c r="R77" s="1786"/>
      <c r="S77" s="1786"/>
      <c r="T77" s="1786"/>
      <c r="U77" s="1786"/>
      <c r="V77" s="1786"/>
      <c r="W77" s="1786"/>
      <c r="X77" s="1786"/>
      <c r="Y77" s="1786"/>
      <c r="Z77" s="1786"/>
      <c r="AA77" s="1786"/>
      <c r="AB77" s="1786"/>
      <c r="AC77" s="1786"/>
      <c r="AD77" s="1786"/>
      <c r="AE77" s="1786"/>
      <c r="AF77" s="1786"/>
      <c r="AG77" s="1786"/>
      <c r="AH77" s="1786"/>
      <c r="AI77" s="1786"/>
      <c r="AJ77" s="1786"/>
      <c r="AK77" s="1786"/>
      <c r="AL77" s="1786"/>
      <c r="AM77" s="1786"/>
      <c r="AN77" s="1786"/>
      <c r="AO77" s="1786"/>
      <c r="AP77" s="1786"/>
      <c r="AQ77" s="1786"/>
      <c r="AR77" s="1786"/>
      <c r="AS77" s="1786"/>
      <c r="AT77" s="1786"/>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415" t="s">
        <v>2161</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2572</v>
      </c>
      <c r="BE79" s="1249">
        <f>'Points System'!AF815</f>
        <v>10</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2573</v>
      </c>
      <c r="BE80" s="1249">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2576</v>
      </c>
      <c r="BE83" s="1253">
        <f>'Tie Breaker'!H5</f>
        <v>1.5004457613473965</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2577</v>
      </c>
      <c r="BE84" s="1249"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Timothy Elliott</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2579</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2580</v>
      </c>
      <c r="BE87" s="1249"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Los Angeles</v>
      </c>
    </row>
    <row r="89" spans="1:57" ht="12.95" customHeight="1">
      <c r="A89" s="1785" t="s">
        <v>2164</v>
      </c>
      <c r="B89" s="1785"/>
      <c r="C89" s="1785"/>
      <c r="D89" s="1785"/>
      <c r="E89" s="1785"/>
      <c r="F89" s="1785"/>
      <c r="G89" s="1785"/>
      <c r="H89" s="1785"/>
      <c r="I89" s="1785"/>
      <c r="J89" s="1785"/>
      <c r="K89" s="1785"/>
      <c r="L89" s="1785"/>
      <c r="M89" s="1785"/>
      <c r="N89" s="1785"/>
      <c r="O89" s="1785"/>
      <c r="P89" s="1785"/>
      <c r="Q89" s="1785"/>
      <c r="R89" s="1785"/>
      <c r="S89" s="1785"/>
      <c r="T89" s="1785"/>
      <c r="U89" s="1785"/>
      <c r="V89" s="1785"/>
      <c r="W89" s="1785"/>
      <c r="X89" s="1785"/>
      <c r="Y89" s="1785"/>
      <c r="Z89" s="1785"/>
      <c r="AA89" s="1785"/>
      <c r="AB89" s="1785"/>
      <c r="AC89" s="1785"/>
      <c r="AD89" s="1785"/>
      <c r="AE89" s="1785"/>
      <c r="AF89" s="1785"/>
      <c r="AG89" s="1785"/>
      <c r="AH89" s="1785"/>
      <c r="AI89" s="1785"/>
      <c r="AJ89" s="1785"/>
      <c r="AK89" s="1785"/>
      <c r="AL89" s="1785"/>
      <c r="AM89" s="1785"/>
      <c r="AN89" s="1785"/>
      <c r="AO89" s="1785"/>
      <c r="AP89" s="1785"/>
      <c r="AQ89" s="1785"/>
      <c r="AR89" s="1785"/>
      <c r="AS89" s="1785"/>
      <c r="AT89" s="1785"/>
      <c r="AU89" s="17"/>
      <c r="AV89" s="17"/>
      <c r="AW89" s="17"/>
      <c r="AX89" s="17"/>
      <c r="AY89" s="17"/>
      <c r="AZ89" s="20"/>
      <c r="BD89" s="1247" t="s">
        <v>2582</v>
      </c>
      <c r="BE89" s="1249">
        <f>Application!O158</f>
        <v>90017</v>
      </c>
    </row>
    <row r="90" spans="1:57" ht="12.95" customHeight="1">
      <c r="A90" s="1785"/>
      <c r="B90" s="1785"/>
      <c r="C90" s="1785"/>
      <c r="D90" s="1785"/>
      <c r="E90" s="1785"/>
      <c r="F90" s="1785"/>
      <c r="G90" s="1785"/>
      <c r="H90" s="1785"/>
      <c r="I90" s="1785"/>
      <c r="J90" s="1785"/>
      <c r="K90" s="1785"/>
      <c r="L90" s="1785"/>
      <c r="M90" s="1785"/>
      <c r="N90" s="1785"/>
      <c r="O90" s="1785"/>
      <c r="P90" s="1785"/>
      <c r="Q90" s="1785"/>
      <c r="R90" s="1785"/>
      <c r="S90" s="1785"/>
      <c r="T90" s="1785"/>
      <c r="U90" s="1785"/>
      <c r="V90" s="1785"/>
      <c r="W90" s="1785"/>
      <c r="X90" s="1785"/>
      <c r="Y90" s="1785"/>
      <c r="Z90" s="1785"/>
      <c r="AA90" s="1785"/>
      <c r="AB90" s="1785"/>
      <c r="AC90" s="1785"/>
      <c r="AD90" s="1785"/>
      <c r="AE90" s="1785"/>
      <c r="AF90" s="1785"/>
      <c r="AG90" s="1785"/>
      <c r="AH90" s="1785"/>
      <c r="AI90" s="1785"/>
      <c r="AJ90" s="1785"/>
      <c r="AK90" s="1785"/>
      <c r="AL90" s="1785"/>
      <c r="AM90" s="1785"/>
      <c r="AN90" s="1785"/>
      <c r="AO90" s="1785"/>
      <c r="AP90" s="1785"/>
      <c r="AQ90" s="1785"/>
      <c r="AR90" s="1785"/>
      <c r="AS90" s="1785"/>
      <c r="AT90" s="1785"/>
      <c r="AU90" s="17"/>
      <c r="AV90" s="17"/>
      <c r="AW90" s="17"/>
      <c r="AX90" s="17"/>
      <c r="AY90" s="17"/>
      <c r="AZ90" s="20"/>
      <c r="BD90" s="1248" t="s">
        <v>2583</v>
      </c>
      <c r="BE90" s="1249" t="str">
        <f>Application!H16</f>
        <v>Kingdom Development,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6451 Box Springs Boulevard</v>
      </c>
    </row>
    <row r="92" spans="1:57" ht="12.95" customHeight="1">
      <c r="A92" s="1786" t="s">
        <v>2165</v>
      </c>
      <c r="B92" s="1786"/>
      <c r="C92" s="1786"/>
      <c r="D92" s="1786"/>
      <c r="E92" s="1786"/>
      <c r="F92" s="1786"/>
      <c r="G92" s="1786"/>
      <c r="H92" s="1786"/>
      <c r="I92" s="1786"/>
      <c r="J92" s="1786"/>
      <c r="K92" s="1786"/>
      <c r="L92" s="1786"/>
      <c r="M92" s="1786"/>
      <c r="N92" s="1786"/>
      <c r="O92" s="1786"/>
      <c r="P92" s="1786"/>
      <c r="Q92" s="1786"/>
      <c r="R92" s="1786"/>
      <c r="S92" s="1786"/>
      <c r="T92" s="1786"/>
      <c r="U92" s="1786"/>
      <c r="V92" s="1786"/>
      <c r="W92" s="1786"/>
      <c r="X92" s="1786"/>
      <c r="Y92" s="1786"/>
      <c r="Z92" s="1786"/>
      <c r="AA92" s="1786"/>
      <c r="AB92" s="1786"/>
      <c r="AC92" s="1786"/>
      <c r="AD92" s="1786"/>
      <c r="AE92" s="1786"/>
      <c r="AF92" s="1786"/>
      <c r="AG92" s="1786"/>
      <c r="AH92" s="1786"/>
      <c r="AI92" s="1786"/>
      <c r="AJ92" s="1786"/>
      <c r="AK92" s="1786"/>
      <c r="AL92" s="1786"/>
      <c r="AM92" s="1786"/>
      <c r="AN92" s="1786"/>
      <c r="AO92" s="1786"/>
      <c r="AP92" s="1786"/>
      <c r="AQ92" s="1786"/>
      <c r="AR92" s="1786"/>
      <c r="AS92" s="1786"/>
      <c r="AT92" s="1786"/>
      <c r="AU92" s="20"/>
      <c r="AV92" s="20"/>
      <c r="AW92" s="20"/>
      <c r="AX92" s="20"/>
      <c r="AY92" s="20"/>
      <c r="AZ92" s="20"/>
      <c r="BD92" s="1248" t="s">
        <v>2585</v>
      </c>
      <c r="BE92" s="1249" t="str">
        <f>Application!M234</f>
        <v>Riverside</v>
      </c>
    </row>
    <row r="93" spans="1:57" ht="12.95" customHeight="1">
      <c r="A93" s="1786"/>
      <c r="B93" s="1786"/>
      <c r="C93" s="1786"/>
      <c r="D93" s="1786"/>
      <c r="E93" s="1786"/>
      <c r="F93" s="1786"/>
      <c r="G93" s="1786"/>
      <c r="H93" s="1786"/>
      <c r="I93" s="1786"/>
      <c r="J93" s="1786"/>
      <c r="K93" s="1786"/>
      <c r="L93" s="1786"/>
      <c r="M93" s="1786"/>
      <c r="N93" s="1786"/>
      <c r="O93" s="1786"/>
      <c r="P93" s="1786"/>
      <c r="Q93" s="1786"/>
      <c r="R93" s="1786"/>
      <c r="S93" s="1786"/>
      <c r="T93" s="1786"/>
      <c r="U93" s="1786"/>
      <c r="V93" s="1786"/>
      <c r="W93" s="1786"/>
      <c r="X93" s="1786"/>
      <c r="Y93" s="1786"/>
      <c r="Z93" s="1786"/>
      <c r="AA93" s="1786"/>
      <c r="AB93" s="1786"/>
      <c r="AC93" s="1786"/>
      <c r="AD93" s="1786"/>
      <c r="AE93" s="1786"/>
      <c r="AF93" s="1786"/>
      <c r="AG93" s="1786"/>
      <c r="AH93" s="1786"/>
      <c r="AI93" s="1786"/>
      <c r="AJ93" s="1786"/>
      <c r="AK93" s="1786"/>
      <c r="AL93" s="1786"/>
      <c r="AM93" s="1786"/>
      <c r="AN93" s="1786"/>
      <c r="AO93" s="1786"/>
      <c r="AP93" s="1786"/>
      <c r="AQ93" s="1786"/>
      <c r="AR93" s="1786"/>
      <c r="AS93" s="1786"/>
      <c r="AT93" s="1786"/>
      <c r="AU93" s="20"/>
      <c r="AV93" s="20"/>
      <c r="AW93" s="20"/>
      <c r="AX93" s="20"/>
      <c r="AY93" s="20"/>
      <c r="AZ93" s="20"/>
      <c r="BD93" s="1247" t="s">
        <v>2586</v>
      </c>
      <c r="BE93" s="1249" t="str">
        <f>Application!W234</f>
        <v>CA</v>
      </c>
    </row>
    <row r="94" spans="1:57" ht="12.95" customHeight="1">
      <c r="A94" s="1786"/>
      <c r="B94" s="1786"/>
      <c r="C94" s="1786"/>
      <c r="D94" s="1786"/>
      <c r="E94" s="1786"/>
      <c r="F94" s="1786"/>
      <c r="G94" s="1786"/>
      <c r="H94" s="1786"/>
      <c r="I94" s="1786"/>
      <c r="J94" s="1786"/>
      <c r="K94" s="1786"/>
      <c r="L94" s="1786"/>
      <c r="M94" s="1786"/>
      <c r="N94" s="1786"/>
      <c r="O94" s="1786"/>
      <c r="P94" s="1786"/>
      <c r="Q94" s="1786"/>
      <c r="R94" s="1786"/>
      <c r="S94" s="1786"/>
      <c r="T94" s="1786"/>
      <c r="U94" s="1786"/>
      <c r="V94" s="1786"/>
      <c r="W94" s="1786"/>
      <c r="X94" s="1786"/>
      <c r="Y94" s="1786"/>
      <c r="Z94" s="1786"/>
      <c r="AA94" s="1786"/>
      <c r="AB94" s="1786"/>
      <c r="AC94" s="1786"/>
      <c r="AD94" s="1786"/>
      <c r="AE94" s="1786"/>
      <c r="AF94" s="1786"/>
      <c r="AG94" s="1786"/>
      <c r="AH94" s="1786"/>
      <c r="AI94" s="1786"/>
      <c r="AJ94" s="1786"/>
      <c r="AK94" s="1786"/>
      <c r="AL94" s="1786"/>
      <c r="AM94" s="1786"/>
      <c r="AN94" s="1786"/>
      <c r="AO94" s="1786"/>
      <c r="AP94" s="1786"/>
      <c r="AQ94" s="1786"/>
      <c r="AR94" s="1786"/>
      <c r="AS94" s="1786"/>
      <c r="AT94" s="1786"/>
      <c r="AU94" s="20"/>
      <c r="AV94" s="20"/>
      <c r="AW94" s="20"/>
      <c r="AX94" s="20"/>
      <c r="AY94" s="20"/>
      <c r="AZ94" s="20"/>
      <c r="BD94" s="1248" t="s">
        <v>2587</v>
      </c>
      <c r="BE94" s="1249">
        <f>Application!AC234</f>
        <v>92507</v>
      </c>
    </row>
    <row r="95" spans="1:57" ht="12.95" customHeight="1">
      <c r="A95" s="1786"/>
      <c r="B95" s="1786"/>
      <c r="C95" s="1786"/>
      <c r="D95" s="1786"/>
      <c r="E95" s="1786"/>
      <c r="F95" s="1786"/>
      <c r="G95" s="1786"/>
      <c r="H95" s="1786"/>
      <c r="I95" s="1786"/>
      <c r="J95" s="1786"/>
      <c r="K95" s="1786"/>
      <c r="L95" s="1786"/>
      <c r="M95" s="1786"/>
      <c r="N95" s="1786"/>
      <c r="O95" s="1786"/>
      <c r="P95" s="1786"/>
      <c r="Q95" s="1786"/>
      <c r="R95" s="1786"/>
      <c r="S95" s="1786"/>
      <c r="T95" s="1786"/>
      <c r="U95" s="1786"/>
      <c r="V95" s="1786"/>
      <c r="W95" s="1786"/>
      <c r="X95" s="1786"/>
      <c r="Y95" s="1786"/>
      <c r="Z95" s="1786"/>
      <c r="AA95" s="1786"/>
      <c r="AB95" s="1786"/>
      <c r="AC95" s="1786"/>
      <c r="AD95" s="1786"/>
      <c r="AE95" s="1786"/>
      <c r="AF95" s="1786"/>
      <c r="AG95" s="1786"/>
      <c r="AH95" s="1786"/>
      <c r="AI95" s="1786"/>
      <c r="AJ95" s="1786"/>
      <c r="AK95" s="1786"/>
      <c r="AL95" s="1786"/>
      <c r="AM95" s="1786"/>
      <c r="AN95" s="1786"/>
      <c r="AO95" s="1786"/>
      <c r="AP95" s="1786"/>
      <c r="AQ95" s="1786"/>
      <c r="AR95" s="1786"/>
      <c r="AS95" s="1786"/>
      <c r="AT95" s="1786"/>
      <c r="AU95" s="20"/>
      <c r="AV95" s="20"/>
      <c r="AW95" s="20"/>
      <c r="AX95" s="20"/>
      <c r="AY95" s="20"/>
      <c r="AZ95" s="20"/>
      <c r="BD95" s="1247" t="s">
        <v>2588</v>
      </c>
      <c r="BE95" s="1249" t="str">
        <f>Application!M235</f>
        <v>William Leach</v>
      </c>
    </row>
    <row r="96" spans="1:57" ht="12.95" customHeight="1">
      <c r="A96" s="1786"/>
      <c r="B96" s="1786"/>
      <c r="C96" s="1786"/>
      <c r="D96" s="1786"/>
      <c r="E96" s="1786"/>
      <c r="F96" s="1786"/>
      <c r="G96" s="1786"/>
      <c r="H96" s="1786"/>
      <c r="I96" s="1786"/>
      <c r="J96" s="1786"/>
      <c r="K96" s="1786"/>
      <c r="L96" s="1786"/>
      <c r="M96" s="1786"/>
      <c r="N96" s="1786"/>
      <c r="O96" s="1786"/>
      <c r="P96" s="1786"/>
      <c r="Q96" s="1786"/>
      <c r="R96" s="1786"/>
      <c r="S96" s="1786"/>
      <c r="T96" s="1786"/>
      <c r="U96" s="1786"/>
      <c r="V96" s="1786"/>
      <c r="W96" s="1786"/>
      <c r="X96" s="1786"/>
      <c r="Y96" s="1786"/>
      <c r="Z96" s="1786"/>
      <c r="AA96" s="1786"/>
      <c r="AB96" s="1786"/>
      <c r="AC96" s="1786"/>
      <c r="AD96" s="1786"/>
      <c r="AE96" s="1786"/>
      <c r="AF96" s="1786"/>
      <c r="AG96" s="1786"/>
      <c r="AH96" s="1786"/>
      <c r="AI96" s="1786"/>
      <c r="AJ96" s="1786"/>
      <c r="AK96" s="1786"/>
      <c r="AL96" s="1786"/>
      <c r="AM96" s="1786"/>
      <c r="AN96" s="1786"/>
      <c r="AO96" s="1786"/>
      <c r="AP96" s="1786"/>
      <c r="AQ96" s="1786"/>
      <c r="AR96" s="1786"/>
      <c r="AS96" s="1786"/>
      <c r="AT96" s="1786"/>
      <c r="AU96" s="20"/>
      <c r="AV96" s="20"/>
      <c r="AW96" s="20"/>
      <c r="AX96" s="20"/>
      <c r="AY96" s="20"/>
      <c r="AZ96" s="20"/>
      <c r="BD96" s="1248" t="s">
        <v>2589</v>
      </c>
      <c r="BE96" s="1249" t="str">
        <f>Application!M237</f>
        <v>william@Kingdomdevelopment.net</v>
      </c>
    </row>
    <row r="97" spans="1:57" ht="12.95" customHeight="1">
      <c r="A97" s="1786"/>
      <c r="B97" s="1786"/>
      <c r="C97" s="1786"/>
      <c r="D97" s="1786"/>
      <c r="E97" s="1786"/>
      <c r="F97" s="1786"/>
      <c r="G97" s="1786"/>
      <c r="H97" s="1786"/>
      <c r="I97" s="1786"/>
      <c r="J97" s="1786"/>
      <c r="K97" s="1786"/>
      <c r="L97" s="1786"/>
      <c r="M97" s="1786"/>
      <c r="N97" s="1786"/>
      <c r="O97" s="1786"/>
      <c r="P97" s="1786"/>
      <c r="Q97" s="1786"/>
      <c r="R97" s="1786"/>
      <c r="S97" s="1786"/>
      <c r="T97" s="1786"/>
      <c r="U97" s="1786"/>
      <c r="V97" s="1786"/>
      <c r="W97" s="1786"/>
      <c r="X97" s="1786"/>
      <c r="Y97" s="1786"/>
      <c r="Z97" s="1786"/>
      <c r="AA97" s="1786"/>
      <c r="AB97" s="1786"/>
      <c r="AC97" s="1786"/>
      <c r="AD97" s="1786"/>
      <c r="AE97" s="1786"/>
      <c r="AF97" s="1786"/>
      <c r="AG97" s="1786"/>
      <c r="AH97" s="1786"/>
      <c r="AI97" s="1786"/>
      <c r="AJ97" s="1786"/>
      <c r="AK97" s="1786"/>
      <c r="AL97" s="1786"/>
      <c r="AM97" s="1786"/>
      <c r="AN97" s="1786"/>
      <c r="AO97" s="1786"/>
      <c r="AP97" s="1786"/>
      <c r="AQ97" s="1786"/>
      <c r="AR97" s="1786"/>
      <c r="AS97" s="1786"/>
      <c r="AT97" s="1786"/>
      <c r="AU97" s="20"/>
      <c r="AV97" s="20"/>
      <c r="AW97" s="20"/>
      <c r="AX97" s="20"/>
      <c r="AY97" s="20"/>
      <c r="AZ97" s="20"/>
      <c r="BD97" s="1247" t="s">
        <v>2590</v>
      </c>
      <c r="BE97" s="1249" t="str">
        <f>Application!M248</f>
        <v>william@Kingdomdevelopment.net</v>
      </c>
    </row>
    <row r="98" spans="1:57" ht="12.95" customHeight="1">
      <c r="A98" s="1786"/>
      <c r="B98" s="1786"/>
      <c r="C98" s="1786"/>
      <c r="D98" s="1786"/>
      <c r="E98" s="1786"/>
      <c r="F98" s="1786"/>
      <c r="G98" s="1786"/>
      <c r="H98" s="1786"/>
      <c r="I98" s="1786"/>
      <c r="J98" s="1786"/>
      <c r="K98" s="1786"/>
      <c r="L98" s="1786"/>
      <c r="M98" s="1786"/>
      <c r="N98" s="1786"/>
      <c r="O98" s="1786"/>
      <c r="P98" s="1786"/>
      <c r="Q98" s="1786"/>
      <c r="R98" s="1786"/>
      <c r="S98" s="1786"/>
      <c r="T98" s="1786"/>
      <c r="U98" s="1786"/>
      <c r="V98" s="1786"/>
      <c r="W98" s="1786"/>
      <c r="X98" s="1786"/>
      <c r="Y98" s="1786"/>
      <c r="Z98" s="1786"/>
      <c r="AA98" s="1786"/>
      <c r="AB98" s="1786"/>
      <c r="AC98" s="1786"/>
      <c r="AD98" s="1786"/>
      <c r="AE98" s="1786"/>
      <c r="AF98" s="1786"/>
      <c r="AG98" s="1786"/>
      <c r="AH98" s="1786"/>
      <c r="AI98" s="1786"/>
      <c r="AJ98" s="1786"/>
      <c r="AK98" s="1786"/>
      <c r="AL98" s="1786"/>
      <c r="AM98" s="1786"/>
      <c r="AN98" s="1786"/>
      <c r="AO98" s="1786"/>
      <c r="AP98" s="1786"/>
      <c r="AQ98" s="1786"/>
      <c r="AR98" s="1786"/>
      <c r="AS98" s="1786"/>
      <c r="AT98" s="1786"/>
      <c r="AU98" s="20"/>
      <c r="AV98" s="20"/>
      <c r="AW98" s="20"/>
      <c r="AX98" s="20"/>
      <c r="AY98" s="20"/>
      <c r="AZ98" s="20"/>
      <c r="BD98" s="1248" t="s">
        <v>2591</v>
      </c>
      <c r="BE98" s="1249" t="str">
        <f>Application!M256</f>
        <v>shant@samueliangroup.com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t="str">
        <f>Application!M264</f>
        <v>rmontes@FNMDevelopment.com</v>
      </c>
    </row>
    <row r="100" spans="1:57" ht="12.95" customHeight="1">
      <c r="A100" s="1787" t="s">
        <v>2166</v>
      </c>
      <c r="B100" s="1787"/>
      <c r="C100" s="1787"/>
      <c r="D100" s="1787"/>
      <c r="E100" s="1787"/>
      <c r="F100" s="1787"/>
      <c r="G100" s="1787"/>
      <c r="H100" s="1787"/>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787"/>
      <c r="AD100" s="1787"/>
      <c r="AE100" s="1787"/>
      <c r="AF100" s="1787"/>
      <c r="AG100" s="1787"/>
      <c r="AH100" s="1787"/>
      <c r="AI100" s="1787"/>
      <c r="AJ100" s="1787"/>
      <c r="AK100" s="1787"/>
      <c r="AL100" s="1787"/>
      <c r="AM100" s="1787"/>
      <c r="AN100" s="1787"/>
      <c r="AO100" s="1787"/>
      <c r="AP100" s="1787"/>
      <c r="AQ100" s="1787"/>
      <c r="AR100" s="1787"/>
      <c r="AS100" s="1787"/>
      <c r="AT100" s="1787"/>
      <c r="AU100" s="20"/>
      <c r="AV100" s="20"/>
      <c r="AW100" s="20"/>
      <c r="AX100" s="20"/>
      <c r="AY100" s="20"/>
      <c r="AZ100" s="20"/>
      <c r="BD100" s="1248" t="s">
        <v>2593</v>
      </c>
      <c r="BE100" s="1249" t="str">
        <f>Application!L279</f>
        <v>shant@samueliangroup.com</v>
      </c>
    </row>
    <row r="101" spans="1:57" ht="12.95" customHeight="1">
      <c r="A101" s="1787"/>
      <c r="B101" s="1787"/>
      <c r="C101" s="1787"/>
      <c r="D101" s="1787"/>
      <c r="E101" s="1787"/>
      <c r="F101" s="1787"/>
      <c r="G101" s="1787"/>
      <c r="H101" s="1787"/>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787"/>
      <c r="AD101" s="1787"/>
      <c r="AE101" s="1787"/>
      <c r="AF101" s="1787"/>
      <c r="AG101" s="1787"/>
      <c r="AH101" s="1787"/>
      <c r="AI101" s="1787"/>
      <c r="AJ101" s="1787"/>
      <c r="AK101" s="1787"/>
      <c r="AL101" s="1787"/>
      <c r="AM101" s="1787"/>
      <c r="AN101" s="1787"/>
      <c r="AO101" s="1787"/>
      <c r="AP101" s="1787"/>
      <c r="AQ101" s="1787"/>
      <c r="AR101" s="1787"/>
      <c r="AS101" s="1787"/>
      <c r="AT101" s="1787"/>
      <c r="AU101" s="20"/>
      <c r="AV101" s="20"/>
      <c r="AW101" s="20"/>
      <c r="AX101" s="20"/>
      <c r="AY101" s="20"/>
      <c r="AZ101" s="20"/>
      <c r="BD101" s="3" t="s">
        <v>2598</v>
      </c>
      <c r="BE101">
        <f>'Sources and Uses Budget'!C105</f>
        <v>54337992</v>
      </c>
    </row>
    <row r="102" spans="1:57" ht="12.95" customHeight="1">
      <c r="A102" s="1787"/>
      <c r="B102" s="1787"/>
      <c r="C102" s="1787"/>
      <c r="D102" s="1787"/>
      <c r="E102" s="1787"/>
      <c r="F102" s="1787"/>
      <c r="G102" s="1787"/>
      <c r="H102" s="1787"/>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787"/>
      <c r="AD102" s="1787"/>
      <c r="AE102" s="1787"/>
      <c r="AF102" s="1787"/>
      <c r="AG102" s="1787"/>
      <c r="AH102" s="1787"/>
      <c r="AI102" s="1787"/>
      <c r="AJ102" s="1787"/>
      <c r="AK102" s="1787"/>
      <c r="AL102" s="1787"/>
      <c r="AM102" s="1787"/>
      <c r="AN102" s="1787"/>
      <c r="AO102" s="1787"/>
      <c r="AP102" s="1787"/>
      <c r="AQ102" s="1787"/>
      <c r="AR102" s="1787"/>
      <c r="AS102" s="1787"/>
      <c r="AT102" s="1787"/>
      <c r="AU102" s="20"/>
      <c r="AV102" s="20"/>
      <c r="AW102" s="20"/>
      <c r="AX102" s="20"/>
      <c r="AY102" s="20"/>
      <c r="AZ102" s="20"/>
      <c r="BD102" s="3" t="s">
        <v>2599</v>
      </c>
      <c r="BE102" t="b">
        <f>T197="Yes"</f>
        <v>0</v>
      </c>
    </row>
    <row r="103" spans="1:57" ht="12.95" customHeight="1">
      <c r="A103" s="1787"/>
      <c r="B103" s="1787"/>
      <c r="C103" s="1787"/>
      <c r="D103" s="1787"/>
      <c r="E103" s="1787"/>
      <c r="F103" s="1787"/>
      <c r="G103" s="1787"/>
      <c r="H103" s="1787"/>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787"/>
      <c r="AD103" s="1787"/>
      <c r="AE103" s="1787"/>
      <c r="AF103" s="1787"/>
      <c r="AG103" s="1787"/>
      <c r="AH103" s="1787"/>
      <c r="AI103" s="1787"/>
      <c r="AJ103" s="1787"/>
      <c r="AK103" s="1787"/>
      <c r="AL103" s="1787"/>
      <c r="AM103" s="1787"/>
      <c r="AN103" s="1787"/>
      <c r="AO103" s="1787"/>
      <c r="AP103" s="1787"/>
      <c r="AQ103" s="1787"/>
      <c r="AR103" s="1787"/>
      <c r="AS103" s="1787"/>
      <c r="AT103" s="1787"/>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7" t="s">
        <v>2167</v>
      </c>
      <c r="B105" s="1787"/>
      <c r="C105" s="1787"/>
      <c r="D105" s="1787"/>
      <c r="E105" s="1787"/>
      <c r="F105" s="1787"/>
      <c r="G105" s="1787"/>
      <c r="H105" s="1787"/>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20"/>
      <c r="AV105" s="20"/>
      <c r="AW105" s="20"/>
      <c r="AX105" s="20"/>
      <c r="AY105" s="20"/>
    </row>
    <row r="106" spans="1:57" ht="12.95" customHeight="1">
      <c r="A106" s="1787"/>
      <c r="B106" s="1787"/>
      <c r="C106" s="1787"/>
      <c r="D106" s="1787"/>
      <c r="E106" s="1787"/>
      <c r="F106" s="1787"/>
      <c r="G106" s="1787"/>
      <c r="H106" s="1787"/>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8">
        <v>9</v>
      </c>
      <c r="H113" s="1788"/>
      <c r="I113" s="3" t="s">
        <v>182</v>
      </c>
      <c r="L113" s="1788" t="s">
        <v>2615</v>
      </c>
      <c r="M113" s="1788"/>
      <c r="N113" s="1788"/>
      <c r="O113" s="1788"/>
      <c r="P113" s="1794" t="s">
        <v>2240</v>
      </c>
      <c r="Q113" s="1794"/>
      <c r="R113" s="1794"/>
      <c r="S113" s="17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9" t="s">
        <v>67</v>
      </c>
      <c r="D115" s="1799"/>
      <c r="E115" s="1799"/>
      <c r="F115" s="1799"/>
      <c r="G115" s="1799"/>
      <c r="H115" s="1799"/>
      <c r="I115" s="1799"/>
      <c r="J115" s="1799"/>
      <c r="K115" s="1799"/>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8"/>
      <c r="Z117" s="1788"/>
      <c r="AA117" s="1788"/>
      <c r="AB117" s="1788"/>
      <c r="AC117" s="1788"/>
      <c r="AD117" s="1788"/>
      <c r="AE117" s="1788"/>
      <c r="AF117" s="1788"/>
      <c r="AG117" s="1788"/>
      <c r="AH117" s="1788"/>
      <c r="AI117" s="1788"/>
      <c r="AJ117" s="1788"/>
      <c r="AK117" s="1788"/>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8" t="s">
        <v>2616</v>
      </c>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48" t="s">
        <v>470</v>
      </c>
      <c r="CV122" s="1649"/>
      <c r="CW122" s="14"/>
      <c r="CX122" s="14" t="s">
        <v>635</v>
      </c>
      <c r="CY122" s="14"/>
      <c r="CZ122" s="14"/>
      <c r="DA122" s="14"/>
      <c r="DB122" s="14"/>
      <c r="DC122" s="14"/>
      <c r="DD122" s="14"/>
      <c r="DE122" s="14"/>
      <c r="DF122" s="14"/>
      <c r="DG122" s="1645" t="str">
        <f>T189</f>
        <v>Los Angeles</v>
      </c>
      <c r="DH122" s="1646"/>
      <c r="DI122" s="1646"/>
      <c r="DJ122" s="1646"/>
      <c r="DK122" s="1646"/>
      <c r="DL122" s="1646"/>
      <c r="DM122" s="1647"/>
    </row>
    <row r="123" spans="1:117" ht="12.95" customHeight="1">
      <c r="A123" s="3"/>
      <c r="B123" s="3"/>
      <c r="T123" s="3"/>
      <c r="U123" s="3"/>
      <c r="V123" s="3"/>
      <c r="W123" s="3"/>
      <c r="X123" s="3"/>
      <c r="Y123" s="1788" t="s">
        <v>2617</v>
      </c>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416" t="s">
        <v>876</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535" t="s">
        <v>2618</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6" t="s">
        <v>441</v>
      </c>
      <c r="P155" s="1806"/>
      <c r="Q155" s="1806"/>
      <c r="R155" s="1806"/>
      <c r="S155" s="1806"/>
      <c r="T155" s="1806"/>
      <c r="U155" s="1806"/>
      <c r="V155" s="1806"/>
      <c r="W155" s="1806"/>
      <c r="X155" s="1806"/>
      <c r="Y155" s="1806"/>
      <c r="Z155" s="1806"/>
      <c r="AA155" s="1806"/>
      <c r="AB155" s="1806"/>
      <c r="AC155" s="1806"/>
      <c r="AD155" s="1806"/>
      <c r="AE155" s="1806"/>
      <c r="AF155" s="1806"/>
      <c r="AG155" s="1806"/>
      <c r="AH155" s="1806"/>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1" t="s">
        <v>2619</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6" t="s">
        <v>495</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1">
        <v>90017</v>
      </c>
      <c r="P158" s="1791"/>
      <c r="Q158" s="1791"/>
      <c r="R158" s="1791"/>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0" t="s">
        <v>2620</v>
      </c>
      <c r="P159" s="1780"/>
      <c r="Q159" s="1780"/>
      <c r="R159" s="1780"/>
      <c r="S159" s="1780"/>
      <c r="T159" s="1780"/>
      <c r="V159" s="97" t="s">
        <v>271</v>
      </c>
      <c r="W159" s="1792"/>
      <c r="X159" s="1792"/>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0" t="s">
        <v>2621</v>
      </c>
      <c r="P160" s="1780"/>
      <c r="Q160" s="1780"/>
      <c r="R160" s="1780"/>
      <c r="S160" s="1780"/>
      <c r="T160" s="1780"/>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4" t="s">
        <v>2622</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0" t="s">
        <v>2217</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5" t="s">
        <v>371</v>
      </c>
      <c r="K173" s="1805"/>
      <c r="L173" s="1805"/>
      <c r="M173" s="1805"/>
      <c r="N173" s="1805"/>
      <c r="O173" s="1805"/>
      <c r="P173" s="1805"/>
      <c r="Q173" s="1805"/>
      <c r="R173" s="1805"/>
      <c r="S173" s="1805"/>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1" t="s">
        <v>2102</v>
      </c>
      <c r="K174" s="1371"/>
      <c r="L174" s="1371"/>
      <c r="M174" s="1371"/>
      <c r="N174" s="1371"/>
      <c r="O174" s="1371"/>
      <c r="P174" s="1371"/>
      <c r="Q174" s="1371"/>
      <c r="R174" s="1371"/>
      <c r="S174" s="1371"/>
      <c r="T174" s="1371"/>
      <c r="U174" s="1371"/>
      <c r="V174" s="1371"/>
      <c r="W174" s="1371"/>
      <c r="X174" s="1371"/>
      <c r="Y174" s="1371"/>
      <c r="Z174" s="1371"/>
      <c r="AA174" s="1371"/>
      <c r="AB174" s="1371"/>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670</v>
      </c>
      <c r="V175" s="1332"/>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26"/>
      <c r="V176" s="1426"/>
      <c r="W176" s="1" t="s">
        <v>306</v>
      </c>
      <c r="X176" s="1783"/>
      <c r="Y176" s="1783"/>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c r="S177" s="1332"/>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782"/>
      <c r="AG178" s="1782"/>
      <c r="AH178" s="1" t="s">
        <v>306</v>
      </c>
      <c r="AI178" s="1803"/>
      <c r="AJ178" s="1803"/>
      <c r="AK178" s="1803"/>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32"/>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8" t="str">
        <f>H18</f>
        <v>Silver Lake Flats</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535" t="s">
        <v>2723</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2"/>
      <c r="F187" s="1802"/>
      <c r="G187" s="1802"/>
      <c r="H187" s="1802"/>
      <c r="I187" s="1802"/>
      <c r="J187" s="1802"/>
      <c r="K187" s="1802"/>
      <c r="L187" s="1802"/>
      <c r="M187" s="1802"/>
      <c r="N187" s="1802"/>
      <c r="O187" s="1802"/>
      <c r="P187" s="1802"/>
      <c r="Q187" s="1802"/>
      <c r="R187" s="1802"/>
      <c r="S187" s="1802"/>
      <c r="T187" s="1802"/>
      <c r="U187" s="1802"/>
      <c r="V187" s="1802"/>
      <c r="W187" s="1802"/>
      <c r="X187" s="1802"/>
      <c r="Y187" s="1802"/>
      <c r="Z187" s="1802"/>
      <c r="AA187" s="1802"/>
      <c r="AB187" s="1802"/>
      <c r="AC187" s="1802"/>
      <c r="AD187" s="1802"/>
      <c r="AE187" s="1802"/>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6" t="s">
        <v>495</v>
      </c>
      <c r="J189" s="1371"/>
      <c r="K189" s="1371"/>
      <c r="L189" s="1371"/>
      <c r="M189" s="1371"/>
      <c r="N189" s="1371"/>
      <c r="O189" s="1371"/>
      <c r="P189" s="1371"/>
      <c r="Q189" t="s">
        <v>583</v>
      </c>
      <c r="T189" s="1371" t="s">
        <v>495</v>
      </c>
      <c r="U189" s="1371"/>
      <c r="V189" s="1371"/>
      <c r="W189" s="1371"/>
      <c r="X189" s="1371"/>
      <c r="Y189" s="1371"/>
      <c r="Z189" s="1371"/>
      <c r="AA189" s="1371"/>
      <c r="AB189" s="1371"/>
      <c r="AC189" s="1371"/>
      <c r="AD189" s="1371"/>
      <c r="AE189" s="1371"/>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8">
        <v>90029</v>
      </c>
      <c r="J190" s="1348"/>
      <c r="K190" s="1348"/>
      <c r="L190" s="1348"/>
      <c r="M190" s="1348"/>
      <c r="N190" s="1348"/>
      <c r="O190" t="s">
        <v>586</v>
      </c>
      <c r="T190" s="1789">
        <v>1959.01</v>
      </c>
      <c r="U190" s="1789"/>
      <c r="V190" s="1789"/>
      <c r="W190" s="1789"/>
      <c r="X190" s="1789"/>
      <c r="Y190" s="1789"/>
      <c r="Z190" s="1789"/>
      <c r="AA190" s="1789"/>
      <c r="AB190" s="1789"/>
      <c r="AC190" s="1789"/>
      <c r="AD190" s="1789"/>
      <c r="AE190" s="1789"/>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2" t="s">
        <v>2623</v>
      </c>
      <c r="O191" s="1802"/>
      <c r="P191" s="1802"/>
      <c r="Q191" s="1802"/>
      <c r="R191" s="1802"/>
      <c r="S191" s="1802"/>
      <c r="T191" s="1802"/>
      <c r="U191" s="1802"/>
      <c r="V191" s="1802"/>
      <c r="W191" s="1802"/>
      <c r="X191" s="1802"/>
      <c r="Y191" s="1802"/>
      <c r="Z191" s="1802"/>
      <c r="AA191" s="1802"/>
      <c r="AB191" s="1802"/>
      <c r="AC191" s="1802"/>
      <c r="AD191" s="1802"/>
      <c r="AE191" s="1802"/>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3" t="s">
        <v>1938</v>
      </c>
      <c r="U193" s="1793"/>
      <c r="V193" s="1793"/>
      <c r="W193" s="1793"/>
      <c r="X193" s="1793"/>
      <c r="Y193" s="1793"/>
      <c r="Z193" s="1793"/>
      <c r="AA193" s="1793"/>
      <c r="AB193" s="1793"/>
      <c r="AC193" s="1793"/>
      <c r="AD193" s="1793"/>
      <c r="AE193" s="1793"/>
      <c r="AF193" s="1793"/>
      <c r="AG193" s="1793"/>
      <c r="AH193" s="1793"/>
      <c r="AI193" s="1793"/>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670</v>
      </c>
      <c r="U195" s="1332"/>
      <c r="W195" t="s">
        <v>685</v>
      </c>
      <c r="AH195" s="1332">
        <v>30</v>
      </c>
      <c r="AI195" s="1332"/>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2" t="s">
        <v>670</v>
      </c>
      <c r="U196" s="1402"/>
      <c r="W196" t="s">
        <v>686</v>
      </c>
      <c r="AH196" s="1332">
        <v>52</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2" t="s">
        <v>670</v>
      </c>
      <c r="U197" s="1402"/>
      <c r="W197" t="s">
        <v>687</v>
      </c>
      <c r="AH197" s="1332">
        <v>26</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2">
        <v>0</v>
      </c>
      <c r="U198" s="1402"/>
      <c r="V198"/>
      <c r="X198" s="1413" t="s">
        <v>2514</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332" t="s">
        <v>670</v>
      </c>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8" t="s">
        <v>385</v>
      </c>
      <c r="E204" s="1358"/>
      <c r="F204" s="1358"/>
      <c r="G204" s="1358"/>
      <c r="H204" s="1358"/>
      <c r="I204" s="1358"/>
      <c r="J204" s="1358"/>
      <c r="K204" s="1358"/>
      <c r="L204" s="1358"/>
      <c r="M204" s="1358"/>
      <c r="P204" s="1801">
        <f>M26</f>
        <v>1912899</v>
      </c>
      <c r="Q204" s="1781"/>
      <c r="R204" s="1781"/>
      <c r="S204" s="1781"/>
      <c r="T204" s="1781"/>
      <c r="U204" s="1781"/>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09" t="s">
        <v>1248</v>
      </c>
      <c r="E205" s="1358"/>
      <c r="F205" s="1358"/>
      <c r="G205" s="1358"/>
      <c r="H205" s="1358"/>
      <c r="I205" s="1358"/>
      <c r="J205" s="1358"/>
      <c r="K205" s="1358"/>
      <c r="L205" s="1358"/>
      <c r="M205" s="1358"/>
      <c r="P205" s="1781">
        <f>M27</f>
        <v>10436940</v>
      </c>
      <c r="Q205" s="1781"/>
      <c r="R205" s="1781"/>
      <c r="S205" s="1781"/>
      <c r="T205" s="1781"/>
      <c r="U205" s="1781"/>
      <c r="V205" s="28"/>
      <c r="W205" s="3" t="s">
        <v>1721</v>
      </c>
      <c r="Z205" s="1807" t="s">
        <v>2220</v>
      </c>
      <c r="AA205" s="1807"/>
      <c r="AB205" s="1807"/>
      <c r="AC205" s="1807"/>
      <c r="AD205" s="1807"/>
      <c r="AE205" s="1807"/>
      <c r="AF205" s="1807"/>
      <c r="AG205" s="1807"/>
      <c r="AH205" s="1807"/>
      <c r="AI205" s="1807"/>
      <c r="AJ205" s="1807"/>
      <c r="AK205" s="1807"/>
      <c r="AL205" s="1807"/>
      <c r="AM205" s="1807"/>
      <c r="AN205" s="1807"/>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7" t="s">
        <v>2624</v>
      </c>
      <c r="E208" s="1417"/>
      <c r="F208" s="1417"/>
      <c r="G208" s="1417"/>
      <c r="H208" s="1417"/>
      <c r="I208" s="1417"/>
      <c r="J208" s="1417"/>
      <c r="K208" s="1417"/>
      <c r="L208" s="1417"/>
      <c r="M208" s="1417"/>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1042</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332">
        <v>0</v>
      </c>
      <c r="R212" s="1332"/>
      <c r="T212" s="1795">
        <f>IFERROR(Q212/AG440,0)</f>
        <v>0</v>
      </c>
      <c r="U212" s="1796"/>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8" t="s">
        <v>592</v>
      </c>
      <c r="E214" s="1798"/>
      <c r="F214" s="1798"/>
      <c r="G214" s="1798"/>
      <c r="H214" s="1798"/>
      <c r="I214" s="1798"/>
      <c r="J214" s="1798"/>
      <c r="K214" s="1798"/>
      <c r="L214" s="1798"/>
      <c r="M214" s="1798"/>
      <c r="N214" s="1798"/>
      <c r="O214" s="1798"/>
      <c r="P214" s="1798"/>
      <c r="Q214" s="1798"/>
      <c r="R214" s="1798"/>
      <c r="S214" s="1798"/>
      <c r="T214" s="1798"/>
      <c r="U214" s="1798"/>
      <c r="V214" s="1798"/>
      <c r="W214" s="1798"/>
      <c r="X214" s="1798"/>
      <c r="Y214" s="1798"/>
      <c r="Z214" s="1798"/>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797"/>
      <c r="AC215" s="1797"/>
      <c r="AD215" s="1797"/>
      <c r="AE215" s="1797"/>
      <c r="AF215" s="1797"/>
      <c r="AG215" s="1797"/>
      <c r="AH215" s="1797"/>
      <c r="AI215" s="1797"/>
      <c r="AJ215" s="1797"/>
      <c r="AK215" s="1797"/>
      <c r="AL215" s="1797"/>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797"/>
      <c r="AC216" s="1797"/>
      <c r="AD216" s="1797"/>
      <c r="AE216" s="1797"/>
      <c r="AF216" s="1797"/>
      <c r="AG216" s="1797"/>
      <c r="AH216" s="1797"/>
      <c r="AI216" s="1797"/>
      <c r="AJ216" s="1797"/>
      <c r="AK216" s="1797"/>
      <c r="AL216" s="1797"/>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417" t="s">
        <v>876</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08" t="s">
        <v>876</v>
      </c>
      <c r="AD220" s="1808"/>
      <c r="AE220" s="1808"/>
      <c r="AF220" s="1808"/>
      <c r="AG220" s="1808"/>
      <c r="AH220" s="1808"/>
      <c r="AI220" s="1808"/>
      <c r="AJ220" s="1808"/>
      <c r="AK220" s="1808"/>
      <c r="AL220" s="1808"/>
      <c r="AM220" s="1808"/>
      <c r="AN220" s="1808"/>
      <c r="AO220" s="1808"/>
      <c r="AP220" s="1808"/>
      <c r="AQ220" s="1808"/>
      <c r="BA220" s="3"/>
      <c r="BC220" t="s">
        <v>300</v>
      </c>
    </row>
    <row r="221" spans="1:108" ht="12.95" customHeight="1">
      <c r="A221" s="2"/>
      <c r="B221" s="14"/>
      <c r="C221" s="2"/>
      <c r="BA221" s="3"/>
    </row>
    <row r="222" spans="1:108" ht="12.95"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2</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0" t="str">
        <f>H16</f>
        <v>Kingdom Development, Inc.</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05" t="s">
        <v>539</v>
      </c>
      <c r="BG232" s="241">
        <f>IF(AND(AND($M$249="nonprofit",$M$257="nonprofit",$M$265="for profit")),2,0)</f>
        <v>0</v>
      </c>
    </row>
    <row r="233" spans="1:59" ht="12.95" customHeight="1">
      <c r="D233" s="4" t="s">
        <v>85</v>
      </c>
      <c r="E233" s="4"/>
      <c r="F233" s="4"/>
      <c r="G233" s="4"/>
      <c r="H233" s="4"/>
      <c r="I233" s="4"/>
      <c r="J233" s="4"/>
      <c r="K233" s="4"/>
      <c r="M233" s="1416" t="s">
        <v>2722</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539</v>
      </c>
      <c r="BG233" s="241">
        <f>IF(AND(AND($M$249="nonprofit",$M$257="for profit",$M$265="nonprofit")),2,0)</f>
        <v>0</v>
      </c>
    </row>
    <row r="234" spans="1:59" ht="12.95" customHeight="1">
      <c r="D234" s="4" t="s">
        <v>581</v>
      </c>
      <c r="E234" s="4"/>
      <c r="M234" s="1416" t="s">
        <v>67</v>
      </c>
      <c r="N234" s="1417"/>
      <c r="O234" s="1417"/>
      <c r="P234" s="1417"/>
      <c r="Q234" s="1417"/>
      <c r="R234" s="1417"/>
      <c r="S234" s="1417"/>
      <c r="T234" s="1417"/>
      <c r="V234" s="33" t="s">
        <v>86</v>
      </c>
      <c r="W234" s="1535" t="s">
        <v>2626</v>
      </c>
      <c r="X234" s="1437"/>
      <c r="Y234" s="4" t="s">
        <v>584</v>
      </c>
      <c r="AC234" s="1417">
        <v>92507</v>
      </c>
      <c r="AD234" s="1417"/>
      <c r="AE234" s="1417"/>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6" t="s">
        <v>2616</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681" t="s">
        <v>2627</v>
      </c>
      <c r="N236" s="1346"/>
      <c r="O236" s="1346"/>
      <c r="P236" s="1346"/>
      <c r="Q236" s="1346"/>
      <c r="R236" s="1346"/>
      <c r="S236" s="4" t="s">
        <v>206</v>
      </c>
      <c r="T236" s="4"/>
      <c r="U236" s="1437"/>
      <c r="V236" s="1437"/>
      <c r="W236" s="1437"/>
      <c r="X236" s="4" t="s">
        <v>89</v>
      </c>
      <c r="Z236" s="1346"/>
      <c r="AA236" s="1346"/>
      <c r="AB236" s="1346"/>
      <c r="AC236" s="1346"/>
      <c r="AD236" s="1346"/>
      <c r="AE236" s="1346"/>
      <c r="AU236" s="4"/>
      <c r="AV236" s="4"/>
      <c r="AW236" s="4"/>
      <c r="AX236" s="4"/>
      <c r="AY236" s="4"/>
      <c r="AZ236" s="4"/>
      <c r="BB236" s="204" t="s">
        <v>538</v>
      </c>
      <c r="BG236" s="241">
        <f>IF(AND(AND($M$249="nonprofit",$M$257="nonprofit",$M$265="(select one)")),1,0)</f>
        <v>0</v>
      </c>
    </row>
    <row r="237" spans="1:59" ht="12.95" customHeight="1">
      <c r="D237" s="4" t="s">
        <v>90</v>
      </c>
      <c r="E237" s="4"/>
      <c r="F237" s="4"/>
      <c r="M237" s="1784" t="s">
        <v>2628</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8" t="s">
        <v>377</v>
      </c>
      <c r="N238" s="1348"/>
      <c r="O238" s="1348"/>
      <c r="P238" s="1348"/>
      <c r="Q238" s="1348"/>
      <c r="R238" s="1348"/>
      <c r="S238" s="1348"/>
      <c r="T238" s="1348"/>
      <c r="U238" s="204" t="s">
        <v>907</v>
      </c>
      <c r="V238" s="204"/>
      <c r="W238" s="204"/>
      <c r="X238" s="204"/>
      <c r="Y238" s="204"/>
      <c r="Z238" s="204"/>
      <c r="AA238" s="1776"/>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19" t="s">
        <v>2613</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2629</v>
      </c>
      <c r="AG243" s="1420"/>
      <c r="AH243" s="1420"/>
      <c r="AI243" s="1420"/>
      <c r="AJ243" s="1420"/>
      <c r="AK243" s="142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7" t="s">
        <v>2625</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7" t="s">
        <v>67</v>
      </c>
      <c r="N245" s="1417"/>
      <c r="O245" s="1417"/>
      <c r="P245" s="1417"/>
      <c r="Q245" s="1417"/>
      <c r="R245" s="1417"/>
      <c r="S245" s="1417"/>
      <c r="T245" s="1417"/>
      <c r="V245" s="33" t="s">
        <v>86</v>
      </c>
      <c r="W245" s="1535" t="s">
        <v>2626</v>
      </c>
      <c r="X245" s="1437"/>
      <c r="Y245" s="4" t="s">
        <v>584</v>
      </c>
      <c r="AC245" s="1417">
        <v>92507</v>
      </c>
      <c r="AD245" s="1417"/>
      <c r="AE245" s="1417"/>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7" t="s">
        <v>2616</v>
      </c>
      <c r="N246" s="1417"/>
      <c r="O246" s="1417"/>
      <c r="P246" s="1417"/>
      <c r="Q246" s="1417"/>
      <c r="R246" s="1417"/>
      <c r="S246" s="1417"/>
      <c r="T246" s="1417"/>
      <c r="U246" s="1417"/>
      <c r="V246" s="1417"/>
      <c r="W246" s="1417"/>
      <c r="X246" s="1417"/>
      <c r="Y246" s="1417"/>
      <c r="Z246" s="1417"/>
      <c r="AA246" s="1417"/>
      <c r="AB246" s="1417"/>
      <c r="AC246" s="1417"/>
      <c r="AD246" s="1417"/>
      <c r="AE246" s="1417"/>
      <c r="AH246" s="1778">
        <v>1E-3</v>
      </c>
      <c r="AI246" s="1778"/>
      <c r="AJ246" s="1778"/>
      <c r="AK246" s="1778"/>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t="s">
        <v>2627</v>
      </c>
      <c r="N247" s="1346"/>
      <c r="O247" s="1346"/>
      <c r="P247" s="1346"/>
      <c r="Q247" s="1346"/>
      <c r="R247" s="1346"/>
      <c r="S247" s="4" t="s">
        <v>206</v>
      </c>
      <c r="T247" s="4"/>
      <c r="U247" s="1437"/>
      <c r="V247" s="1437"/>
      <c r="W247" s="1437"/>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4" t="s">
        <v>2628</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8" t="s">
        <v>535</v>
      </c>
      <c r="N249" s="1348"/>
      <c r="O249" s="1348"/>
      <c r="P249" s="1348"/>
      <c r="Q249" s="1348"/>
      <c r="R249" s="1348"/>
      <c r="S249" s="1348"/>
      <c r="T249" s="1348"/>
      <c r="U249" s="204" t="s">
        <v>907</v>
      </c>
      <c r="V249" s="204"/>
      <c r="W249" s="204"/>
      <c r="X249" s="204"/>
      <c r="Y249" s="204"/>
      <c r="Z249" s="204"/>
      <c r="AA249" s="1776"/>
      <c r="AB249" s="1776"/>
      <c r="AC249" s="1776"/>
      <c r="AD249" s="1776"/>
      <c r="AE249" s="1776"/>
      <c r="AF249" s="1776"/>
      <c r="AG249" s="1776"/>
      <c r="AH249" s="1776"/>
      <c r="AI249" s="1776"/>
      <c r="AJ249" s="1776"/>
      <c r="AK249" s="1776"/>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19" t="s">
        <v>2630</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2631</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6" t="s">
        <v>2632</v>
      </c>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2.95" customHeight="1">
      <c r="A253" s="19"/>
      <c r="B253" s="4"/>
      <c r="C253" s="4"/>
      <c r="D253" s="4" t="s">
        <v>581</v>
      </c>
      <c r="E253" s="4"/>
      <c r="M253" s="1416" t="s">
        <v>2633</v>
      </c>
      <c r="N253" s="1417"/>
      <c r="O253" s="1417"/>
      <c r="P253" s="1417"/>
      <c r="Q253" s="1417"/>
      <c r="R253" s="1417"/>
      <c r="S253" s="1417"/>
      <c r="T253" s="1417"/>
      <c r="V253" s="33" t="s">
        <v>86</v>
      </c>
      <c r="W253" s="1535" t="s">
        <v>2626</v>
      </c>
      <c r="X253" s="1437"/>
      <c r="Y253" s="4" t="s">
        <v>584</v>
      </c>
      <c r="AC253" s="1417">
        <v>90245</v>
      </c>
      <c r="AD253" s="1417"/>
      <c r="AE253" s="1417"/>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6" t="s">
        <v>2634</v>
      </c>
      <c r="N254" s="1417"/>
      <c r="O254" s="1417"/>
      <c r="P254" s="1417"/>
      <c r="Q254" s="1417"/>
      <c r="R254" s="1417"/>
      <c r="S254" s="1417"/>
      <c r="T254" s="1417"/>
      <c r="U254" s="1417"/>
      <c r="V254" s="1417"/>
      <c r="W254" s="1417"/>
      <c r="X254" s="1417"/>
      <c r="Y254" s="1417"/>
      <c r="Z254" s="1417"/>
      <c r="AA254" s="1417"/>
      <c r="AB254" s="1417"/>
      <c r="AC254" s="1417"/>
      <c r="AD254" s="1417"/>
      <c r="AE254" s="1417"/>
      <c r="AH254" s="1778">
        <v>8.0000000000000002E-3</v>
      </c>
      <c r="AI254" s="1778"/>
      <c r="AJ254" s="1778"/>
      <c r="AK254" s="1778"/>
      <c r="AL254" s="4"/>
      <c r="AM254" s="4"/>
      <c r="AN254" s="4"/>
      <c r="AO254" s="4"/>
      <c r="AP254" s="4"/>
      <c r="AQ254" s="4"/>
      <c r="AR254" s="4"/>
      <c r="AS254" s="4"/>
      <c r="AT254" s="4"/>
    </row>
    <row r="255" spans="1:67" ht="12.95" customHeight="1">
      <c r="A255" s="19"/>
      <c r="B255" s="4"/>
      <c r="C255" s="4"/>
      <c r="D255" s="4" t="s">
        <v>88</v>
      </c>
      <c r="E255" s="4"/>
      <c r="F255" s="4"/>
      <c r="M255" s="1681" t="s">
        <v>2635</v>
      </c>
      <c r="N255" s="1346"/>
      <c r="O255" s="1346"/>
      <c r="P255" s="1346"/>
      <c r="Q255" s="1346"/>
      <c r="R255" s="1346"/>
      <c r="S255" s="4" t="s">
        <v>206</v>
      </c>
      <c r="T255" s="4"/>
      <c r="U255" s="1437"/>
      <c r="V255" s="1437"/>
      <c r="W255" s="1437"/>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4" t="s">
        <v>2636</v>
      </c>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8" t="s">
        <v>537</v>
      </c>
      <c r="N257" s="1348"/>
      <c r="O257" s="1348"/>
      <c r="P257" s="1348"/>
      <c r="Q257" s="1348"/>
      <c r="R257" s="1348"/>
      <c r="S257" s="1348"/>
      <c r="T257" s="1348"/>
      <c r="U257" s="204" t="s">
        <v>907</v>
      </c>
      <c r="V257" s="204"/>
      <c r="W257" s="204"/>
      <c r="X257" s="204"/>
      <c r="Y257" s="204"/>
      <c r="Z257" s="204"/>
      <c r="AA257" s="1776"/>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19" t="s">
        <v>2718</v>
      </c>
      <c r="N259" s="1420"/>
      <c r="O259" s="1420"/>
      <c r="P259" s="1420"/>
      <c r="Q259" s="1420"/>
      <c r="R259" s="1420"/>
      <c r="S259" s="1420"/>
      <c r="T259" s="1420"/>
      <c r="U259" s="1420"/>
      <c r="V259" s="1420"/>
      <c r="W259" s="1420"/>
      <c r="X259" s="1420"/>
      <c r="Y259" s="1420"/>
      <c r="Z259" s="1420"/>
      <c r="AA259" s="1420"/>
      <c r="AB259" s="1420"/>
      <c r="AC259" s="1420"/>
      <c r="AD259" s="1420"/>
      <c r="AE259" s="1420"/>
      <c r="AF259" s="1420" t="s">
        <v>2631</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6" t="s">
        <v>2714</v>
      </c>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6" t="s">
        <v>2715</v>
      </c>
      <c r="N261" s="1417"/>
      <c r="O261" s="1417"/>
      <c r="P261" s="1417"/>
      <c r="Q261" s="1417"/>
      <c r="R261" s="1417"/>
      <c r="S261" s="1417"/>
      <c r="T261" s="1417"/>
      <c r="V261" s="33" t="s">
        <v>86</v>
      </c>
      <c r="W261" s="1535" t="s">
        <v>2626</v>
      </c>
      <c r="X261" s="1437"/>
      <c r="Y261" s="4" t="s">
        <v>584</v>
      </c>
      <c r="AC261" s="1417">
        <v>91350</v>
      </c>
      <c r="AD261" s="1417"/>
      <c r="AE261" s="1417"/>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6" t="s">
        <v>2639</v>
      </c>
      <c r="N262" s="1417"/>
      <c r="O262" s="1417"/>
      <c r="P262" s="1417"/>
      <c r="Q262" s="1417"/>
      <c r="R262" s="1417"/>
      <c r="S262" s="1417"/>
      <c r="T262" s="1417"/>
      <c r="U262" s="1417"/>
      <c r="V262" s="1417"/>
      <c r="W262" s="1417"/>
      <c r="X262" s="1417"/>
      <c r="Y262" s="1417"/>
      <c r="Z262" s="1417"/>
      <c r="AA262" s="1417"/>
      <c r="AB262" s="1417"/>
      <c r="AC262" s="1417"/>
      <c r="AD262" s="1417"/>
      <c r="AE262" s="1417"/>
      <c r="AH262" s="1778">
        <v>1E-3</v>
      </c>
      <c r="AI262" s="1778"/>
      <c r="AJ262" s="1778"/>
      <c r="AK262" s="177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681" t="s">
        <v>2637</v>
      </c>
      <c r="N263" s="1346"/>
      <c r="O263" s="1346"/>
      <c r="P263" s="1346"/>
      <c r="Q263" s="1346"/>
      <c r="R263" s="1346"/>
      <c r="S263" s="4" t="s">
        <v>206</v>
      </c>
      <c r="T263" s="4"/>
      <c r="U263" s="1437"/>
      <c r="V263" s="1437"/>
      <c r="W263" s="1437"/>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4" t="s">
        <v>2638</v>
      </c>
      <c r="N264" s="1784"/>
      <c r="O264" s="1784"/>
      <c r="P264" s="1784"/>
      <c r="Q264" s="1784"/>
      <c r="R264" s="1784"/>
      <c r="S264" s="1784"/>
      <c r="T264" s="1784"/>
      <c r="U264" s="1784"/>
      <c r="V264" s="1784"/>
      <c r="W264" s="1784"/>
      <c r="X264" s="1784"/>
      <c r="Y264" s="1784"/>
      <c r="Z264" s="1784"/>
      <c r="AA264" s="1804"/>
      <c r="AB264" s="1804"/>
      <c r="AC264" s="1804"/>
      <c r="AD264" s="1804"/>
      <c r="AE264" s="1804"/>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8" t="s">
        <v>537</v>
      </c>
      <c r="N265" s="1348"/>
      <c r="O265" s="1348"/>
      <c r="P265" s="1348"/>
      <c r="Q265" s="1348"/>
      <c r="R265" s="1348"/>
      <c r="S265" s="1348"/>
      <c r="T265" s="1348"/>
      <c r="U265" s="204" t="s">
        <v>907</v>
      </c>
      <c r="V265" s="204"/>
      <c r="W265" s="204"/>
      <c r="X265" s="204"/>
      <c r="Y265" s="204"/>
      <c r="Z265" s="204"/>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79" t="str">
        <f>IFERROR(BO245,"")</f>
        <v>Joint Venture</v>
      </c>
      <c r="U267" s="1779"/>
      <c r="V267" s="1779"/>
      <c r="W267" s="1779"/>
      <c r="X267" s="1779"/>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7" t="s">
        <v>173</v>
      </c>
      <c r="E270" s="1417"/>
      <c r="F270" s="1417"/>
      <c r="G270" s="1417"/>
      <c r="H270" s="1417"/>
      <c r="J270" t="s">
        <v>279</v>
      </c>
      <c r="X270" s="1675">
        <v>45910</v>
      </c>
      <c r="Y270" s="1675"/>
      <c r="Z270" s="1675"/>
      <c r="AA270" s="1675"/>
      <c r="AB270" s="1675"/>
      <c r="AC270" s="1675"/>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2630</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2632</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581</v>
      </c>
      <c r="E276" s="4"/>
      <c r="L276" s="1417" t="s">
        <v>2633</v>
      </c>
      <c r="M276" s="1417"/>
      <c r="N276" s="1417"/>
      <c r="O276" s="1417"/>
      <c r="P276" s="1417"/>
      <c r="Q276" s="1417"/>
      <c r="R276" s="1417"/>
      <c r="S276" s="1417"/>
      <c r="U276" s="33" t="s">
        <v>86</v>
      </c>
      <c r="V276" s="1535" t="s">
        <v>2626</v>
      </c>
      <c r="W276" s="1437"/>
      <c r="X276" s="4" t="s">
        <v>584</v>
      </c>
      <c r="AB276" s="1417">
        <v>90245</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2634</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346" t="s">
        <v>2635</v>
      </c>
      <c r="M278" s="1346"/>
      <c r="N278" s="1346"/>
      <c r="O278" s="1346"/>
      <c r="P278" s="1346"/>
      <c r="Q278" s="1346"/>
      <c r="R278" s="4" t="s">
        <v>206</v>
      </c>
      <c r="S278" s="4"/>
      <c r="T278" s="1437"/>
      <c r="U278" s="1437"/>
      <c r="V278" s="1437"/>
      <c r="W278" s="4" t="s">
        <v>89</v>
      </c>
      <c r="Y278" s="1346"/>
      <c r="Z278" s="1346"/>
      <c r="AA278" s="1346"/>
      <c r="AB278" s="1346"/>
      <c r="AC278" s="1346"/>
      <c r="AD278" s="1346"/>
    </row>
    <row r="279" spans="1:51" ht="12.95" customHeight="1">
      <c r="D279" s="4" t="s">
        <v>90</v>
      </c>
      <c r="E279" s="4"/>
      <c r="F279" s="4"/>
      <c r="L279" s="1784" t="s">
        <v>2636</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2.95" customHeight="1">
      <c r="D280" s="3" t="s">
        <v>624</v>
      </c>
      <c r="E280" s="3"/>
      <c r="F280" s="3"/>
      <c r="G280" s="3"/>
      <c r="H280" s="3"/>
      <c r="I280" s="3"/>
      <c r="L280" s="1535" t="s">
        <v>2640</v>
      </c>
      <c r="M280" s="1535"/>
      <c r="N280" s="1535"/>
      <c r="O280" s="1535"/>
      <c r="P280" s="1535"/>
      <c r="Q280" s="1535"/>
      <c r="R280" s="1535"/>
      <c r="S280" s="1535"/>
      <c r="T280" s="1535"/>
      <c r="U280" s="1535"/>
      <c r="V280" s="1535"/>
      <c r="W280" s="1535"/>
      <c r="X280" s="1535"/>
      <c r="Y280" s="1535"/>
      <c r="Z280" s="1535"/>
      <c r="AA280" s="1535"/>
      <c r="AB280" s="1535"/>
      <c r="AC280" s="1535"/>
      <c r="AD280" s="1535"/>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1" t="s">
        <v>2630</v>
      </c>
      <c r="I287" s="1371"/>
      <c r="J287" s="1371"/>
      <c r="K287" s="1371"/>
      <c r="L287" s="1371"/>
      <c r="M287" s="1371"/>
      <c r="N287" s="1371"/>
      <c r="O287" s="1371"/>
      <c r="P287" s="1371"/>
      <c r="Q287" s="1371"/>
      <c r="R287" s="1371"/>
      <c r="T287" s="3" t="s">
        <v>568</v>
      </c>
      <c r="V287" s="3"/>
      <c r="W287" s="3"/>
      <c r="X287" s="3"/>
      <c r="Y287" s="3"/>
      <c r="AA287" s="1371" t="s">
        <v>2661</v>
      </c>
      <c r="AB287" s="1371"/>
      <c r="AC287" s="1371"/>
      <c r="AD287" s="1371"/>
      <c r="AE287" s="1371"/>
      <c r="AF287" s="1371"/>
      <c r="AG287" s="1371"/>
      <c r="AH287" s="1371"/>
      <c r="AI287" s="1371"/>
      <c r="AJ287" s="1371"/>
      <c r="AK287" s="1371"/>
    </row>
    <row r="288" spans="1:51" ht="12.95" customHeight="1">
      <c r="B288" s="3" t="s">
        <v>472</v>
      </c>
      <c r="C288" s="3"/>
      <c r="D288" s="3"/>
      <c r="E288" s="3"/>
      <c r="F288" s="3"/>
      <c r="H288" s="1348" t="s">
        <v>2632</v>
      </c>
      <c r="I288" s="1348"/>
      <c r="J288" s="1348"/>
      <c r="K288" s="1348"/>
      <c r="L288" s="1348"/>
      <c r="M288" s="1348"/>
      <c r="N288" s="1348"/>
      <c r="O288" s="1348"/>
      <c r="P288" s="1348"/>
      <c r="Q288" s="1348"/>
      <c r="R288" s="1348"/>
      <c r="T288" s="3" t="s">
        <v>472</v>
      </c>
      <c r="V288" s="3"/>
      <c r="W288" s="3"/>
      <c r="X288" s="3"/>
      <c r="Y288" s="3"/>
      <c r="AA288" s="1348" t="s">
        <v>2662</v>
      </c>
      <c r="AB288" s="1348"/>
      <c r="AC288" s="1348"/>
      <c r="AD288" s="1348"/>
      <c r="AE288" s="1348"/>
      <c r="AF288" s="1348"/>
      <c r="AG288" s="1348"/>
      <c r="AH288" s="1348"/>
      <c r="AI288" s="1348"/>
      <c r="AJ288" s="1348"/>
      <c r="AK288" s="1348"/>
    </row>
    <row r="289" spans="2:37" ht="12.95" customHeight="1">
      <c r="B289" s="3" t="s">
        <v>473</v>
      </c>
      <c r="C289" s="3"/>
      <c r="D289" s="3"/>
      <c r="E289" s="3"/>
      <c r="F289" s="3"/>
      <c r="H289" s="1348" t="s">
        <v>2641</v>
      </c>
      <c r="I289" s="1348"/>
      <c r="J289" s="1348"/>
      <c r="K289" s="1348"/>
      <c r="L289" s="1348"/>
      <c r="M289" s="1348"/>
      <c r="N289" s="1348"/>
      <c r="O289" s="1348"/>
      <c r="P289" s="1348"/>
      <c r="Q289" s="1348"/>
      <c r="R289" s="1348"/>
      <c r="T289" s="3" t="s">
        <v>75</v>
      </c>
      <c r="V289" s="3"/>
      <c r="W289" s="3"/>
      <c r="X289" s="3"/>
      <c r="Y289" s="3"/>
      <c r="AA289" s="1348" t="s">
        <v>2663</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2634</v>
      </c>
      <c r="I290" s="1348"/>
      <c r="J290" s="1348"/>
      <c r="K290" s="1348"/>
      <c r="L290" s="1348"/>
      <c r="M290" s="1348"/>
      <c r="N290" s="1348"/>
      <c r="O290" s="1348"/>
      <c r="P290" s="1348"/>
      <c r="Q290" s="1348"/>
      <c r="R290" s="1348"/>
      <c r="T290" s="3" t="s">
        <v>87</v>
      </c>
      <c r="V290" s="3"/>
      <c r="W290" s="3"/>
      <c r="X290" s="3"/>
      <c r="Y290" s="3"/>
      <c r="AA290" s="1348" t="s">
        <v>2664</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4" t="s">
        <v>2635</v>
      </c>
      <c r="I291" s="1424"/>
      <c r="J291" s="1424"/>
      <c r="K291" s="1424"/>
      <c r="L291" s="1424"/>
      <c r="M291" s="1424"/>
      <c r="N291" s="4" t="s">
        <v>206</v>
      </c>
      <c r="O291" s="4"/>
      <c r="P291" s="1417"/>
      <c r="Q291" s="1417"/>
      <c r="R291" s="1417"/>
      <c r="S291" s="3"/>
      <c r="T291" s="3" t="s">
        <v>88</v>
      </c>
      <c r="V291" s="3"/>
      <c r="W291" s="3"/>
      <c r="X291" s="3"/>
      <c r="Y291" s="3"/>
      <c r="AA291" s="1424" t="s">
        <v>2665</v>
      </c>
      <c r="AB291" s="1424"/>
      <c r="AC291" s="1424"/>
      <c r="AD291" s="1424"/>
      <c r="AE291" s="1424"/>
      <c r="AF291" s="1424"/>
      <c r="AG291" s="4" t="s">
        <v>206</v>
      </c>
      <c r="AH291" s="4"/>
      <c r="AI291" s="1417"/>
      <c r="AJ291" s="1417"/>
      <c r="AK291" s="1417"/>
    </row>
    <row r="292" spans="2:37" ht="12.95"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348" t="s">
        <v>2636</v>
      </c>
      <c r="I293" s="1348"/>
      <c r="J293" s="1348"/>
      <c r="K293" s="1348"/>
      <c r="L293" s="1348"/>
      <c r="M293" s="1348"/>
      <c r="N293" s="1371"/>
      <c r="O293" s="1371"/>
      <c r="P293" s="1371"/>
      <c r="Q293" s="1371"/>
      <c r="R293" s="1371"/>
      <c r="S293" s="3"/>
      <c r="T293" s="3" t="s">
        <v>76</v>
      </c>
      <c r="V293" s="3"/>
      <c r="W293" s="3"/>
      <c r="X293" s="3"/>
      <c r="Y293" s="3"/>
      <c r="AA293" s="1348" t="s">
        <v>2666</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1" t="s">
        <v>2647</v>
      </c>
      <c r="I295" s="1371"/>
      <c r="J295" s="1371"/>
      <c r="K295" s="1371"/>
      <c r="L295" s="1371"/>
      <c r="M295" s="1371"/>
      <c r="N295" s="1371"/>
      <c r="O295" s="1371"/>
      <c r="P295" s="1371"/>
      <c r="Q295" s="1371"/>
      <c r="R295" s="1371"/>
      <c r="T295" s="3" t="s">
        <v>364</v>
      </c>
      <c r="V295" s="3"/>
      <c r="W295" s="3"/>
      <c r="X295" s="3"/>
      <c r="Y295" s="3"/>
      <c r="AA295" s="1371" t="s">
        <v>592</v>
      </c>
      <c r="AB295" s="1371"/>
      <c r="AC295" s="1371"/>
      <c r="AD295" s="1371"/>
      <c r="AE295" s="1371"/>
      <c r="AF295" s="1371"/>
      <c r="AG295" s="1371"/>
      <c r="AH295" s="1371"/>
      <c r="AI295" s="1371"/>
      <c r="AJ295" s="1371"/>
      <c r="AK295" s="1371"/>
    </row>
    <row r="296" spans="2:37" ht="12.95" customHeight="1">
      <c r="B296" s="3" t="s">
        <v>472</v>
      </c>
      <c r="C296" s="3"/>
      <c r="D296" s="3"/>
      <c r="E296" s="3"/>
      <c r="F296" s="3"/>
      <c r="H296" s="1348" t="s">
        <v>2645</v>
      </c>
      <c r="I296" s="1348"/>
      <c r="J296" s="1348"/>
      <c r="K296" s="1348"/>
      <c r="L296" s="1348"/>
      <c r="M296" s="1348"/>
      <c r="N296" s="1348"/>
      <c r="O296" s="1348"/>
      <c r="P296" s="1348"/>
      <c r="Q296" s="1348"/>
      <c r="R296" s="1348"/>
      <c r="T296" s="3" t="s">
        <v>472</v>
      </c>
      <c r="V296" s="3"/>
      <c r="W296" s="3"/>
      <c r="X296" s="3"/>
      <c r="Y296" s="3"/>
      <c r="AA296" s="1348"/>
      <c r="AB296" s="1348"/>
      <c r="AC296" s="1348"/>
      <c r="AD296" s="1348"/>
      <c r="AE296" s="1348"/>
      <c r="AF296" s="1348"/>
      <c r="AG296" s="1348"/>
      <c r="AH296" s="1348"/>
      <c r="AI296" s="1348"/>
      <c r="AJ296" s="1348"/>
      <c r="AK296" s="1348"/>
    </row>
    <row r="297" spans="2:37" ht="12.95" customHeight="1">
      <c r="B297" s="3" t="s">
        <v>473</v>
      </c>
      <c r="C297" s="3"/>
      <c r="D297" s="3"/>
      <c r="E297" s="3"/>
      <c r="F297" s="3"/>
      <c r="H297" s="1348" t="s">
        <v>2646</v>
      </c>
      <c r="I297" s="1348"/>
      <c r="J297" s="1348"/>
      <c r="K297" s="1348"/>
      <c r="L297" s="1348"/>
      <c r="M297" s="1348"/>
      <c r="N297" s="1348"/>
      <c r="O297" s="1348"/>
      <c r="P297" s="1348"/>
      <c r="Q297" s="1348"/>
      <c r="R297" s="1348"/>
      <c r="T297" s="3" t="s">
        <v>75</v>
      </c>
      <c r="V297" s="3"/>
      <c r="W297" s="3"/>
      <c r="X297" s="3"/>
      <c r="Y297" s="3"/>
      <c r="AA297" s="1348"/>
      <c r="AB297" s="1348"/>
      <c r="AC297" s="1348"/>
      <c r="AD297" s="1348"/>
      <c r="AE297" s="1348"/>
      <c r="AF297" s="1348"/>
      <c r="AG297" s="1348"/>
      <c r="AH297" s="1348"/>
      <c r="AI297" s="1348"/>
      <c r="AJ297" s="1348"/>
      <c r="AK297" s="1348"/>
    </row>
    <row r="298" spans="2:37" ht="12.95" customHeight="1">
      <c r="B298" s="3" t="s">
        <v>87</v>
      </c>
      <c r="C298" s="3"/>
      <c r="D298" s="3"/>
      <c r="E298" s="3"/>
      <c r="F298" s="3"/>
      <c r="H298" s="1348" t="s">
        <v>2644</v>
      </c>
      <c r="I298" s="1348"/>
      <c r="J298" s="1348"/>
      <c r="K298" s="1348"/>
      <c r="L298" s="1348"/>
      <c r="M298" s="1348"/>
      <c r="N298" s="1348"/>
      <c r="O298" s="1348"/>
      <c r="P298" s="1348"/>
      <c r="Q298" s="1348"/>
      <c r="R298" s="1348"/>
      <c r="T298" s="3" t="s">
        <v>87</v>
      </c>
      <c r="V298" s="3"/>
      <c r="W298" s="3"/>
      <c r="X298" s="3"/>
      <c r="Y298" s="3"/>
      <c r="AA298" s="1348"/>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3" t="s">
        <v>2643</v>
      </c>
      <c r="I299" s="1424"/>
      <c r="J299" s="1424"/>
      <c r="K299" s="1424"/>
      <c r="L299" s="1424"/>
      <c r="M299" s="1424"/>
      <c r="N299" s="4" t="s">
        <v>206</v>
      </c>
      <c r="O299" s="4"/>
      <c r="P299" s="1417"/>
      <c r="Q299" s="1417"/>
      <c r="R299" s="1417"/>
      <c r="S299" s="3"/>
      <c r="T299" s="3" t="s">
        <v>88</v>
      </c>
      <c r="V299" s="3"/>
      <c r="W299" s="3"/>
      <c r="X299" s="3"/>
      <c r="Y299" s="3"/>
      <c r="AA299" s="1424"/>
      <c r="AB299" s="1424"/>
      <c r="AC299" s="1424"/>
      <c r="AD299" s="1424"/>
      <c r="AE299" s="1424"/>
      <c r="AF299" s="1424"/>
      <c r="AG299" s="4" t="s">
        <v>206</v>
      </c>
      <c r="AH299" s="4"/>
      <c r="AI299" s="1417"/>
      <c r="AJ299" s="1417"/>
      <c r="AK299" s="1417"/>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348" t="s">
        <v>2642</v>
      </c>
      <c r="I301" s="1348"/>
      <c r="J301" s="1348"/>
      <c r="K301" s="1348"/>
      <c r="L301" s="1348"/>
      <c r="M301" s="1348"/>
      <c r="N301" s="1371"/>
      <c r="O301" s="1371"/>
      <c r="P301" s="1371"/>
      <c r="Q301" s="1371"/>
      <c r="R301" s="1371"/>
      <c r="S301" s="3"/>
      <c r="T301" s="3" t="s">
        <v>76</v>
      </c>
      <c r="V301" s="3"/>
      <c r="W301" s="3"/>
      <c r="X301" s="3"/>
      <c r="Y301" s="3"/>
      <c r="AA301" s="1348"/>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2647</v>
      </c>
      <c r="I303" s="1371"/>
      <c r="J303" s="1371"/>
      <c r="K303" s="1371"/>
      <c r="L303" s="1371"/>
      <c r="M303" s="1371"/>
      <c r="N303" s="1371"/>
      <c r="O303" s="1371"/>
      <c r="P303" s="1371"/>
      <c r="Q303" s="1371"/>
      <c r="R303" s="1371"/>
      <c r="T303" s="4" t="s">
        <v>879</v>
      </c>
      <c r="V303" s="3"/>
      <c r="W303" s="3"/>
      <c r="X303" s="3"/>
      <c r="Y303" s="3"/>
      <c r="AA303" s="1371" t="s">
        <v>592</v>
      </c>
      <c r="AB303" s="1371"/>
      <c r="AC303" s="1371"/>
      <c r="AD303" s="1371"/>
      <c r="AE303" s="1371"/>
      <c r="AF303" s="1371"/>
      <c r="AG303" s="1371"/>
      <c r="AH303" s="1371"/>
      <c r="AI303" s="1371"/>
      <c r="AJ303" s="1371"/>
      <c r="AK303" s="1371"/>
    </row>
    <row r="304" spans="2:37" ht="12.95" customHeight="1">
      <c r="B304" s="3" t="s">
        <v>472</v>
      </c>
      <c r="C304" s="3"/>
      <c r="D304" s="3"/>
      <c r="E304" s="3"/>
      <c r="F304" s="3"/>
      <c r="H304" s="1348" t="s">
        <v>2645</v>
      </c>
      <c r="I304" s="1348"/>
      <c r="J304" s="1348"/>
      <c r="K304" s="1348"/>
      <c r="L304" s="1348"/>
      <c r="M304" s="1348"/>
      <c r="N304" s="1348"/>
      <c r="O304" s="1348"/>
      <c r="P304" s="1348"/>
      <c r="Q304" s="1348"/>
      <c r="R304" s="1348"/>
      <c r="T304" s="3" t="s">
        <v>472</v>
      </c>
      <c r="V304" s="3"/>
      <c r="W304" s="3"/>
      <c r="X304" s="3"/>
      <c r="Y304" s="3"/>
      <c r="AA304" s="1348"/>
      <c r="AB304" s="1348"/>
      <c r="AC304" s="1348"/>
      <c r="AD304" s="1348"/>
      <c r="AE304" s="1348"/>
      <c r="AF304" s="1348"/>
      <c r="AG304" s="1348"/>
      <c r="AH304" s="1348"/>
      <c r="AI304" s="1348"/>
      <c r="AJ304" s="1348"/>
      <c r="AK304" s="1348"/>
    </row>
    <row r="305" spans="2:37" ht="12.95" customHeight="1">
      <c r="B305" s="3" t="s">
        <v>473</v>
      </c>
      <c r="C305" s="3"/>
      <c r="D305" s="3"/>
      <c r="E305" s="3"/>
      <c r="F305" s="3"/>
      <c r="H305" s="1348" t="s">
        <v>2646</v>
      </c>
      <c r="I305" s="1348"/>
      <c r="J305" s="1348"/>
      <c r="K305" s="1348"/>
      <c r="L305" s="1348"/>
      <c r="M305" s="1348"/>
      <c r="N305" s="1348"/>
      <c r="O305" s="1348"/>
      <c r="P305" s="1348"/>
      <c r="Q305" s="1348"/>
      <c r="R305" s="1348"/>
      <c r="T305" s="3" t="s">
        <v>75</v>
      </c>
      <c r="V305" s="3"/>
      <c r="W305" s="3"/>
      <c r="X305" s="3"/>
      <c r="Y305" s="3"/>
      <c r="AA305" s="1348"/>
      <c r="AB305" s="1348"/>
      <c r="AC305" s="1348"/>
      <c r="AD305" s="1348"/>
      <c r="AE305" s="1348"/>
      <c r="AF305" s="1348"/>
      <c r="AG305" s="1348"/>
      <c r="AH305" s="1348"/>
      <c r="AI305" s="1348"/>
      <c r="AJ305" s="1348"/>
      <c r="AK305" s="1348"/>
    </row>
    <row r="306" spans="2:37" ht="12.95" customHeight="1">
      <c r="B306" s="3" t="s">
        <v>87</v>
      </c>
      <c r="C306" s="3"/>
      <c r="D306" s="3"/>
      <c r="E306" s="3"/>
      <c r="F306" s="3"/>
      <c r="H306" s="1348" t="s">
        <v>2644</v>
      </c>
      <c r="I306" s="1348"/>
      <c r="J306" s="1348"/>
      <c r="K306" s="1348"/>
      <c r="L306" s="1348"/>
      <c r="M306" s="1348"/>
      <c r="N306" s="1348"/>
      <c r="O306" s="1348"/>
      <c r="P306" s="1348"/>
      <c r="Q306" s="1348"/>
      <c r="R306" s="1348"/>
      <c r="T306" s="3" t="s">
        <v>87</v>
      </c>
      <c r="V306" s="3"/>
      <c r="W306" s="3"/>
      <c r="X306" s="3"/>
      <c r="Y306" s="3"/>
      <c r="AA306" s="1348"/>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4" t="s">
        <v>2643</v>
      </c>
      <c r="I307" s="1424"/>
      <c r="J307" s="1424"/>
      <c r="K307" s="1424"/>
      <c r="L307" s="1424"/>
      <c r="M307" s="1424"/>
      <c r="N307" s="4" t="s">
        <v>206</v>
      </c>
      <c r="O307" s="4"/>
      <c r="P307" s="1417"/>
      <c r="Q307" s="1417"/>
      <c r="R307" s="1417"/>
      <c r="S307" s="3"/>
      <c r="T307" s="3" t="s">
        <v>88</v>
      </c>
      <c r="V307" s="3"/>
      <c r="W307" s="3"/>
      <c r="X307" s="3"/>
      <c r="Y307" s="3"/>
      <c r="AA307" s="1424"/>
      <c r="AB307" s="1424"/>
      <c r="AC307" s="1424"/>
      <c r="AD307" s="1424"/>
      <c r="AE307" s="1424"/>
      <c r="AF307" s="1424"/>
      <c r="AG307" s="4" t="s">
        <v>206</v>
      </c>
      <c r="AH307" s="4"/>
      <c r="AI307" s="1417"/>
      <c r="AJ307" s="1417"/>
      <c r="AK307" s="1417"/>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t="s">
        <v>2642</v>
      </c>
      <c r="I309" s="1348"/>
      <c r="J309" s="1348"/>
      <c r="K309" s="1348"/>
      <c r="L309" s="1348"/>
      <c r="M309" s="1348"/>
      <c r="N309" s="1371"/>
      <c r="O309" s="1371"/>
      <c r="P309" s="1371"/>
      <c r="Q309" s="1371"/>
      <c r="R309" s="1371"/>
      <c r="S309" s="3"/>
      <c r="T309" s="3" t="s">
        <v>76</v>
      </c>
      <c r="V309" s="3"/>
      <c r="W309" s="3"/>
      <c r="X309" s="3"/>
      <c r="Y309" s="3"/>
      <c r="AA309" s="1348"/>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1" t="s">
        <v>2648</v>
      </c>
      <c r="I311" s="1371"/>
      <c r="J311" s="1371"/>
      <c r="K311" s="1371"/>
      <c r="L311" s="1371"/>
      <c r="M311" s="1371"/>
      <c r="N311" s="1371"/>
      <c r="O311" s="1371"/>
      <c r="P311" s="1371"/>
      <c r="Q311" s="1371"/>
      <c r="R311" s="1371"/>
      <c r="S311" s="3"/>
      <c r="T311" s="3" t="s">
        <v>365</v>
      </c>
      <c r="V311" s="3"/>
      <c r="W311" s="3"/>
      <c r="X311" s="3"/>
      <c r="Y311" s="3"/>
      <c r="AA311" s="1371" t="s">
        <v>2667</v>
      </c>
      <c r="AB311" s="1371"/>
      <c r="AC311" s="1371"/>
      <c r="AD311" s="1371"/>
      <c r="AE311" s="1371"/>
      <c r="AF311" s="1371"/>
      <c r="AG311" s="1371"/>
      <c r="AH311" s="1371"/>
      <c r="AI311" s="1371"/>
      <c r="AJ311" s="1371"/>
      <c r="AK311" s="1371"/>
    </row>
    <row r="312" spans="2:37" ht="12.95" customHeight="1">
      <c r="B312" s="3" t="s">
        <v>472</v>
      </c>
      <c r="C312" s="3"/>
      <c r="D312" s="3"/>
      <c r="E312" s="3"/>
      <c r="F312" s="3"/>
      <c r="H312" s="1535" t="s">
        <v>2649</v>
      </c>
      <c r="I312" s="1348"/>
      <c r="J312" s="1348"/>
      <c r="K312" s="1348"/>
      <c r="L312" s="1348"/>
      <c r="M312" s="1348"/>
      <c r="N312" s="1348"/>
      <c r="O312" s="1348"/>
      <c r="P312" s="1348"/>
      <c r="Q312" s="1348"/>
      <c r="R312" s="1348"/>
      <c r="S312" s="3"/>
      <c r="T312" s="3" t="s">
        <v>472</v>
      </c>
      <c r="V312" s="3"/>
      <c r="W312" s="3"/>
      <c r="X312" s="3"/>
      <c r="Y312" s="3"/>
      <c r="AA312" s="1348" t="s">
        <v>2668</v>
      </c>
      <c r="AB312" s="1348"/>
      <c r="AC312" s="1348"/>
      <c r="AD312" s="1348"/>
      <c r="AE312" s="1348"/>
      <c r="AF312" s="1348"/>
      <c r="AG312" s="1348"/>
      <c r="AH312" s="1348"/>
      <c r="AI312" s="1348"/>
      <c r="AJ312" s="1348"/>
      <c r="AK312" s="1348"/>
    </row>
    <row r="313" spans="2:37" ht="12.95" customHeight="1">
      <c r="B313" s="3" t="s">
        <v>473</v>
      </c>
      <c r="C313" s="3"/>
      <c r="D313" s="3"/>
      <c r="E313" s="3"/>
      <c r="F313" s="3"/>
      <c r="H313" s="1348" t="s">
        <v>2650</v>
      </c>
      <c r="I313" s="1348"/>
      <c r="J313" s="1348"/>
      <c r="K313" s="1348"/>
      <c r="L313" s="1348"/>
      <c r="M313" s="1348"/>
      <c r="N313" s="1348"/>
      <c r="O313" s="1348"/>
      <c r="P313" s="1348"/>
      <c r="Q313" s="1348"/>
      <c r="R313" s="1348"/>
      <c r="S313" s="3"/>
      <c r="T313" s="3" t="s">
        <v>75</v>
      </c>
      <c r="V313" s="3"/>
      <c r="W313" s="3"/>
      <c r="X313" s="3"/>
      <c r="Y313" s="3"/>
      <c r="AA313" s="1348" t="s">
        <v>2669</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2651</v>
      </c>
      <c r="I314" s="1348"/>
      <c r="J314" s="1348"/>
      <c r="K314" s="1348"/>
      <c r="L314" s="1348"/>
      <c r="M314" s="1348"/>
      <c r="N314" s="1348"/>
      <c r="O314" s="1348"/>
      <c r="P314" s="1348"/>
      <c r="Q314" s="1348"/>
      <c r="R314" s="1348"/>
      <c r="S314" s="3"/>
      <c r="T314" s="3" t="s">
        <v>87</v>
      </c>
      <c r="V314" s="3"/>
      <c r="W314" s="3"/>
      <c r="X314" s="3"/>
      <c r="Y314" s="3"/>
      <c r="AA314" s="1348" t="s">
        <v>2670</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3" t="s">
        <v>2652</v>
      </c>
      <c r="I315" s="1424"/>
      <c r="J315" s="1424"/>
      <c r="K315" s="1424"/>
      <c r="L315" s="1424"/>
      <c r="M315" s="1424"/>
      <c r="N315" s="4" t="s">
        <v>206</v>
      </c>
      <c r="O315" s="4"/>
      <c r="P315" s="1417"/>
      <c r="Q315" s="1417"/>
      <c r="R315" s="1417"/>
      <c r="S315" s="3"/>
      <c r="T315" s="3" t="s">
        <v>88</v>
      </c>
      <c r="V315" s="3"/>
      <c r="W315" s="3"/>
      <c r="X315" s="3"/>
      <c r="Y315" s="3"/>
      <c r="AA315" s="1423" t="s">
        <v>2671</v>
      </c>
      <c r="AB315" s="1424"/>
      <c r="AC315" s="1424"/>
      <c r="AD315" s="1424"/>
      <c r="AE315" s="1424"/>
      <c r="AF315" s="1424"/>
      <c r="AG315" s="4" t="s">
        <v>206</v>
      </c>
      <c r="AH315" s="4"/>
      <c r="AI315" s="1417"/>
      <c r="AJ315" s="1417"/>
      <c r="AK315" s="1417"/>
    </row>
    <row r="316" spans="2:37" ht="12.95"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t="s">
        <v>2653</v>
      </c>
      <c r="I317" s="1348"/>
      <c r="J317" s="1348"/>
      <c r="K317" s="1348"/>
      <c r="L317" s="1348"/>
      <c r="M317" s="1348"/>
      <c r="N317" s="1371"/>
      <c r="O317" s="1371"/>
      <c r="P317" s="1371"/>
      <c r="Q317" s="1371"/>
      <c r="R317" s="1371"/>
      <c r="S317" s="3"/>
      <c r="T317" s="3" t="s">
        <v>76</v>
      </c>
      <c r="V317" s="3"/>
      <c r="W317" s="3"/>
      <c r="X317" s="3"/>
      <c r="Y317" s="3"/>
      <c r="AA317" s="1535" t="s">
        <v>2672</v>
      </c>
      <c r="AB317" s="1348"/>
      <c r="AC317" s="1348"/>
      <c r="AD317" s="1348"/>
      <c r="AE317" s="1348"/>
      <c r="AF317" s="1348"/>
      <c r="AG317" s="1371"/>
      <c r="AH317" s="1371"/>
      <c r="AI317" s="1371"/>
      <c r="AJ317" s="1371"/>
      <c r="AK317" s="1371"/>
    </row>
    <row r="318" spans="2:37" ht="12.95" customHeight="1"/>
    <row r="319" spans="2:37" ht="12.95" customHeight="1">
      <c r="B319" s="4" t="s">
        <v>909</v>
      </c>
      <c r="C319" s="3"/>
      <c r="D319" s="3"/>
      <c r="E319" s="3"/>
      <c r="F319" s="3"/>
      <c r="H319" s="1371" t="s">
        <v>2613</v>
      </c>
      <c r="I319" s="1371"/>
      <c r="J319" s="1371"/>
      <c r="K319" s="1371"/>
      <c r="L319" s="1371"/>
      <c r="M319" s="1371"/>
      <c r="N319" s="1371"/>
      <c r="O319" s="1371"/>
      <c r="P319" s="1371"/>
      <c r="Q319" s="1371"/>
      <c r="R319" s="1371"/>
      <c r="T319" s="3" t="s">
        <v>366</v>
      </c>
      <c r="V319" s="3"/>
      <c r="W319" s="3"/>
      <c r="X319" s="3"/>
      <c r="Y319" s="3"/>
      <c r="AA319" s="1371" t="s">
        <v>2648</v>
      </c>
      <c r="AB319" s="1371"/>
      <c r="AC319" s="1371"/>
      <c r="AD319" s="1371"/>
      <c r="AE319" s="1371"/>
      <c r="AF319" s="1371"/>
      <c r="AG319" s="1371"/>
      <c r="AH319" s="1371"/>
      <c r="AI319" s="1371"/>
      <c r="AJ319" s="1371"/>
      <c r="AK319" s="1371"/>
    </row>
    <row r="320" spans="2:37" ht="12.95" customHeight="1">
      <c r="B320" s="3" t="s">
        <v>472</v>
      </c>
      <c r="C320" s="3"/>
      <c r="D320" s="3"/>
      <c r="E320" s="3"/>
      <c r="F320" s="3"/>
      <c r="H320" s="1348" t="s">
        <v>2625</v>
      </c>
      <c r="I320" s="1348"/>
      <c r="J320" s="1348"/>
      <c r="K320" s="1348"/>
      <c r="L320" s="1348"/>
      <c r="M320" s="1348"/>
      <c r="N320" s="1348"/>
      <c r="O320" s="1348"/>
      <c r="P320" s="1348"/>
      <c r="Q320" s="1348"/>
      <c r="R320" s="1348"/>
      <c r="T320" s="3" t="s">
        <v>472</v>
      </c>
      <c r="V320" s="3"/>
      <c r="W320" s="3"/>
      <c r="X320" s="3"/>
      <c r="Y320" s="3"/>
      <c r="AA320" s="1348" t="s">
        <v>2649</v>
      </c>
      <c r="AB320" s="1348"/>
      <c r="AC320" s="1348"/>
      <c r="AD320" s="1348"/>
      <c r="AE320" s="1348"/>
      <c r="AF320" s="1348"/>
      <c r="AG320" s="1348"/>
      <c r="AH320" s="1348"/>
      <c r="AI320" s="1348"/>
      <c r="AJ320" s="1348"/>
      <c r="AK320" s="1348"/>
    </row>
    <row r="321" spans="2:37" ht="12.95" customHeight="1">
      <c r="B321" s="3" t="s">
        <v>473</v>
      </c>
      <c r="C321" s="3"/>
      <c r="D321" s="3"/>
      <c r="E321" s="3"/>
      <c r="F321" s="3"/>
      <c r="H321" s="1348" t="s">
        <v>2654</v>
      </c>
      <c r="I321" s="1348"/>
      <c r="J321" s="1348"/>
      <c r="K321" s="1348"/>
      <c r="L321" s="1348"/>
      <c r="M321" s="1348"/>
      <c r="N321" s="1348"/>
      <c r="O321" s="1348"/>
      <c r="P321" s="1348"/>
      <c r="Q321" s="1348"/>
      <c r="R321" s="1348"/>
      <c r="T321" s="3" t="s">
        <v>75</v>
      </c>
      <c r="V321" s="3"/>
      <c r="W321" s="3"/>
      <c r="X321" s="3"/>
      <c r="Y321" s="3"/>
      <c r="AA321" s="1348" t="s">
        <v>2650</v>
      </c>
      <c r="AB321" s="1348"/>
      <c r="AC321" s="1348"/>
      <c r="AD321" s="1348"/>
      <c r="AE321" s="1348"/>
      <c r="AF321" s="1348"/>
      <c r="AG321" s="1348"/>
      <c r="AH321" s="1348"/>
      <c r="AI321" s="1348"/>
      <c r="AJ321" s="1348"/>
      <c r="AK321" s="1348"/>
    </row>
    <row r="322" spans="2:37" ht="12.95" customHeight="1">
      <c r="B322" s="3" t="s">
        <v>87</v>
      </c>
      <c r="C322" s="3"/>
      <c r="D322" s="3"/>
      <c r="E322" s="3"/>
      <c r="F322" s="3"/>
      <c r="H322" s="1348" t="s">
        <v>2616</v>
      </c>
      <c r="I322" s="1348"/>
      <c r="J322" s="1348"/>
      <c r="K322" s="1348"/>
      <c r="L322" s="1348"/>
      <c r="M322" s="1348"/>
      <c r="N322" s="1348"/>
      <c r="O322" s="1348"/>
      <c r="P322" s="1348"/>
      <c r="Q322" s="1348"/>
      <c r="R322" s="1348"/>
      <c r="T322" s="3" t="s">
        <v>87</v>
      </c>
      <c r="V322" s="3"/>
      <c r="W322" s="3"/>
      <c r="X322" s="3"/>
      <c r="Y322" s="3"/>
      <c r="AA322" s="1348" t="s">
        <v>2673</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4" t="s">
        <v>2627</v>
      </c>
      <c r="I323" s="1424"/>
      <c r="J323" s="1424"/>
      <c r="K323" s="1424"/>
      <c r="L323" s="1424"/>
      <c r="M323" s="1424"/>
      <c r="N323" s="4" t="s">
        <v>206</v>
      </c>
      <c r="O323" s="4"/>
      <c r="P323" s="1417"/>
      <c r="Q323" s="1417"/>
      <c r="R323" s="1417"/>
      <c r="S323" s="3"/>
      <c r="T323" s="3" t="s">
        <v>88</v>
      </c>
      <c r="V323" s="3"/>
      <c r="W323" s="3"/>
      <c r="X323" s="3"/>
      <c r="Y323" s="3"/>
      <c r="AA323" s="1423" t="s">
        <v>2674</v>
      </c>
      <c r="AB323" s="1424"/>
      <c r="AC323" s="1424"/>
      <c r="AD323" s="1424"/>
      <c r="AE323" s="1424"/>
      <c r="AF323" s="1424"/>
      <c r="AG323" s="4" t="s">
        <v>206</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2.95" customHeight="1">
      <c r="B325" s="3" t="s">
        <v>76</v>
      </c>
      <c r="C325" s="3"/>
      <c r="D325" s="3"/>
      <c r="E325" s="3"/>
      <c r="F325" s="3"/>
      <c r="G325" s="3"/>
      <c r="H325" s="1348" t="s">
        <v>2628</v>
      </c>
      <c r="I325" s="1348"/>
      <c r="J325" s="1348"/>
      <c r="K325" s="1348"/>
      <c r="L325" s="1348"/>
      <c r="M325" s="1348"/>
      <c r="N325" s="1371"/>
      <c r="O325" s="1371"/>
      <c r="P325" s="1371"/>
      <c r="Q325" s="1371"/>
      <c r="R325" s="1371"/>
      <c r="S325" s="3"/>
      <c r="T325" s="3" t="s">
        <v>76</v>
      </c>
      <c r="V325" s="3"/>
      <c r="W325" s="3"/>
      <c r="X325" s="3"/>
      <c r="Y325" s="3"/>
      <c r="AA325" s="1535" t="s">
        <v>2675</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1" t="s">
        <v>592</v>
      </c>
      <c r="I327" s="1371"/>
      <c r="J327" s="1371"/>
      <c r="K327" s="1371"/>
      <c r="L327" s="1371"/>
      <c r="M327" s="1371"/>
      <c r="N327" s="1371"/>
      <c r="O327" s="1371"/>
      <c r="P327" s="1371"/>
      <c r="Q327" s="1371"/>
      <c r="R327" s="1371"/>
      <c r="T327" s="3" t="s">
        <v>368</v>
      </c>
      <c r="V327" s="3"/>
      <c r="W327" s="3"/>
      <c r="X327" s="3"/>
      <c r="Y327" s="3"/>
      <c r="AA327" s="1416" t="s">
        <v>592</v>
      </c>
      <c r="AB327" s="1371"/>
      <c r="AC327" s="1371"/>
      <c r="AD327" s="1371"/>
      <c r="AE327" s="1371"/>
      <c r="AF327" s="1371"/>
      <c r="AG327" s="1371"/>
      <c r="AH327" s="1371"/>
      <c r="AI327" s="1371"/>
      <c r="AJ327" s="1371"/>
      <c r="AK327" s="1371"/>
    </row>
    <row r="328" spans="2:37" ht="12.95" customHeight="1">
      <c r="B328" s="3" t="s">
        <v>472</v>
      </c>
      <c r="C328" s="3"/>
      <c r="D328" s="3"/>
      <c r="E328" s="3"/>
      <c r="F328" s="3"/>
      <c r="H328" s="1348"/>
      <c r="I328" s="1348"/>
      <c r="J328" s="1348"/>
      <c r="K328" s="1348"/>
      <c r="L328" s="1348"/>
      <c r="M328" s="1348"/>
      <c r="N328" s="1348"/>
      <c r="O328" s="1348"/>
      <c r="P328" s="1348"/>
      <c r="Q328" s="1348"/>
      <c r="R328" s="1348"/>
      <c r="T328" s="3" t="s">
        <v>472</v>
      </c>
      <c r="V328" s="3"/>
      <c r="W328" s="3"/>
      <c r="X328" s="3"/>
      <c r="Y328" s="3"/>
      <c r="AA328" s="1348"/>
      <c r="AB328" s="1348"/>
      <c r="AC328" s="1348"/>
      <c r="AD328" s="1348"/>
      <c r="AE328" s="1348"/>
      <c r="AF328" s="1348"/>
      <c r="AG328" s="1348"/>
      <c r="AH328" s="1348"/>
      <c r="AI328" s="1348"/>
      <c r="AJ328" s="1348"/>
      <c r="AK328" s="1348"/>
    </row>
    <row r="329" spans="2:37" ht="12.95" customHeight="1">
      <c r="B329" s="3" t="s">
        <v>473</v>
      </c>
      <c r="C329" s="3"/>
      <c r="D329" s="3"/>
      <c r="E329" s="3"/>
      <c r="F329" s="3"/>
      <c r="H329" s="1348"/>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c r="I330" s="1348"/>
      <c r="J330" s="1348"/>
      <c r="K330" s="1348"/>
      <c r="L330" s="1348"/>
      <c r="M330" s="1348"/>
      <c r="N330" s="1348"/>
      <c r="O330" s="1348"/>
      <c r="P330" s="1348"/>
      <c r="Q330" s="1348"/>
      <c r="R330" s="1348"/>
      <c r="T330" s="3" t="s">
        <v>87</v>
      </c>
      <c r="V330" s="3"/>
      <c r="W330" s="3"/>
      <c r="X330" s="3"/>
      <c r="Y330" s="3"/>
      <c r="AA330" s="1535"/>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4"/>
      <c r="I331" s="1424"/>
      <c r="J331" s="1424"/>
      <c r="K331" s="1424"/>
      <c r="L331" s="1424"/>
      <c r="M331" s="1424"/>
      <c r="N331" s="4" t="s">
        <v>206</v>
      </c>
      <c r="O331" s="4"/>
      <c r="P331" s="1417"/>
      <c r="Q331" s="1417"/>
      <c r="R331" s="1417"/>
      <c r="S331" s="3"/>
      <c r="T331" s="3" t="s">
        <v>88</v>
      </c>
      <c r="V331" s="3"/>
      <c r="W331" s="3"/>
      <c r="X331" s="3"/>
      <c r="Y331" s="3"/>
      <c r="AA331" s="1424"/>
      <c r="AB331" s="1424"/>
      <c r="AC331" s="1424"/>
      <c r="AD331" s="1424"/>
      <c r="AE331" s="1424"/>
      <c r="AF331" s="1424"/>
      <c r="AG331" s="4" t="s">
        <v>206</v>
      </c>
      <c r="AH331" s="4"/>
      <c r="AI331" s="1417"/>
      <c r="AJ331" s="1417"/>
      <c r="AK331" s="1417"/>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c r="I333" s="1348"/>
      <c r="J333" s="1348"/>
      <c r="K333" s="1348"/>
      <c r="L333" s="1348"/>
      <c r="M333" s="1348"/>
      <c r="N333" s="1371"/>
      <c r="O333" s="1371"/>
      <c r="P333" s="1371"/>
      <c r="Q333" s="1371"/>
      <c r="R333" s="1371"/>
      <c r="S333" s="3"/>
      <c r="T333" s="3" t="s">
        <v>76</v>
      </c>
      <c r="V333" s="3"/>
      <c r="W333" s="3"/>
      <c r="X333" s="3"/>
      <c r="Y333" s="3"/>
      <c r="AA333" s="1348"/>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16" t="s">
        <v>2655</v>
      </c>
      <c r="I335" s="1371"/>
      <c r="J335" s="1371"/>
      <c r="K335" s="1371"/>
      <c r="L335" s="1371"/>
      <c r="M335" s="1371"/>
      <c r="N335" s="1371"/>
      <c r="O335" s="1371"/>
      <c r="P335" s="1371"/>
      <c r="Q335" s="1371"/>
      <c r="R335" s="1371"/>
      <c r="T335" s="204" t="s">
        <v>887</v>
      </c>
      <c r="V335" s="3"/>
      <c r="W335" s="3"/>
      <c r="X335" s="3"/>
      <c r="Y335" s="3"/>
      <c r="AA335" s="1416" t="s">
        <v>2677</v>
      </c>
      <c r="AB335" s="1371"/>
      <c r="AC335" s="1371"/>
      <c r="AD335" s="1371"/>
      <c r="AE335" s="1371"/>
      <c r="AF335" s="1371"/>
      <c r="AG335" s="1371"/>
      <c r="AH335" s="1371"/>
      <c r="AI335" s="1371"/>
      <c r="AJ335" s="1371"/>
      <c r="AK335" s="1371"/>
    </row>
    <row r="336" spans="2:37" ht="12.95" customHeight="1">
      <c r="B336" s="3" t="s">
        <v>472</v>
      </c>
      <c r="C336" s="3"/>
      <c r="D336" s="3"/>
      <c r="E336" s="3"/>
      <c r="F336" s="3"/>
      <c r="H336" s="1348" t="s">
        <v>2656</v>
      </c>
      <c r="I336" s="1348"/>
      <c r="J336" s="1348"/>
      <c r="K336" s="1348"/>
      <c r="L336" s="1348"/>
      <c r="M336" s="1348"/>
      <c r="N336" s="1348"/>
      <c r="O336" s="1348"/>
      <c r="P336" s="1348"/>
      <c r="Q336" s="1348"/>
      <c r="R336" s="1348"/>
      <c r="T336" s="3" t="s">
        <v>472</v>
      </c>
      <c r="V336" s="3"/>
      <c r="W336" s="3"/>
      <c r="X336" s="3"/>
      <c r="Y336" s="3"/>
      <c r="AA336" s="1535" t="s">
        <v>2678</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2657</v>
      </c>
      <c r="I337" s="1348"/>
      <c r="J337" s="1348"/>
      <c r="K337" s="1348"/>
      <c r="L337" s="1348"/>
      <c r="M337" s="1348"/>
      <c r="N337" s="1348"/>
      <c r="O337" s="1348"/>
      <c r="P337" s="1348"/>
      <c r="Q337" s="1348"/>
      <c r="R337" s="1348"/>
      <c r="T337" s="3" t="s">
        <v>75</v>
      </c>
      <c r="V337" s="3"/>
      <c r="W337" s="3"/>
      <c r="X337" s="3"/>
      <c r="Y337" s="3"/>
      <c r="AA337" s="1535" t="s">
        <v>2679</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2658</v>
      </c>
      <c r="I338" s="1348"/>
      <c r="J338" s="1348"/>
      <c r="K338" s="1348"/>
      <c r="L338" s="1348"/>
      <c r="M338" s="1348"/>
      <c r="N338" s="1348"/>
      <c r="O338" s="1348"/>
      <c r="P338" s="1348"/>
      <c r="Q338" s="1348"/>
      <c r="R338" s="1348"/>
      <c r="T338" s="3" t="s">
        <v>87</v>
      </c>
      <c r="V338" s="3"/>
      <c r="W338" s="3"/>
      <c r="X338" s="3"/>
      <c r="Y338" s="3"/>
      <c r="AA338" s="1535" t="s">
        <v>2676</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3" t="s">
        <v>2659</v>
      </c>
      <c r="I339" s="1423"/>
      <c r="J339" s="1423"/>
      <c r="K339" s="1423"/>
      <c r="L339" s="1423"/>
      <c r="M339" s="1423"/>
      <c r="N339" s="4" t="s">
        <v>206</v>
      </c>
      <c r="O339" s="4"/>
      <c r="P339" s="1417"/>
      <c r="Q339" s="1417"/>
      <c r="R339" s="1417"/>
      <c r="S339" s="3"/>
      <c r="T339" s="3" t="s">
        <v>88</v>
      </c>
      <c r="V339" s="3"/>
      <c r="W339" s="3"/>
      <c r="X339" s="3"/>
      <c r="Y339" s="3"/>
      <c r="AA339" s="1423" t="s">
        <v>2680</v>
      </c>
      <c r="AB339" s="1424"/>
      <c r="AC339" s="1424"/>
      <c r="AD339" s="1424"/>
      <c r="AE339" s="1424"/>
      <c r="AF339" s="1424"/>
      <c r="AG339" s="4" t="s">
        <v>206</v>
      </c>
      <c r="AH339" s="4"/>
      <c r="AI339" s="1417"/>
      <c r="AJ339" s="1417"/>
      <c r="AK339" s="1417"/>
    </row>
    <row r="340" spans="1:66" ht="12.95" customHeight="1">
      <c r="B340" s="3" t="s">
        <v>89</v>
      </c>
      <c r="C340" s="3"/>
      <c r="D340" s="3"/>
      <c r="E340" s="3"/>
      <c r="F340" s="3"/>
      <c r="G340" s="3"/>
      <c r="H340" s="1346"/>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2.95" customHeight="1">
      <c r="B341" s="3" t="s">
        <v>76</v>
      </c>
      <c r="C341" s="3"/>
      <c r="D341" s="3"/>
      <c r="E341" s="3"/>
      <c r="F341" s="3"/>
      <c r="G341" s="3"/>
      <c r="H341" s="1348" t="s">
        <v>2660</v>
      </c>
      <c r="I341" s="1348"/>
      <c r="J341" s="1348"/>
      <c r="K341" s="1348"/>
      <c r="L341" s="1348"/>
      <c r="M341" s="1348"/>
      <c r="N341" s="1371"/>
      <c r="O341" s="1371"/>
      <c r="P341" s="1371"/>
      <c r="Q341" s="1371"/>
      <c r="R341" s="1371"/>
      <c r="S341" s="3"/>
      <c r="T341" s="3" t="s">
        <v>76</v>
      </c>
      <c r="V341" s="3"/>
      <c r="W341" s="3"/>
      <c r="X341" s="3"/>
      <c r="Y341" s="3"/>
      <c r="AA341" s="1535" t="s">
        <v>2681</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16" t="s">
        <v>592</v>
      </c>
      <c r="Q343" s="1371"/>
      <c r="R343" s="1371"/>
      <c r="S343" s="1371"/>
      <c r="T343" s="1371"/>
      <c r="U343" s="1371"/>
      <c r="V343" s="1371"/>
      <c r="W343" s="1371"/>
      <c r="X343" s="1371"/>
      <c r="Y343" s="1371"/>
      <c r="Z343" s="1371"/>
      <c r="AA343" s="1371"/>
      <c r="AB343" s="1371"/>
      <c r="AC343" s="1371"/>
      <c r="AD343" s="1371"/>
      <c r="AE343" s="1371"/>
      <c r="BN343" t="s">
        <v>670</v>
      </c>
    </row>
    <row r="344" spans="1:66" ht="12.95"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332" t="s">
        <v>546</v>
      </c>
      <c r="N355" s="1332"/>
      <c r="P355" t="s">
        <v>1651</v>
      </c>
      <c r="AJ355" s="1332" t="s">
        <v>592</v>
      </c>
      <c r="AK355" s="1332"/>
    </row>
    <row r="356" spans="1:46" ht="12.95" customHeight="1">
      <c r="D356" s="3" t="s">
        <v>1640</v>
      </c>
      <c r="M356" s="1332" t="s">
        <v>592</v>
      </c>
      <c r="N356" s="1332"/>
      <c r="P356" s="3" t="s">
        <v>1720</v>
      </c>
      <c r="AJ356" s="1444">
        <v>0</v>
      </c>
      <c r="AK356" s="1444"/>
    </row>
    <row r="357" spans="1:46" ht="12.95" customHeight="1">
      <c r="D357" s="3" t="s">
        <v>705</v>
      </c>
      <c r="M357" s="1332" t="s">
        <v>592</v>
      </c>
      <c r="N357" s="1332"/>
      <c r="P357" t="s">
        <v>1650</v>
      </c>
      <c r="AJ357" s="1332" t="s">
        <v>592</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1"/>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449</v>
      </c>
      <c r="F370" s="4"/>
      <c r="G370" s="4"/>
      <c r="H370" s="4"/>
      <c r="I370" s="4"/>
      <c r="J370" s="4"/>
      <c r="K370" s="4"/>
      <c r="L370" s="4"/>
      <c r="N370" s="1729"/>
      <c r="O370" s="1729"/>
      <c r="P370" s="1729"/>
      <c r="Q370" s="1729"/>
      <c r="R370" s="4"/>
      <c r="U370" s="4" t="s">
        <v>450</v>
      </c>
      <c r="V370" s="4"/>
      <c r="W370" s="4"/>
      <c r="X370" s="4"/>
      <c r="Y370" s="4"/>
      <c r="Z370" s="4"/>
      <c r="AA370" s="4"/>
      <c r="AB370" s="4"/>
      <c r="AC370" s="1729"/>
      <c r="AD370" s="1729"/>
      <c r="AE370" s="1729"/>
      <c r="AF370" s="1729"/>
    </row>
    <row r="371" spans="1:34" ht="12.95" customHeight="1">
      <c r="E371" s="4" t="s">
        <v>451</v>
      </c>
      <c r="F371" s="4"/>
      <c r="G371" s="4"/>
      <c r="H371" s="4"/>
      <c r="I371" s="4"/>
      <c r="J371" s="4"/>
      <c r="K371" s="4"/>
      <c r="L371" s="4"/>
      <c r="N371" s="1729"/>
      <c r="O371" s="1729"/>
      <c r="P371" s="1729"/>
      <c r="Q371" s="1729"/>
      <c r="R371" s="4"/>
      <c r="U371" s="4" t="s">
        <v>0</v>
      </c>
      <c r="V371" s="4"/>
      <c r="W371" s="4"/>
      <c r="X371" s="4"/>
      <c r="Y371" s="4"/>
      <c r="Z371" s="4"/>
      <c r="AA371" s="4"/>
      <c r="AB371" s="4"/>
      <c r="AC371" s="1729"/>
      <c r="AD371" s="1729"/>
      <c r="AE371" s="1729"/>
      <c r="AF371" s="1729"/>
    </row>
    <row r="372" spans="1:34" ht="12.95" customHeight="1">
      <c r="E372" s="4" t="s">
        <v>1</v>
      </c>
      <c r="F372" s="4"/>
      <c r="G372" s="4"/>
      <c r="H372" s="4"/>
      <c r="I372" s="4"/>
      <c r="J372" s="4"/>
      <c r="K372" s="4"/>
      <c r="L372" s="4"/>
      <c r="N372" s="1729"/>
      <c r="O372" s="1729"/>
      <c r="P372" s="1729"/>
      <c r="Q372" s="1729"/>
      <c r="R372" s="4"/>
      <c r="V372" s="4"/>
      <c r="W372" s="4"/>
      <c r="X372" s="4"/>
      <c r="Y372" s="4"/>
      <c r="Z372" s="4"/>
      <c r="AA372" s="4"/>
      <c r="AB372" s="4"/>
    </row>
    <row r="373" spans="1:34" ht="12.95" customHeight="1">
      <c r="E373" s="4" t="s">
        <v>2</v>
      </c>
      <c r="F373" s="4"/>
      <c r="G373" s="4"/>
      <c r="H373" s="4"/>
      <c r="I373" s="4"/>
      <c r="J373" s="4"/>
      <c r="K373" s="4"/>
      <c r="L373" s="4"/>
      <c r="N373" s="1814"/>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2.95"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816"/>
      <c r="T377" s="1816"/>
      <c r="U377" s="1" t="s">
        <v>306</v>
      </c>
      <c r="V377" s="1816"/>
      <c r="W377" s="1816"/>
      <c r="Y377" t="s">
        <v>2080</v>
      </c>
      <c r="AC377" s="27" t="s">
        <v>305</v>
      </c>
      <c r="AD377" s="1816"/>
      <c r="AE377" s="1816"/>
      <c r="AF377" s="1" t="s">
        <v>306</v>
      </c>
      <c r="AG377" s="1816"/>
      <c r="AH377" s="1816"/>
    </row>
    <row r="378" spans="1:34" ht="12.95" customHeight="1">
      <c r="E378" s="4" t="s">
        <v>988</v>
      </c>
      <c r="F378" s="4"/>
      <c r="G378" s="4"/>
      <c r="H378" s="4"/>
      <c r="I378" s="4"/>
      <c r="J378" s="4"/>
      <c r="K378" s="4"/>
      <c r="L378" s="4"/>
      <c r="N378" s="1816"/>
      <c r="O378" s="1816"/>
      <c r="P378" s="1816"/>
    </row>
    <row r="379" spans="1:34" ht="12.95" customHeight="1">
      <c r="E379" s="204" t="s">
        <v>2086</v>
      </c>
      <c r="F379" s="4"/>
      <c r="G379" s="4"/>
      <c r="H379" s="4"/>
      <c r="I379" s="4"/>
      <c r="J379" s="4"/>
      <c r="K379" s="4"/>
      <c r="L379" s="4"/>
      <c r="AG379" s="1803" t="s">
        <v>592</v>
      </c>
      <c r="AH379" s="1803"/>
    </row>
    <row r="380" spans="1:34" ht="12.95" customHeight="1">
      <c r="E380" s="4"/>
      <c r="F380" s="4"/>
      <c r="G380" s="4" t="s">
        <v>2087</v>
      </c>
      <c r="H380" s="4"/>
      <c r="I380" s="4"/>
      <c r="J380" s="4"/>
      <c r="K380" s="4"/>
      <c r="L380" s="4"/>
      <c r="AG380" s="1803" t="s">
        <v>592</v>
      </c>
      <c r="AH380" s="1803"/>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416" t="s">
        <v>2682</v>
      </c>
      <c r="K385" s="1371"/>
      <c r="L385" s="1371"/>
      <c r="M385" s="1371"/>
      <c r="N385" s="1371"/>
      <c r="O385" s="1371"/>
      <c r="P385" s="1371"/>
      <c r="Q385" s="1371"/>
      <c r="R385" s="1371"/>
      <c r="S385" s="1371"/>
      <c r="T385" s="1371"/>
      <c r="U385" s="1371"/>
      <c r="V385" s="8" t="s">
        <v>83</v>
      </c>
      <c r="W385" s="8"/>
      <c r="X385" s="8"/>
      <c r="Y385" s="8"/>
      <c r="Z385" s="8"/>
      <c r="AA385" s="8"/>
      <c r="AB385" s="8"/>
      <c r="AC385" s="1416" t="s">
        <v>2683</v>
      </c>
      <c r="AD385" s="1371"/>
      <c r="AE385" s="1371"/>
      <c r="AF385" s="1371"/>
      <c r="AG385" s="1371"/>
      <c r="AH385" s="1371"/>
      <c r="AI385" s="1371"/>
      <c r="AJ385" s="1371"/>
    </row>
    <row r="386" spans="4:36" ht="12.95" customHeight="1">
      <c r="D386" s="3" t="s">
        <v>1183</v>
      </c>
      <c r="J386" s="1535" t="s">
        <v>2683</v>
      </c>
      <c r="K386" s="1348"/>
      <c r="L386" s="1348"/>
      <c r="M386" s="1348"/>
      <c r="N386" s="1348"/>
      <c r="O386" s="1348"/>
      <c r="P386" s="1348"/>
      <c r="Q386" s="1348"/>
      <c r="R386" s="1348"/>
      <c r="S386" s="1348"/>
      <c r="T386" s="1348"/>
      <c r="U386" s="1348"/>
      <c r="V386" s="3" t="s">
        <v>1183</v>
      </c>
      <c r="W386" s="8"/>
      <c r="X386" s="8"/>
      <c r="Y386" s="8"/>
      <c r="Z386" s="8"/>
      <c r="AA386" s="8"/>
      <c r="AB386" s="8"/>
      <c r="AC386" s="1371"/>
      <c r="AD386" s="1371"/>
      <c r="AE386" s="1371"/>
      <c r="AF386" s="1371"/>
      <c r="AG386" s="1371"/>
      <c r="AH386" s="1371"/>
      <c r="AI386" s="1371"/>
      <c r="AJ386" s="1371"/>
    </row>
    <row r="387" spans="4:36" ht="12.95" customHeight="1">
      <c r="D387" s="3" t="s">
        <v>442</v>
      </c>
      <c r="J387" s="1535" t="s">
        <v>2684</v>
      </c>
      <c r="K387" s="1348"/>
      <c r="L387" s="1348"/>
      <c r="M387" s="1348"/>
      <c r="N387" s="1348"/>
      <c r="O387" s="1348"/>
      <c r="P387" s="1348"/>
      <c r="Q387" s="1348"/>
      <c r="R387" s="1348"/>
      <c r="S387" s="1348"/>
      <c r="T387" s="1348"/>
      <c r="U387" s="1348"/>
      <c r="V387" s="3" t="s">
        <v>442</v>
      </c>
      <c r="W387" s="8"/>
      <c r="X387" s="8"/>
      <c r="Y387" s="8"/>
      <c r="Z387" s="8"/>
      <c r="AA387" s="8"/>
      <c r="AB387" s="8"/>
      <c r="AC387" s="1371"/>
      <c r="AD387" s="1371"/>
      <c r="AE387" s="1371"/>
      <c r="AF387" s="1371"/>
      <c r="AG387" s="1371"/>
      <c r="AH387" s="1371"/>
      <c r="AI387" s="1371"/>
      <c r="AJ387" s="1371"/>
    </row>
    <row r="388" spans="4:36" ht="12.95" customHeight="1">
      <c r="D388" t="s">
        <v>1179</v>
      </c>
      <c r="J388" s="1825" t="s">
        <v>2685</v>
      </c>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2.95" customHeight="1">
      <c r="D389" t="s">
        <v>4</v>
      </c>
      <c r="Q389" s="1743">
        <v>45852</v>
      </c>
      <c r="R389" s="1743"/>
      <c r="S389" s="1743"/>
      <c r="T389" s="1743"/>
      <c r="U389" s="1743"/>
      <c r="V389" t="s">
        <v>309</v>
      </c>
      <c r="AI389" s="1332" t="s">
        <v>670</v>
      </c>
      <c r="AJ389" s="1332"/>
    </row>
    <row r="390" spans="4:36" ht="12.95" customHeight="1">
      <c r="D390" t="s">
        <v>5</v>
      </c>
      <c r="Q390" s="1523">
        <v>46160</v>
      </c>
      <c r="R390" s="1810"/>
      <c r="S390" s="1810"/>
      <c r="T390" s="1810"/>
      <c r="U390" s="1810"/>
      <c r="W390" s="21" t="s">
        <v>74</v>
      </c>
      <c r="AG390" s="1819"/>
      <c r="AH390" s="1819"/>
      <c r="AI390" s="1819"/>
      <c r="AJ390" s="1819"/>
    </row>
    <row r="391" spans="4:36" ht="12.95" customHeight="1">
      <c r="D391" t="s">
        <v>427</v>
      </c>
      <c r="Q391" s="1829">
        <v>3000000</v>
      </c>
      <c r="R391" s="1829"/>
      <c r="S391" s="1829"/>
      <c r="T391" s="1829"/>
      <c r="U391" s="1829"/>
      <c r="V391" s="3" t="s">
        <v>1182</v>
      </c>
      <c r="AG391" s="1820"/>
      <c r="AH391" s="1820"/>
      <c r="AI391" s="1820"/>
      <c r="AJ391" s="1820"/>
    </row>
    <row r="392" spans="4:36" ht="12.95" customHeight="1">
      <c r="D392" t="s">
        <v>88</v>
      </c>
      <c r="I392" s="1423" t="s">
        <v>2719</v>
      </c>
      <c r="J392" s="1424"/>
      <c r="K392" s="1424"/>
      <c r="L392" s="1424"/>
      <c r="M392" s="1424"/>
      <c r="N392" s="1424"/>
      <c r="Q392" s="4" t="s">
        <v>206</v>
      </c>
      <c r="S392" s="1828"/>
      <c r="T392" s="1828"/>
      <c r="U392" s="1828"/>
      <c r="V392" t="s">
        <v>73</v>
      </c>
      <c r="AI392" s="1332" t="s">
        <v>670</v>
      </c>
      <c r="AJ392" s="1332"/>
    </row>
    <row r="393" spans="4:36" ht="12.95" customHeight="1">
      <c r="D393" t="s">
        <v>310</v>
      </c>
      <c r="Q393" s="1408">
        <v>5000</v>
      </c>
      <c r="R393" s="1408"/>
      <c r="S393" s="1408"/>
      <c r="T393" s="1408"/>
      <c r="U393" s="1408"/>
      <c r="V393" t="s">
        <v>311</v>
      </c>
      <c r="AG393" s="1819">
        <v>20000</v>
      </c>
      <c r="AH393" s="1819"/>
      <c r="AI393" s="1819"/>
      <c r="AJ393" s="1819"/>
    </row>
    <row r="394" spans="4:36" ht="12.95" customHeight="1">
      <c r="D394" t="s">
        <v>312</v>
      </c>
      <c r="Q394" s="1767"/>
      <c r="R394" s="1767"/>
      <c r="S394" s="1767"/>
      <c r="T394" s="1767"/>
      <c r="U394" s="1767"/>
      <c r="V394" t="s">
        <v>1164</v>
      </c>
      <c r="AG394" s="1819"/>
      <c r="AH394" s="1819"/>
      <c r="AI394" s="1819"/>
      <c r="AJ394" s="1819"/>
    </row>
    <row r="395" spans="4:36" ht="12.95" customHeight="1">
      <c r="D395" t="s">
        <v>1163</v>
      </c>
      <c r="AG395" s="1819"/>
      <c r="AH395" s="1819"/>
      <c r="AI395" s="1819"/>
      <c r="AJ395" s="1819"/>
    </row>
    <row r="396" spans="4:36" ht="12.95" customHeight="1">
      <c r="AG396" s="456"/>
      <c r="AH396" s="456"/>
      <c r="AI396" s="456"/>
      <c r="AJ396" s="456"/>
    </row>
    <row r="397" spans="4:36" ht="12.95" customHeight="1">
      <c r="D397" s="3" t="s">
        <v>2143</v>
      </c>
      <c r="AG397" s="456"/>
      <c r="AH397" s="456"/>
      <c r="AI397" s="1332" t="s">
        <v>670</v>
      </c>
      <c r="AJ397" s="1332"/>
    </row>
    <row r="398" spans="4:36" ht="12.95" customHeight="1">
      <c r="D398" s="3" t="s">
        <v>1668</v>
      </c>
      <c r="T398" s="1742"/>
      <c r="U398" s="1742"/>
      <c r="V398" s="1742"/>
      <c r="W398" s="1742"/>
      <c r="X398" s="1742"/>
      <c r="Y398" s="1742"/>
      <c r="Z398" s="1742"/>
      <c r="AA398" s="1742"/>
      <c r="AB398" s="1742"/>
      <c r="AC398" s="1742"/>
      <c r="AD398" s="1742"/>
      <c r="AE398" s="1742"/>
      <c r="AF398" s="1742"/>
      <c r="AG398" s="1742"/>
      <c r="AH398" s="1742"/>
      <c r="AI398" s="1742"/>
      <c r="AJ398" s="1742"/>
    </row>
    <row r="399" spans="4:36" ht="12.95" customHeight="1">
      <c r="D399" s="3" t="s">
        <v>1667</v>
      </c>
      <c r="T399" s="1742"/>
      <c r="U399" s="1742"/>
      <c r="V399" s="1742"/>
      <c r="W399" s="1742"/>
      <c r="X399" s="1742"/>
      <c r="Y399" s="1742"/>
      <c r="Z399" s="1742"/>
      <c r="AA399" s="1742"/>
      <c r="AB399" s="1742"/>
      <c r="AC399" s="1742"/>
      <c r="AD399" s="1742"/>
      <c r="AE399" s="1742"/>
      <c r="AF399" s="1742"/>
      <c r="AG399" s="1742"/>
      <c r="AH399" s="1742"/>
      <c r="AI399" s="1742"/>
      <c r="AJ399" s="1742"/>
    </row>
    <row r="400" spans="4:36" ht="12.95" customHeight="1">
      <c r="AG400" s="456"/>
      <c r="AH400" s="456"/>
      <c r="AI400" s="456"/>
      <c r="AJ400" s="456"/>
    </row>
    <row r="401" spans="1:36" ht="12.95" customHeight="1">
      <c r="D401" s="3" t="s">
        <v>1661</v>
      </c>
      <c r="S401" s="1742" t="s">
        <v>670</v>
      </c>
      <c r="T401" s="1742"/>
      <c r="U401" s="1742"/>
      <c r="V401" t="s">
        <v>1662</v>
      </c>
      <c r="AG401" s="1812"/>
      <c r="AH401" s="1812"/>
      <c r="AI401" s="1812"/>
      <c r="AJ401" s="1812"/>
    </row>
    <row r="402" spans="1:36" ht="12.95" customHeight="1">
      <c r="D402" s="3" t="s">
        <v>1659</v>
      </c>
      <c r="S402" s="1742" t="s">
        <v>592</v>
      </c>
      <c r="T402" s="1742"/>
      <c r="U402" s="1742"/>
      <c r="V402" t="s">
        <v>1664</v>
      </c>
      <c r="AE402" s="1818"/>
      <c r="AF402" s="1818"/>
      <c r="AG402" s="1818"/>
      <c r="AH402" s="1818"/>
      <c r="AI402" s="1818"/>
      <c r="AJ402" s="1818"/>
    </row>
    <row r="403" spans="1:36" ht="12.95" customHeight="1">
      <c r="D403" s="3" t="s">
        <v>1660</v>
      </c>
      <c r="K403" s="1797"/>
      <c r="L403" s="1797"/>
      <c r="M403" s="1797"/>
      <c r="N403" s="1797"/>
      <c r="O403" s="1797"/>
      <c r="P403" s="1797"/>
      <c r="Q403" s="1797"/>
      <c r="R403" s="1797"/>
      <c r="S403" s="1797"/>
      <c r="T403" s="1797"/>
      <c r="U403" s="1797"/>
      <c r="V403" s="1797"/>
      <c r="W403" s="1797"/>
      <c r="X403" s="1797"/>
      <c r="Y403" s="1797"/>
      <c r="Z403" s="1797"/>
      <c r="AA403" s="1797"/>
      <c r="AB403" s="1797"/>
      <c r="AC403" s="1797"/>
      <c r="AD403" s="1797"/>
      <c r="AE403" s="1797"/>
      <c r="AF403" s="1797"/>
      <c r="AG403" s="1797"/>
      <c r="AH403" s="1797"/>
      <c r="AI403" s="1797"/>
      <c r="AJ403" s="1797"/>
    </row>
    <row r="404" spans="1:36" ht="12.95" customHeight="1">
      <c r="D404" s="3" t="s">
        <v>1663</v>
      </c>
      <c r="K404" s="1797"/>
      <c r="L404" s="1797"/>
      <c r="M404" s="1797"/>
      <c r="N404" s="1797"/>
      <c r="O404" s="1797"/>
      <c r="P404" s="1797"/>
      <c r="Q404" s="1797"/>
      <c r="R404" s="1797"/>
      <c r="S404" s="1797"/>
      <c r="T404" s="1797"/>
      <c r="U404" s="1797"/>
      <c r="V404" s="1797"/>
      <c r="W404" s="1797"/>
      <c r="X404" s="1797"/>
      <c r="Y404" s="1797"/>
      <c r="Z404" s="1797"/>
      <c r="AA404" s="1797"/>
      <c r="AB404" s="1797"/>
      <c r="AC404" s="1797"/>
      <c r="AD404" s="1797"/>
      <c r="AE404" s="1797"/>
      <c r="AF404" s="1797"/>
      <c r="AG404" s="1797"/>
      <c r="AH404" s="1797"/>
      <c r="AI404" s="1797"/>
      <c r="AJ404" s="1797"/>
    </row>
    <row r="405" spans="1:36" ht="12.95" customHeight="1">
      <c r="D405" s="3" t="s">
        <v>1666</v>
      </c>
      <c r="E405" s="477"/>
      <c r="F405" s="477"/>
      <c r="G405" s="477"/>
      <c r="H405" s="477"/>
      <c r="I405" s="477"/>
      <c r="J405" s="477"/>
      <c r="K405" s="477"/>
      <c r="L405" s="477"/>
      <c r="M405" s="477"/>
      <c r="N405" s="477"/>
      <c r="O405" s="477"/>
      <c r="P405" s="477"/>
      <c r="Q405" s="477"/>
      <c r="R405" s="477"/>
      <c r="S405" s="1827" t="s">
        <v>1185</v>
      </c>
      <c r="T405" s="1827"/>
      <c r="U405" s="1827"/>
      <c r="V405" s="1827"/>
      <c r="W405" s="1827"/>
      <c r="X405" s="1827"/>
      <c r="Y405" s="1827"/>
      <c r="Z405" s="1827"/>
      <c r="AA405" s="1827"/>
      <c r="AB405" s="1827"/>
      <c r="AC405" s="1827"/>
      <c r="AD405" s="1827"/>
      <c r="AE405" s="1827"/>
      <c r="AF405" s="1827"/>
      <c r="AG405" s="1827"/>
      <c r="AH405" s="1827"/>
      <c r="AI405" s="1827"/>
      <c r="AJ405" s="1827"/>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6" t="s">
        <v>2686</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546</v>
      </c>
      <c r="S411" s="1332"/>
      <c r="AC411" s="27" t="s">
        <v>571</v>
      </c>
      <c r="AD411" s="1729">
        <v>6</v>
      </c>
      <c r="AE411" s="1729"/>
    </row>
    <row r="412" spans="1:36" ht="12.95" customHeight="1">
      <c r="E412" t="s">
        <v>107</v>
      </c>
      <c r="R412" s="1332" t="s">
        <v>592</v>
      </c>
      <c r="S412" s="1332"/>
      <c r="AC412" s="27" t="s">
        <v>571</v>
      </c>
      <c r="AD412" s="1729"/>
      <c r="AE412" s="1729"/>
    </row>
    <row r="413" spans="1:36" ht="12.95" customHeight="1">
      <c r="E413" t="s">
        <v>108</v>
      </c>
      <c r="S413" s="1332" t="s">
        <v>592</v>
      </c>
      <c r="T413" s="1332"/>
    </row>
    <row r="414" spans="1:36" ht="12.95" customHeight="1">
      <c r="E414" t="s">
        <v>170</v>
      </c>
      <c r="H414" s="1768" t="s">
        <v>334</v>
      </c>
      <c r="I414" s="1768"/>
      <c r="J414" s="1768"/>
      <c r="K414" s="1768"/>
      <c r="L414" s="1768"/>
      <c r="M414" s="1768"/>
      <c r="N414" s="1768"/>
      <c r="O414" s="1768"/>
      <c r="P414" s="1768"/>
      <c r="Q414" s="1768"/>
      <c r="R414" s="1768"/>
      <c r="S414" s="1768"/>
      <c r="T414" s="1768"/>
      <c r="U414" s="1768"/>
      <c r="V414" s="1768"/>
      <c r="W414" s="1768"/>
      <c r="X414" s="1768"/>
      <c r="Y414" s="1768"/>
      <c r="Z414" s="1768"/>
      <c r="AA414" s="1768"/>
      <c r="AB414" s="1768"/>
      <c r="AC414" s="1768"/>
      <c r="AD414" s="1768"/>
      <c r="AE414" s="1768"/>
    </row>
    <row r="415" spans="1:36" ht="12.95" customHeight="1">
      <c r="H415" s="1769"/>
      <c r="I415" s="1769"/>
      <c r="J415" s="1769"/>
      <c r="K415" s="1769"/>
      <c r="L415" s="1769"/>
      <c r="M415" s="1769"/>
      <c r="N415" s="1769"/>
      <c r="O415" s="1769"/>
      <c r="P415" s="1769"/>
      <c r="Q415" s="1769"/>
      <c r="R415" s="1769"/>
      <c r="S415" s="1769"/>
      <c r="T415" s="1769"/>
      <c r="U415" s="1769"/>
      <c r="V415" s="1769"/>
      <c r="W415" s="1769"/>
      <c r="X415" s="1769"/>
      <c r="Y415" s="1769"/>
      <c r="Z415" s="1769"/>
      <c r="AA415" s="1769"/>
      <c r="AB415" s="1769"/>
      <c r="AC415" s="1769"/>
      <c r="AD415" s="1769"/>
      <c r="AE415" s="1769"/>
    </row>
    <row r="416" spans="1:36" ht="12.95" customHeight="1"/>
    <row r="417" spans="1:39" ht="12.95" customHeight="1">
      <c r="A417" s="2" t="s">
        <v>591</v>
      </c>
      <c r="B417" s="2"/>
      <c r="C417" s="2"/>
      <c r="D417" s="2" t="s">
        <v>114</v>
      </c>
      <c r="AF417" s="2" t="s">
        <v>958</v>
      </c>
    </row>
    <row r="418" spans="1:39" ht="12.95" customHeight="1">
      <c r="E418" s="1816"/>
      <c r="F418" s="1816"/>
      <c r="G418" s="1816"/>
      <c r="H418" s="13" t="s">
        <v>115</v>
      </c>
      <c r="I418" s="1816"/>
      <c r="J418" s="1816"/>
      <c r="K418" s="1816"/>
      <c r="L418" t="s">
        <v>116</v>
      </c>
      <c r="N418" s="27" t="s">
        <v>576</v>
      </c>
      <c r="P418" s="1744">
        <v>0.51800000000000002</v>
      </c>
      <c r="Q418" s="1744"/>
      <c r="R418" s="1744"/>
      <c r="S418" t="s">
        <v>117</v>
      </c>
      <c r="W418" s="1826">
        <f>IF(E418&gt;0,(E418*I418),(P418*43560))</f>
        <v>22564.080000000002</v>
      </c>
      <c r="X418" s="1826"/>
      <c r="Y418" s="1826"/>
      <c r="Z418" t="s">
        <v>118</v>
      </c>
      <c r="AF418" s="1746">
        <f>IFERROR(IF(P418&gt;0,(AG437/P418),(AG437/(W418/43560))),0)</f>
        <v>202.70270270270271</v>
      </c>
      <c r="AG418" s="1746"/>
      <c r="AH418" s="1746"/>
      <c r="AM418" s="3"/>
    </row>
    <row r="419" spans="1:39" ht="12.95" customHeight="1">
      <c r="E419" t="s">
        <v>51</v>
      </c>
    </row>
    <row r="420" spans="1:39" ht="12.95" customHeight="1">
      <c r="E420" s="1823"/>
      <c r="F420" s="1823"/>
      <c r="G420" s="1823"/>
      <c r="H420" s="1823"/>
      <c r="I420" s="1823"/>
      <c r="J420" s="1823"/>
      <c r="K420" s="1823"/>
      <c r="L420" s="1823"/>
      <c r="M420" s="1823"/>
      <c r="N420" s="1823"/>
      <c r="O420" s="1823"/>
      <c r="P420" s="1823"/>
      <c r="Q420" s="1823"/>
      <c r="R420" s="1823"/>
      <c r="S420" s="1823"/>
      <c r="T420" s="1823"/>
      <c r="U420" s="1823"/>
      <c r="V420" s="1823"/>
      <c r="W420" s="1823"/>
      <c r="X420" s="1823"/>
      <c r="Y420" s="1823"/>
      <c r="Z420" s="1823"/>
      <c r="AA420" s="1823"/>
      <c r="AB420" s="1823"/>
      <c r="AC420" s="1823"/>
      <c r="AD420" s="1823"/>
      <c r="AE420" s="1823"/>
      <c r="AF420" s="1823"/>
      <c r="AG420" s="1823"/>
      <c r="AH420" s="1823"/>
      <c r="AI420" s="1823"/>
      <c r="AJ420" s="1823"/>
    </row>
    <row r="421" spans="1:39" ht="12.95" customHeight="1">
      <c r="E421" s="118" t="s">
        <v>1737</v>
      </c>
      <c r="F421" s="1013"/>
      <c r="G421" s="1013"/>
      <c r="H421" s="1013"/>
      <c r="I421" s="1822">
        <v>0.51800000000000002</v>
      </c>
      <c r="J421" s="1822"/>
      <c r="K421" s="1822"/>
      <c r="L421" s="1013"/>
      <c r="M421" s="118"/>
      <c r="N421" s="1013"/>
      <c r="O421" s="1013"/>
      <c r="P421" s="1441">
        <f>(DU755+DU778+DU800)/I421</f>
        <v>376.44787644787641</v>
      </c>
      <c r="Q421" s="1441"/>
      <c r="R421" s="1441"/>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1</v>
      </c>
      <c r="Q424" s="1332"/>
      <c r="S424" t="s">
        <v>189</v>
      </c>
      <c r="AE424" s="1332">
        <v>1</v>
      </c>
      <c r="AF424" s="1332"/>
    </row>
    <row r="425" spans="1:39" ht="12.95" customHeight="1">
      <c r="E425" t="s">
        <v>190</v>
      </c>
      <c r="P425" s="1332">
        <v>0</v>
      </c>
      <c r="Q425" s="1332"/>
      <c r="S425" t="s">
        <v>131</v>
      </c>
      <c r="AE425" s="1332" t="s">
        <v>592</v>
      </c>
      <c r="AF425" s="1332"/>
    </row>
    <row r="426" spans="1:39" ht="12.95" customHeight="1">
      <c r="F426" s="28" t="s">
        <v>132</v>
      </c>
    </row>
    <row r="427" spans="1:39" ht="12.95" customHeight="1">
      <c r="F427" s="1817" t="s">
        <v>2687</v>
      </c>
      <c r="G427" s="1802"/>
      <c r="H427" s="1802"/>
      <c r="I427" s="1802"/>
      <c r="J427" s="1802"/>
      <c r="K427" s="1802"/>
      <c r="L427" s="1802"/>
      <c r="M427" s="1802"/>
      <c r="N427" s="1802"/>
      <c r="O427" s="1802"/>
      <c r="P427" s="1802"/>
      <c r="Q427" s="1802"/>
      <c r="R427" s="1802"/>
      <c r="S427" s="1802"/>
      <c r="T427" s="1802"/>
      <c r="U427" s="1802"/>
      <c r="V427" s="1802"/>
      <c r="W427" s="1802"/>
      <c r="X427" s="1802"/>
      <c r="Y427" s="1802"/>
      <c r="Z427" s="1802"/>
      <c r="AA427" s="1802"/>
      <c r="AB427" s="1802"/>
      <c r="AC427" s="1802"/>
      <c r="AD427" s="1802"/>
      <c r="AE427" s="1802"/>
      <c r="AF427" s="1802"/>
      <c r="AG427" s="1802"/>
      <c r="AH427" s="1802"/>
    </row>
    <row r="428" spans="1:39" ht="12.95"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5" customHeight="1">
      <c r="E429" t="s">
        <v>609</v>
      </c>
      <c r="P429" s="1"/>
      <c r="Q429" s="1332" t="s">
        <v>546</v>
      </c>
      <c r="R429" s="1332"/>
    </row>
    <row r="430" spans="1:39" ht="12.95" customHeight="1">
      <c r="F430" t="s">
        <v>610</v>
      </c>
      <c r="P430" s="1"/>
      <c r="Q430" s="1"/>
      <c r="AF430" s="1332" t="s">
        <v>592</v>
      </c>
      <c r="AG430" s="1824"/>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13" t="s">
        <v>43</v>
      </c>
      <c r="E437" s="1614"/>
      <c r="F437" s="1614"/>
      <c r="G437" s="1614"/>
      <c r="H437" s="1614"/>
      <c r="I437" s="1614"/>
      <c r="J437" s="1614"/>
      <c r="K437" s="1614"/>
      <c r="L437" s="1614"/>
      <c r="M437" s="1614"/>
      <c r="N437" s="1614"/>
      <c r="O437" s="1614"/>
      <c r="P437" s="1614"/>
      <c r="Q437" s="1614"/>
      <c r="R437" s="1614"/>
      <c r="S437" s="1614"/>
      <c r="T437" s="1614"/>
      <c r="U437" s="1614"/>
      <c r="V437" s="1614"/>
      <c r="W437" s="1614"/>
      <c r="X437" s="1614"/>
      <c r="Y437" s="1614"/>
      <c r="Z437" s="1614"/>
      <c r="AA437" s="1614"/>
      <c r="AB437" s="1614"/>
      <c r="AC437" s="1614"/>
      <c r="AD437" s="1614"/>
      <c r="AE437" s="1614"/>
      <c r="AF437" s="1747"/>
      <c r="AG437" s="1811">
        <v>105</v>
      </c>
      <c r="AH437" s="1811"/>
      <c r="AI437" s="1811"/>
      <c r="AJ437" s="1811"/>
    </row>
    <row r="438" spans="1:55" ht="12.95" customHeight="1">
      <c r="D438" s="1734" t="s">
        <v>1223</v>
      </c>
      <c r="E438" s="1735"/>
      <c r="F438" s="1735"/>
      <c r="G438" s="1735"/>
      <c r="H438" s="1735"/>
      <c r="I438" s="1735"/>
      <c r="J438" s="1735"/>
      <c r="K438" s="1735"/>
      <c r="L438" s="1735"/>
      <c r="M438" s="1735"/>
      <c r="N438" s="1735"/>
      <c r="O438" s="1735"/>
      <c r="P438" s="1735"/>
      <c r="Q438" s="1735"/>
      <c r="R438" s="1735"/>
      <c r="S438" s="1735"/>
      <c r="T438" s="1735"/>
      <c r="U438" s="1735"/>
      <c r="V438" s="1735"/>
      <c r="W438" s="1735"/>
      <c r="X438" s="1735"/>
      <c r="Y438" s="1735"/>
      <c r="Z438" s="1735"/>
      <c r="AA438" s="1735"/>
      <c r="AB438" s="1735"/>
      <c r="AC438" s="1735"/>
      <c r="AD438" s="1735"/>
      <c r="AE438" s="1735"/>
      <c r="AF438" s="1736"/>
      <c r="AG438" s="1762">
        <v>0</v>
      </c>
      <c r="AH438" s="1602"/>
      <c r="AI438" s="1602"/>
      <c r="AJ438" s="1602"/>
    </row>
    <row r="439" spans="1:55" ht="12.95" customHeight="1">
      <c r="D439" s="1734" t="s">
        <v>1032</v>
      </c>
      <c r="E439" s="1735"/>
      <c r="F439" s="1735"/>
      <c r="G439" s="1735"/>
      <c r="H439" s="1735"/>
      <c r="I439" s="1735"/>
      <c r="J439" s="1735"/>
      <c r="K439" s="1735"/>
      <c r="L439" s="1735"/>
      <c r="M439" s="1735"/>
      <c r="N439" s="1735"/>
      <c r="O439" s="1735"/>
      <c r="P439" s="1735"/>
      <c r="Q439" s="1735"/>
      <c r="R439" s="1735"/>
      <c r="S439" s="1735"/>
      <c r="T439" s="1735"/>
      <c r="U439" s="1735"/>
      <c r="V439" s="1735"/>
      <c r="W439" s="1735"/>
      <c r="X439" s="1735"/>
      <c r="Y439" s="1735"/>
      <c r="Z439" s="1735"/>
      <c r="AA439" s="1735"/>
      <c r="AB439" s="1735"/>
      <c r="AC439" s="1735"/>
      <c r="AD439" s="1735"/>
      <c r="AE439" s="1735"/>
      <c r="AF439" s="1736"/>
      <c r="AG439" s="1811">
        <v>104</v>
      </c>
      <c r="AH439" s="1811"/>
      <c r="AI439" s="1811"/>
      <c r="AJ439" s="1811"/>
    </row>
    <row r="440" spans="1:55" ht="12.95" customHeight="1">
      <c r="D440" s="1734" t="s">
        <v>1033</v>
      </c>
      <c r="E440" s="1735"/>
      <c r="F440" s="1735"/>
      <c r="G440" s="1735"/>
      <c r="H440" s="1735"/>
      <c r="I440" s="1735"/>
      <c r="J440" s="1735"/>
      <c r="K440" s="1735"/>
      <c r="L440" s="1735"/>
      <c r="M440" s="1735"/>
      <c r="N440" s="1735"/>
      <c r="O440" s="1735"/>
      <c r="P440" s="1735"/>
      <c r="Q440" s="1735"/>
      <c r="R440" s="1735"/>
      <c r="S440" s="1735"/>
      <c r="T440" s="1735"/>
      <c r="U440" s="1735"/>
      <c r="V440" s="1735"/>
      <c r="W440" s="1735"/>
      <c r="X440" s="1735"/>
      <c r="Y440" s="1735"/>
      <c r="Z440" s="1735"/>
      <c r="AA440" s="1735"/>
      <c r="AB440" s="1735"/>
      <c r="AC440" s="1735"/>
      <c r="AD440" s="1735"/>
      <c r="AE440" s="1735"/>
      <c r="AF440" s="1736"/>
      <c r="AG440" s="1811">
        <v>104</v>
      </c>
      <c r="AH440" s="1811"/>
      <c r="AI440" s="1811"/>
      <c r="AJ440" s="1811"/>
    </row>
    <row r="441" spans="1:55" ht="12.95" customHeight="1">
      <c r="D441" s="1734" t="s">
        <v>1035</v>
      </c>
      <c r="E441" s="1735"/>
      <c r="F441" s="1735"/>
      <c r="G441" s="1735"/>
      <c r="H441" s="1735"/>
      <c r="I441" s="1735"/>
      <c r="J441" s="1735"/>
      <c r="K441" s="1735"/>
      <c r="L441" s="1735"/>
      <c r="M441" s="1735"/>
      <c r="N441" s="1735"/>
      <c r="O441" s="1735"/>
      <c r="P441" s="1735"/>
      <c r="Q441" s="1735"/>
      <c r="R441" s="1735"/>
      <c r="S441" s="1735"/>
      <c r="T441" s="1735"/>
      <c r="U441" s="1735"/>
      <c r="V441" s="1735"/>
      <c r="W441" s="1735"/>
      <c r="X441" s="1735"/>
      <c r="Y441" s="1735"/>
      <c r="Z441" s="1735"/>
      <c r="AA441" s="1735"/>
      <c r="AB441" s="1735"/>
      <c r="AC441" s="1735"/>
      <c r="AD441" s="1735"/>
      <c r="AE441" s="1735"/>
      <c r="AF441" s="1736"/>
      <c r="AG441" s="1754">
        <f>IF(ISERROR(AG440/AG439),0,AG440/AG439)</f>
        <v>1</v>
      </c>
      <c r="AH441" s="1754"/>
      <c r="AI441" s="1754"/>
      <c r="AJ441" s="1754"/>
    </row>
    <row r="442" spans="1:55" ht="12.95" customHeight="1">
      <c r="D442" s="1734" t="s">
        <v>1034</v>
      </c>
      <c r="E442" s="1735"/>
      <c r="F442" s="1735"/>
      <c r="G442" s="1735"/>
      <c r="H442" s="1735"/>
      <c r="I442" s="1735"/>
      <c r="J442" s="1735"/>
      <c r="K442" s="1735"/>
      <c r="L442" s="1735"/>
      <c r="M442" s="1735"/>
      <c r="N442" s="1735"/>
      <c r="O442" s="1735"/>
      <c r="P442" s="1735"/>
      <c r="Q442" s="1735"/>
      <c r="R442" s="1735"/>
      <c r="S442" s="1735"/>
      <c r="T442" s="1735"/>
      <c r="U442" s="1735"/>
      <c r="V442" s="1735"/>
      <c r="W442" s="1735"/>
      <c r="X442" s="1735"/>
      <c r="Y442" s="1735"/>
      <c r="Z442" s="1735"/>
      <c r="AA442" s="1735"/>
      <c r="AB442" s="1735"/>
      <c r="AC442" s="1735"/>
      <c r="AD442" s="1735"/>
      <c r="AE442" s="1735"/>
      <c r="AF442" s="1736"/>
      <c r="AG442" s="1745">
        <v>68580</v>
      </c>
      <c r="AH442" s="1745"/>
      <c r="AI442" s="1745"/>
      <c r="AJ442" s="1745"/>
    </row>
    <row r="443" spans="1:55" ht="12.95" customHeight="1">
      <c r="D443" s="1734" t="s">
        <v>1036</v>
      </c>
      <c r="E443" s="1735"/>
      <c r="F443" s="1735"/>
      <c r="G443" s="1735"/>
      <c r="H443" s="1735"/>
      <c r="I443" s="1735"/>
      <c r="J443" s="1735"/>
      <c r="K443" s="1735"/>
      <c r="L443" s="1735"/>
      <c r="M443" s="1735"/>
      <c r="N443" s="1735"/>
      <c r="O443" s="1735"/>
      <c r="P443" s="1735"/>
      <c r="Q443" s="1735"/>
      <c r="R443" s="1735"/>
      <c r="S443" s="1735"/>
      <c r="T443" s="1735"/>
      <c r="U443" s="1735"/>
      <c r="V443" s="1735"/>
      <c r="W443" s="1735"/>
      <c r="X443" s="1735"/>
      <c r="Y443" s="1735"/>
      <c r="Z443" s="1735"/>
      <c r="AA443" s="1735"/>
      <c r="AB443" s="1735"/>
      <c r="AC443" s="1735"/>
      <c r="AD443" s="1735"/>
      <c r="AE443" s="1735"/>
      <c r="AF443" s="1736"/>
      <c r="AG443" s="1745">
        <v>68580</v>
      </c>
      <c r="AH443" s="1745"/>
      <c r="AI443" s="1745"/>
      <c r="AJ443" s="1745"/>
    </row>
    <row r="444" spans="1:55" ht="12.95" customHeight="1">
      <c r="D444" s="1734" t="s">
        <v>1037</v>
      </c>
      <c r="E444" s="1735"/>
      <c r="F444" s="1735"/>
      <c r="G444" s="1735"/>
      <c r="H444" s="1735"/>
      <c r="I444" s="1735"/>
      <c r="J444" s="1735"/>
      <c r="K444" s="1735"/>
      <c r="L444" s="1735"/>
      <c r="M444" s="1735"/>
      <c r="N444" s="1735"/>
      <c r="O444" s="1735"/>
      <c r="P444" s="1735"/>
      <c r="Q444" s="1735"/>
      <c r="R444" s="1735"/>
      <c r="S444" s="1735"/>
      <c r="T444" s="1735"/>
      <c r="U444" s="1735"/>
      <c r="V444" s="1735"/>
      <c r="W444" s="1735"/>
      <c r="X444" s="1735"/>
      <c r="Y444" s="1735"/>
      <c r="Z444" s="1735"/>
      <c r="AA444" s="1735"/>
      <c r="AB444" s="1735"/>
      <c r="AC444" s="1735"/>
      <c r="AD444" s="1735"/>
      <c r="AE444" s="1735"/>
      <c r="AF444" s="1736"/>
      <c r="AG444" s="1754">
        <f>IF(ISERROR(AG443/AG442),0,AG443/AG442)</f>
        <v>1</v>
      </c>
      <c r="AH444" s="1754"/>
      <c r="AI444" s="1754"/>
      <c r="AJ444" s="1754"/>
    </row>
    <row r="445" spans="1:55" ht="12.95" customHeight="1">
      <c r="D445" s="1734" t="s">
        <v>1038</v>
      </c>
      <c r="E445" s="1735"/>
      <c r="F445" s="1735"/>
      <c r="G445" s="1735"/>
      <c r="H445" s="1735"/>
      <c r="I445" s="1735"/>
      <c r="J445" s="1735"/>
      <c r="K445" s="1735"/>
      <c r="L445" s="1735"/>
      <c r="M445" s="1735"/>
      <c r="N445" s="1735"/>
      <c r="O445" s="1735"/>
      <c r="P445" s="1735"/>
      <c r="Q445" s="1735"/>
      <c r="R445" s="1735"/>
      <c r="S445" s="1735"/>
      <c r="T445" s="1735"/>
      <c r="U445" s="1735"/>
      <c r="V445" s="1735"/>
      <c r="W445" s="1735"/>
      <c r="X445" s="1735"/>
      <c r="Y445" s="1735"/>
      <c r="Z445" s="1735"/>
      <c r="AA445" s="1735"/>
      <c r="AB445" s="1735"/>
      <c r="AC445" s="1735"/>
      <c r="AD445" s="1735"/>
      <c r="AE445" s="1735"/>
      <c r="AF445" s="1736"/>
      <c r="AG445" s="1754">
        <f>MIN(IF(AG441&gt;AG444,AG444,AG441),1)</f>
        <v>1</v>
      </c>
      <c r="AH445" s="1754"/>
      <c r="AI445" s="1754"/>
      <c r="AJ445" s="1754"/>
    </row>
    <row r="446" spans="1:55" ht="12.95" customHeight="1">
      <c r="D446" s="1734" t="s">
        <v>2088</v>
      </c>
      <c r="E446" s="1614"/>
      <c r="F446" s="1614"/>
      <c r="G446" s="1614"/>
      <c r="H446" s="1614"/>
      <c r="I446" s="1614"/>
      <c r="J446" s="1614"/>
      <c r="K446" s="1614"/>
      <c r="L446" s="1614"/>
      <c r="M446" s="1614"/>
      <c r="N446" s="1614"/>
      <c r="O446" s="1614"/>
      <c r="P446" s="1614"/>
      <c r="Q446" s="1614"/>
      <c r="R446" s="1614"/>
      <c r="S446" s="1614"/>
      <c r="T446" s="1614"/>
      <c r="U446" s="1614"/>
      <c r="V446" s="1614"/>
      <c r="W446" s="1614"/>
      <c r="X446" s="1614"/>
      <c r="Y446" s="1614"/>
      <c r="Z446" s="1614"/>
      <c r="AA446" s="1614"/>
      <c r="AB446" s="1614"/>
      <c r="AC446" s="1614"/>
      <c r="AD446" s="1614"/>
      <c r="AE446" s="1614"/>
      <c r="AF446" s="1747"/>
      <c r="AG446" s="1745">
        <v>1800</v>
      </c>
      <c r="AH446" s="1745"/>
      <c r="AI446" s="1745"/>
      <c r="AJ446" s="1745"/>
      <c r="AZ446" s="34"/>
      <c r="BA446" s="34"/>
      <c r="BB446" s="34"/>
      <c r="BC446" s="34"/>
    </row>
    <row r="447" spans="1:55" ht="12.95" customHeight="1">
      <c r="D447" s="1613" t="s">
        <v>570</v>
      </c>
      <c r="E447" s="1614"/>
      <c r="F447" s="1614"/>
      <c r="G447" s="1614"/>
      <c r="H447" s="1614"/>
      <c r="I447" s="1614"/>
      <c r="J447" s="1614"/>
      <c r="K447" s="1614"/>
      <c r="L447" s="1614"/>
      <c r="M447" s="1614"/>
      <c r="N447" s="1614"/>
      <c r="O447" s="1614"/>
      <c r="P447" s="1614"/>
      <c r="Q447" s="1614"/>
      <c r="R447" s="1614"/>
      <c r="S447" s="1614"/>
      <c r="T447" s="1614"/>
      <c r="U447" s="1614"/>
      <c r="V447" s="1614"/>
      <c r="W447" s="1614"/>
      <c r="X447" s="1614"/>
      <c r="Y447" s="1614"/>
      <c r="Z447" s="1614"/>
      <c r="AA447" s="1614"/>
      <c r="AB447" s="1614"/>
      <c r="AC447" s="1614"/>
      <c r="AD447" s="1614"/>
      <c r="AE447" s="1614"/>
      <c r="AF447" s="1747"/>
      <c r="AG447" s="1745">
        <v>0</v>
      </c>
      <c r="AH447" s="1745"/>
      <c r="AI447" s="1745"/>
      <c r="AJ447" s="1745"/>
      <c r="AZ447" s="3"/>
      <c r="BA447" s="3"/>
      <c r="BB447" s="3"/>
      <c r="BC447" s="3"/>
    </row>
    <row r="448" spans="1:55" ht="12.95" customHeight="1">
      <c r="D448" s="1734" t="s">
        <v>1206</v>
      </c>
      <c r="E448" s="1614"/>
      <c r="F448" s="1614"/>
      <c r="G448" s="1614"/>
      <c r="H448" s="1614"/>
      <c r="I448" s="1614"/>
      <c r="J448" s="1614"/>
      <c r="K448" s="1614"/>
      <c r="L448" s="1614"/>
      <c r="M448" s="1614"/>
      <c r="N448" s="1614"/>
      <c r="O448" s="1614"/>
      <c r="P448" s="1614"/>
      <c r="Q448" s="1614"/>
      <c r="R448" s="1614"/>
      <c r="S448" s="1614"/>
      <c r="T448" s="1614"/>
      <c r="U448" s="1614"/>
      <c r="V448" s="1614"/>
      <c r="W448" s="1614"/>
      <c r="X448" s="1614"/>
      <c r="Y448" s="1614"/>
      <c r="Z448" s="1614"/>
      <c r="AA448" s="1614"/>
      <c r="AB448" s="1614"/>
      <c r="AC448" s="1614"/>
      <c r="AD448" s="1614"/>
      <c r="AE448" s="1614"/>
      <c r="AF448" s="1747"/>
      <c r="AG448" s="1745">
        <v>5000</v>
      </c>
      <c r="AH448" s="1745"/>
      <c r="AI448" s="1745"/>
      <c r="AJ448" s="1745"/>
      <c r="AZ448" s="3"/>
      <c r="BA448" s="3"/>
      <c r="BB448" s="3"/>
      <c r="BC448" s="3"/>
    </row>
    <row r="449" spans="1:55" ht="12.95" customHeight="1">
      <c r="D449" s="1734" t="s">
        <v>1039</v>
      </c>
      <c r="E449" s="1614"/>
      <c r="F449" s="1614"/>
      <c r="G449" s="1614"/>
      <c r="H449" s="1614"/>
      <c r="I449" s="1614"/>
      <c r="J449" s="1614"/>
      <c r="K449" s="1614"/>
      <c r="L449" s="1614"/>
      <c r="M449" s="1614"/>
      <c r="N449" s="1614"/>
      <c r="O449" s="1614"/>
      <c r="P449" s="1614"/>
      <c r="Q449" s="1614"/>
      <c r="R449" s="1614"/>
      <c r="S449" s="1614"/>
      <c r="T449" s="1614"/>
      <c r="U449" s="1614"/>
      <c r="V449" s="1614"/>
      <c r="W449" s="1614"/>
      <c r="X449" s="1614"/>
      <c r="Y449" s="1614"/>
      <c r="Z449" s="1614"/>
      <c r="AA449" s="1614"/>
      <c r="AB449" s="1614"/>
      <c r="AC449" s="1614"/>
      <c r="AD449" s="1614"/>
      <c r="AE449" s="1614"/>
      <c r="AF449" s="1747"/>
      <c r="AG449" s="1745">
        <v>0</v>
      </c>
      <c r="AH449" s="1745"/>
      <c r="AI449" s="1745"/>
      <c r="AJ449" s="1745"/>
      <c r="BB449" s="3"/>
      <c r="BC449" s="3"/>
    </row>
    <row r="450" spans="1:55" ht="12.95" customHeight="1">
      <c r="D450" s="1764" t="s">
        <v>1040</v>
      </c>
      <c r="E450" s="1765"/>
      <c r="F450" s="1765"/>
      <c r="G450" s="1765"/>
      <c r="H450" s="1765"/>
      <c r="I450" s="1765"/>
      <c r="J450" s="1765"/>
      <c r="K450" s="1765"/>
      <c r="L450" s="1765"/>
      <c r="M450" s="1765"/>
      <c r="N450" s="1765"/>
      <c r="O450" s="1765"/>
      <c r="P450" s="1765"/>
      <c r="Q450" s="1765"/>
      <c r="R450" s="1765"/>
      <c r="S450" s="1765"/>
      <c r="T450" s="1765"/>
      <c r="U450" s="1765"/>
      <c r="V450" s="1765"/>
      <c r="W450" s="1765"/>
      <c r="X450" s="1765"/>
      <c r="Y450" s="1765"/>
      <c r="Z450" s="1765"/>
      <c r="AA450" s="1765"/>
      <c r="AB450" s="1765"/>
      <c r="AC450" s="1765"/>
      <c r="AD450" s="1765"/>
      <c r="AE450" s="1765"/>
      <c r="AF450" s="1766"/>
      <c r="AG450" s="1843">
        <f>AG442+AG446+AG448+AG449</f>
        <v>75380</v>
      </c>
      <c r="AH450" s="1843"/>
      <c r="AI450" s="1843"/>
      <c r="AJ450" s="1843"/>
      <c r="AZ450" s="3"/>
      <c r="BA450" s="3"/>
      <c r="BB450" s="3"/>
      <c r="BC450" s="3"/>
    </row>
    <row r="451" spans="1:55" ht="12.95" customHeight="1">
      <c r="D451" s="1737" t="s">
        <v>1207</v>
      </c>
      <c r="E451" s="1737"/>
      <c r="F451" s="1737"/>
      <c r="G451" s="1737"/>
      <c r="H451" s="1737"/>
      <c r="I451" s="1737"/>
      <c r="J451" s="1737"/>
      <c r="K451" s="1737"/>
      <c r="L451" s="1737"/>
      <c r="M451" s="1737"/>
      <c r="N451" s="1737"/>
      <c r="O451" s="1737"/>
      <c r="P451" s="1737"/>
      <c r="Q451" s="1737"/>
      <c r="R451" s="1737"/>
      <c r="S451" s="1737"/>
      <c r="T451" s="1737"/>
      <c r="U451" s="1737"/>
      <c r="V451" s="1737"/>
      <c r="W451" s="1737"/>
      <c r="X451" s="1737"/>
      <c r="Y451" s="1737"/>
      <c r="Z451" s="1737"/>
      <c r="AA451" s="1737"/>
      <c r="AB451" s="1737"/>
      <c r="AC451" s="1737"/>
      <c r="AD451" s="1737"/>
      <c r="AE451" s="1737"/>
      <c r="AF451" s="1737"/>
      <c r="AG451" s="1737"/>
      <c r="AH451" s="1737"/>
      <c r="AI451" s="1737"/>
      <c r="AJ451" s="1737"/>
      <c r="AZ451" s="3"/>
      <c r="BA451" s="3"/>
      <c r="BB451" s="3"/>
      <c r="BC451" s="3"/>
    </row>
    <row r="452" spans="1:55" ht="12.95" customHeight="1">
      <c r="D452" s="1738"/>
      <c r="E452" s="1738"/>
      <c r="F452" s="1738"/>
      <c r="G452" s="1738"/>
      <c r="H452" s="1738"/>
      <c r="I452" s="1738"/>
      <c r="J452" s="1738"/>
      <c r="K452" s="1738"/>
      <c r="L452" s="1738"/>
      <c r="M452" s="1738"/>
      <c r="N452" s="1738"/>
      <c r="O452" s="1738"/>
      <c r="P452" s="1738"/>
      <c r="Q452" s="1738"/>
      <c r="R452" s="1738"/>
      <c r="S452" s="1738"/>
      <c r="T452" s="1738"/>
      <c r="U452" s="1738"/>
      <c r="V452" s="1738"/>
      <c r="W452" s="1738"/>
      <c r="X452" s="1738"/>
      <c r="Y452" s="1738"/>
      <c r="Z452" s="1738"/>
      <c r="AA452" s="1738"/>
      <c r="AB452" s="1738"/>
      <c r="AC452" s="1738"/>
      <c r="AD452" s="1738"/>
      <c r="AE452" s="1738"/>
      <c r="AF452" s="1738"/>
      <c r="AG452" s="1738"/>
      <c r="AH452" s="1738"/>
      <c r="AI452" s="1738"/>
      <c r="AJ452" s="1738"/>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517504.6857142857</v>
      </c>
      <c r="AD454" s="1813"/>
      <c r="AE454" s="1813"/>
      <c r="AF454" s="181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517504.6857142857</v>
      </c>
      <c r="AD455" s="1813"/>
      <c r="AE455" s="1813"/>
      <c r="AF455" s="181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455452.18095238094</v>
      </c>
      <c r="AD456" s="1813"/>
      <c r="AE456" s="1813"/>
      <c r="AF456" s="1813"/>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821" t="s">
        <v>2100</v>
      </c>
      <c r="E465" s="1752"/>
      <c r="F465" s="1752"/>
      <c r="G465" s="1752"/>
      <c r="H465" s="1752"/>
      <c r="I465" s="1752"/>
      <c r="J465" s="1752"/>
      <c r="K465" s="1752"/>
      <c r="L465" s="1752"/>
      <c r="M465" s="1752"/>
      <c r="N465" s="1752"/>
      <c r="O465" s="1752"/>
      <c r="P465" s="1752"/>
      <c r="Q465" s="1752"/>
      <c r="R465" s="1752"/>
      <c r="S465" s="1752"/>
      <c r="T465" s="1752"/>
      <c r="U465" s="1752"/>
      <c r="V465" s="1753"/>
      <c r="W465" s="1748">
        <v>0</v>
      </c>
      <c r="X465" s="1749"/>
      <c r="Y465" s="1750"/>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1" t="s">
        <v>694</v>
      </c>
      <c r="E466" s="1752"/>
      <c r="F466" s="1752"/>
      <c r="G466" s="1752"/>
      <c r="H466" s="1752"/>
      <c r="I466" s="1752"/>
      <c r="J466" s="1752"/>
      <c r="K466" s="1752"/>
      <c r="L466" s="1752"/>
      <c r="M466" s="1752"/>
      <c r="N466" s="1752"/>
      <c r="O466" s="1752"/>
      <c r="P466" s="1752"/>
      <c r="Q466" s="1752"/>
      <c r="R466" s="1752"/>
      <c r="S466" s="1752"/>
      <c r="T466" s="1752"/>
      <c r="U466" s="1752"/>
      <c r="V466" s="1753"/>
      <c r="W466" s="1748">
        <v>0</v>
      </c>
      <c r="X466" s="1749"/>
      <c r="Y466" s="1750"/>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1" t="s">
        <v>695</v>
      </c>
      <c r="E467" s="1752"/>
      <c r="F467" s="1752"/>
      <c r="G467" s="1752"/>
      <c r="H467" s="1752"/>
      <c r="I467" s="1752"/>
      <c r="J467" s="1752"/>
      <c r="K467" s="1752"/>
      <c r="L467" s="1752"/>
      <c r="M467" s="1752"/>
      <c r="N467" s="1752"/>
      <c r="O467" s="1752"/>
      <c r="P467" s="1752"/>
      <c r="Q467" s="1752"/>
      <c r="R467" s="1752"/>
      <c r="S467" s="1752"/>
      <c r="T467" s="1752"/>
      <c r="U467" s="1752"/>
      <c r="V467" s="1753"/>
      <c r="W467" s="1748">
        <v>0</v>
      </c>
      <c r="X467" s="1749"/>
      <c r="Y467" s="1750"/>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1" t="s">
        <v>696</v>
      </c>
      <c r="E468" s="1752"/>
      <c r="F468" s="1752"/>
      <c r="G468" s="1752"/>
      <c r="H468" s="1752"/>
      <c r="I468" s="1752"/>
      <c r="J468" s="1752"/>
      <c r="K468" s="1752"/>
      <c r="L468" s="1752"/>
      <c r="M468" s="1752"/>
      <c r="N468" s="1752"/>
      <c r="O468" s="1752"/>
      <c r="P468" s="1752"/>
      <c r="Q468" s="1752"/>
      <c r="R468" s="1752"/>
      <c r="S468" s="1752"/>
      <c r="T468" s="1752"/>
      <c r="U468" s="1752"/>
      <c r="V468" s="1753"/>
      <c r="W468" s="1748">
        <v>0</v>
      </c>
      <c r="X468" s="1749"/>
      <c r="Y468" s="1750"/>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1" t="s">
        <v>882</v>
      </c>
      <c r="E469" s="1752"/>
      <c r="F469" s="1752"/>
      <c r="G469" s="1752"/>
      <c r="H469" s="1752"/>
      <c r="I469" s="1752"/>
      <c r="J469" s="1752"/>
      <c r="K469" s="1752"/>
      <c r="L469" s="1752"/>
      <c r="M469" s="1752"/>
      <c r="N469" s="1752"/>
      <c r="O469" s="1752"/>
      <c r="P469" s="1752"/>
      <c r="Q469" s="1752"/>
      <c r="R469" s="1752"/>
      <c r="S469" s="1752"/>
      <c r="T469" s="1752"/>
      <c r="U469" s="1752"/>
      <c r="V469" s="1753"/>
      <c r="W469" s="1748">
        <v>0</v>
      </c>
      <c r="X469" s="1749"/>
      <c r="Y469" s="1750"/>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1" t="s">
        <v>697</v>
      </c>
      <c r="E470" s="1752"/>
      <c r="F470" s="1752"/>
      <c r="G470" s="1752"/>
      <c r="H470" s="1752"/>
      <c r="I470" s="1752"/>
      <c r="J470" s="1752"/>
      <c r="K470" s="1752"/>
      <c r="L470" s="1752"/>
      <c r="M470" s="1752"/>
      <c r="N470" s="1752"/>
      <c r="O470" s="1752"/>
      <c r="P470" s="1752"/>
      <c r="Q470" s="1752"/>
      <c r="R470" s="1752"/>
      <c r="S470" s="1752"/>
      <c r="T470" s="1752"/>
      <c r="U470" s="1752"/>
      <c r="V470" s="1753"/>
      <c r="W470" s="1748">
        <v>0</v>
      </c>
      <c r="X470" s="1749"/>
      <c r="Y470" s="1750"/>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51" t="s">
        <v>1013</v>
      </c>
      <c r="E471" s="1752"/>
      <c r="F471" s="1752"/>
      <c r="G471" s="1752"/>
      <c r="H471" s="1752"/>
      <c r="I471" s="1752"/>
      <c r="J471" s="1752"/>
      <c r="K471" s="1752"/>
      <c r="L471" s="1752"/>
      <c r="M471" s="1752"/>
      <c r="N471" s="1752"/>
      <c r="O471" s="1752"/>
      <c r="P471" s="1752"/>
      <c r="Q471" s="1752"/>
      <c r="R471" s="1752"/>
      <c r="S471" s="1752"/>
      <c r="T471" s="1752"/>
      <c r="U471" s="1752"/>
      <c r="V471" s="1753"/>
      <c r="W471" s="1748">
        <v>0</v>
      </c>
      <c r="X471" s="1749"/>
      <c r="Y471" s="1750"/>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821" t="s">
        <v>2191</v>
      </c>
      <c r="E472" s="1848"/>
      <c r="F472" s="1848"/>
      <c r="G472" s="1848"/>
      <c r="H472" s="1848"/>
      <c r="I472" s="1848"/>
      <c r="J472" s="1848"/>
      <c r="K472" s="1848"/>
      <c r="L472" s="1848"/>
      <c r="M472" s="1848"/>
      <c r="N472" s="1848"/>
      <c r="O472" s="1848"/>
      <c r="P472" s="1848"/>
      <c r="Q472" s="1848"/>
      <c r="R472" s="1848"/>
      <c r="S472" s="1848"/>
      <c r="T472" s="1848"/>
      <c r="U472" s="1848"/>
      <c r="V472" s="1849"/>
      <c r="W472" s="1748">
        <v>0</v>
      </c>
      <c r="X472" s="1749"/>
      <c r="Y472" s="1750"/>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821" t="s">
        <v>1655</v>
      </c>
      <c r="E473" s="1752"/>
      <c r="F473" s="1752"/>
      <c r="G473" s="1752"/>
      <c r="H473" s="1752"/>
      <c r="I473" s="1752"/>
      <c r="J473" s="1752"/>
      <c r="K473" s="1752"/>
      <c r="L473" s="1752"/>
      <c r="M473" s="1752"/>
      <c r="N473" s="1752"/>
      <c r="O473" s="1752"/>
      <c r="P473" s="1752"/>
      <c r="Q473" s="1752"/>
      <c r="R473" s="1752"/>
      <c r="S473" s="1752"/>
      <c r="T473" s="1752"/>
      <c r="U473" s="1752"/>
      <c r="V473" s="1753"/>
      <c r="W473" s="1748">
        <v>27</v>
      </c>
      <c r="X473" s="1749"/>
      <c r="Y473" s="1750"/>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758"/>
      <c r="H474" s="1759"/>
      <c r="I474" s="1759"/>
      <c r="J474" s="1759"/>
      <c r="K474" s="1759"/>
      <c r="L474" s="1759"/>
      <c r="M474" s="1759"/>
      <c r="N474" s="1759"/>
      <c r="O474" s="1759"/>
      <c r="P474" s="1759"/>
      <c r="Q474" s="1759"/>
      <c r="R474" s="1759"/>
      <c r="S474" s="1759"/>
      <c r="T474" s="1759"/>
      <c r="U474" s="1759"/>
      <c r="V474" s="1760"/>
      <c r="W474" s="1748">
        <v>0</v>
      </c>
      <c r="X474" s="1749"/>
      <c r="Y474" s="1750"/>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55" t="s">
        <v>393</v>
      </c>
      <c r="R485" s="1756"/>
      <c r="S485" s="1756"/>
      <c r="T485" s="1756"/>
      <c r="U485" s="1756"/>
      <c r="V485" s="1756"/>
      <c r="W485" s="1756"/>
      <c r="X485" s="1756"/>
      <c r="Y485" s="1756"/>
      <c r="Z485" s="1756"/>
      <c r="AA485" s="1756"/>
      <c r="AB485" s="1756"/>
      <c r="AC485" s="1756"/>
      <c r="AD485" s="1756"/>
      <c r="AE485" s="1756"/>
      <c r="AF485" s="1756"/>
      <c r="AG485" s="1756"/>
      <c r="AH485" s="1756"/>
      <c r="AI485" s="1756"/>
      <c r="AJ485" s="1756"/>
      <c r="AK485" s="1763"/>
      <c r="AZ485" s="3"/>
      <c r="BB485" s="3"/>
      <c r="BC485" s="3"/>
    </row>
    <row r="486" spans="1:55" ht="12.95" customHeight="1">
      <c r="B486" s="45" t="s">
        <v>394</v>
      </c>
      <c r="C486" s="5"/>
      <c r="D486" s="5"/>
      <c r="E486" s="5"/>
      <c r="F486" s="5"/>
      <c r="G486" s="5"/>
      <c r="H486" s="5"/>
      <c r="I486" s="5"/>
      <c r="J486" s="5"/>
      <c r="K486" s="5"/>
      <c r="L486" s="5"/>
      <c r="M486" s="5"/>
      <c r="N486" s="5"/>
      <c r="O486" s="5"/>
      <c r="P486" s="5"/>
      <c r="Q486" s="1566" t="s">
        <v>2688</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67"/>
      <c r="AZ486" s="3"/>
      <c r="BB486" s="3"/>
      <c r="BC486" s="3"/>
    </row>
    <row r="487" spans="1:55" ht="12.95" customHeight="1">
      <c r="B487" s="45" t="s">
        <v>395</v>
      </c>
      <c r="C487" s="5"/>
      <c r="D487" s="5"/>
      <c r="E487" s="5"/>
      <c r="F487" s="5"/>
      <c r="G487" s="5"/>
      <c r="H487" s="5"/>
      <c r="I487" s="5"/>
      <c r="J487" s="5"/>
      <c r="K487" s="5"/>
      <c r="L487" s="5"/>
      <c r="M487" s="5"/>
      <c r="N487" s="5"/>
      <c r="O487" s="5"/>
      <c r="P487" s="5"/>
      <c r="Q487" s="1566" t="s">
        <v>2689</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67"/>
      <c r="AZ487" s="3"/>
      <c r="BB487" s="3"/>
      <c r="BC487" s="3"/>
    </row>
    <row r="488" spans="1:55" ht="12.95" customHeight="1">
      <c r="B488" s="45" t="s">
        <v>396</v>
      </c>
      <c r="C488" s="5"/>
      <c r="D488" s="5"/>
      <c r="E488" s="5"/>
      <c r="F488" s="5"/>
      <c r="G488" s="5"/>
      <c r="H488" s="5"/>
      <c r="I488" s="5"/>
      <c r="J488" s="5"/>
      <c r="K488" s="5"/>
      <c r="L488" s="5"/>
      <c r="M488" s="5"/>
      <c r="N488" s="5"/>
      <c r="O488" s="5"/>
      <c r="P488" s="5"/>
      <c r="Q488" s="1566" t="s">
        <v>2690</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67"/>
      <c r="AZ488" s="3"/>
      <c r="BA488" s="3"/>
      <c r="BB488" s="3"/>
      <c r="BC488" s="3"/>
    </row>
    <row r="489" spans="1:55" ht="12.95" customHeight="1">
      <c r="B489" s="1833" t="s">
        <v>397</v>
      </c>
      <c r="C489" s="1834"/>
      <c r="D489" s="1834"/>
      <c r="E489" s="1834"/>
      <c r="F489" s="1834"/>
      <c r="G489" s="1834"/>
      <c r="H489" s="1834"/>
      <c r="I489" s="1834"/>
      <c r="J489" s="1834"/>
      <c r="K489" s="1834"/>
      <c r="L489" s="1834"/>
      <c r="M489" s="1834"/>
      <c r="N489" s="1834"/>
      <c r="O489" s="1834"/>
      <c r="P489" s="1835"/>
      <c r="Q489" s="1839" t="s">
        <v>670</v>
      </c>
      <c r="R489" s="1840"/>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5" customHeight="1">
      <c r="B490" s="1836"/>
      <c r="C490" s="1837"/>
      <c r="D490" s="1837"/>
      <c r="E490" s="1837"/>
      <c r="F490" s="1837"/>
      <c r="G490" s="1837"/>
      <c r="H490" s="1837"/>
      <c r="I490" s="1837"/>
      <c r="J490" s="1837"/>
      <c r="K490" s="1837"/>
      <c r="L490" s="1837"/>
      <c r="M490" s="1837"/>
      <c r="N490" s="1837"/>
      <c r="O490" s="1837"/>
      <c r="P490" s="1838"/>
      <c r="Q490" s="1841"/>
      <c r="R490" s="1842"/>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4" t="s">
        <v>670</v>
      </c>
      <c r="R491" s="1845"/>
      <c r="S491" s="1845"/>
      <c r="T491" s="1845"/>
      <c r="U491" s="1845"/>
      <c r="V491" s="1845"/>
      <c r="W491" s="1845"/>
      <c r="X491" s="1845"/>
      <c r="Y491" s="1845"/>
      <c r="Z491" s="1845"/>
      <c r="AA491" s="1845"/>
      <c r="AB491" s="1845"/>
      <c r="AC491" s="1845"/>
      <c r="AD491" s="1845"/>
      <c r="AE491" s="1845"/>
      <c r="AF491" s="1845"/>
      <c r="AG491" s="1845"/>
      <c r="AH491" s="1845"/>
      <c r="AI491" s="1845"/>
      <c r="AJ491" s="1845"/>
      <c r="AK491" s="1846"/>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66">
        <v>0</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67"/>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66" t="s">
        <v>2691</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67"/>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66">
        <v>50</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67"/>
      <c r="AZ494" s="3"/>
      <c r="BA494" s="3"/>
      <c r="BB494" s="3"/>
      <c r="BC494" s="3"/>
    </row>
    <row r="495" spans="1:55" ht="12.95" customHeight="1">
      <c r="B495" s="121" t="s">
        <v>1670</v>
      </c>
      <c r="C495" s="5"/>
      <c r="D495" s="5"/>
      <c r="E495" s="5"/>
      <c r="F495" s="5"/>
      <c r="G495" s="5"/>
      <c r="H495" s="5"/>
      <c r="I495" s="5"/>
      <c r="J495" s="5"/>
      <c r="K495" s="5"/>
      <c r="L495" s="5"/>
      <c r="M495" s="1443">
        <v>50</v>
      </c>
      <c r="N495" s="1444"/>
      <c r="O495" s="1444"/>
      <c r="P495" s="1445"/>
      <c r="Q495" s="121" t="s">
        <v>1671</v>
      </c>
      <c r="R495" s="5"/>
      <c r="S495" s="5"/>
      <c r="T495" s="5"/>
      <c r="U495" s="5"/>
      <c r="V495" s="5"/>
      <c r="W495" s="5"/>
      <c r="X495" s="5"/>
      <c r="Y495" s="5"/>
      <c r="Z495" s="5"/>
      <c r="AA495" s="5"/>
      <c r="AB495" s="5"/>
      <c r="AC495" s="5"/>
      <c r="AD495" s="5"/>
      <c r="AE495" s="5"/>
      <c r="AF495" s="5"/>
      <c r="AG495" s="5"/>
      <c r="AH495" s="1443"/>
      <c r="AI495" s="1444"/>
      <c r="AJ495" s="1444"/>
      <c r="AK495" s="1445"/>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55" t="s">
        <v>401</v>
      </c>
      <c r="AD499" s="1756"/>
      <c r="AE499" s="1756"/>
      <c r="AF499" s="1756"/>
      <c r="AG499" s="1756"/>
      <c r="AH499" s="1756"/>
      <c r="AI499" s="1756"/>
      <c r="AJ499" s="1756"/>
      <c r="AK499" s="1763"/>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55" t="s">
        <v>402</v>
      </c>
      <c r="AD500" s="1756"/>
      <c r="AE500" s="1756"/>
      <c r="AF500" s="1756"/>
      <c r="AG500" s="50" t="s">
        <v>403</v>
      </c>
      <c r="AH500" s="1756" t="s">
        <v>404</v>
      </c>
      <c r="AI500" s="1756"/>
      <c r="AJ500" s="1756"/>
      <c r="AK500" s="1763"/>
      <c r="AZ500" s="3"/>
      <c r="BA500" s="3"/>
      <c r="BB500" s="3"/>
      <c r="BC500" s="3"/>
      <c r="BD500" s="3"/>
      <c r="BE500" s="3"/>
      <c r="BF500" s="3"/>
      <c r="BG500" s="3"/>
      <c r="BH500" s="3"/>
      <c r="BI500" s="3"/>
      <c r="BJ500" s="3"/>
      <c r="BK500" s="3"/>
      <c r="BL500" s="3"/>
      <c r="BM500" s="3"/>
      <c r="BN500" s="3"/>
    </row>
    <row r="501" spans="1:66" ht="12.95" customHeight="1">
      <c r="B501" s="1668"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733">
        <v>5</v>
      </c>
      <c r="AD501" s="1729"/>
      <c r="AE501" s="1729"/>
      <c r="AF501" s="1729"/>
      <c r="AG501" s="13" t="s">
        <v>403</v>
      </c>
      <c r="AH501" s="1402">
        <v>2025</v>
      </c>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69"/>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733">
        <v>7</v>
      </c>
      <c r="AD502" s="1729"/>
      <c r="AE502" s="1729"/>
      <c r="AF502" s="1729"/>
      <c r="AG502" s="38" t="s">
        <v>403</v>
      </c>
      <c r="AH502" s="1402">
        <v>2025</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68"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733" t="s">
        <v>592</v>
      </c>
      <c r="AD503" s="1729"/>
      <c r="AE503" s="1729"/>
      <c r="AF503" s="1729"/>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69"/>
      <c r="C504" s="1433"/>
      <c r="D504" s="1433"/>
      <c r="E504" s="1433"/>
      <c r="F504" s="1433"/>
      <c r="G504" s="1433"/>
      <c r="H504" s="1434"/>
      <c r="I504" t="s">
        <v>410</v>
      </c>
      <c r="AC504" s="1733" t="s">
        <v>592</v>
      </c>
      <c r="AD504" s="1729"/>
      <c r="AE504" s="1729"/>
      <c r="AF504" s="1729"/>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69"/>
      <c r="C505" s="1433"/>
      <c r="D505" s="1433"/>
      <c r="E505" s="1433"/>
      <c r="F505" s="1433"/>
      <c r="G505" s="1433"/>
      <c r="H505" s="1434"/>
      <c r="I505" t="s">
        <v>411</v>
      </c>
      <c r="AC505" s="1733" t="s">
        <v>592</v>
      </c>
      <c r="AD505" s="1729"/>
      <c r="AE505" s="1729"/>
      <c r="AF505" s="1729"/>
      <c r="AG505" s="13" t="s">
        <v>403</v>
      </c>
      <c r="AH505" s="1402"/>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69"/>
      <c r="C506" s="1433"/>
      <c r="D506" s="1433"/>
      <c r="E506" s="1433"/>
      <c r="F506" s="1433"/>
      <c r="G506" s="1433"/>
      <c r="H506" s="1434"/>
      <c r="I506" t="s">
        <v>412</v>
      </c>
      <c r="AC506" s="1733">
        <v>5</v>
      </c>
      <c r="AD506" s="1729"/>
      <c r="AE506" s="1729"/>
      <c r="AF506" s="1729"/>
      <c r="AG506" s="13" t="s">
        <v>403</v>
      </c>
      <c r="AH506" s="1402">
        <v>2026</v>
      </c>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69"/>
      <c r="C507" s="1433"/>
      <c r="D507" s="1433"/>
      <c r="E507" s="1433"/>
      <c r="F507" s="1433"/>
      <c r="G507" s="1433"/>
      <c r="H507" s="1434"/>
      <c r="I507" s="3" t="s">
        <v>413</v>
      </c>
      <c r="AC507" s="1337">
        <v>5</v>
      </c>
      <c r="AD507" s="1338"/>
      <c r="AE507" s="1338"/>
      <c r="AF507" s="1338"/>
      <c r="AG507" s="13" t="s">
        <v>403</v>
      </c>
      <c r="AH507" s="1402">
        <v>2026</v>
      </c>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69"/>
      <c r="C508" s="1433"/>
      <c r="D508" s="1433"/>
      <c r="E508" s="1433"/>
      <c r="F508" s="1433"/>
      <c r="G508" s="1433"/>
      <c r="H508" s="1434"/>
      <c r="I508" s="896" t="s">
        <v>170</v>
      </c>
      <c r="J508" s="48"/>
      <c r="K508" s="48"/>
      <c r="L508" s="1741" t="s">
        <v>334</v>
      </c>
      <c r="M508" s="1742"/>
      <c r="N508" s="1742"/>
      <c r="O508" s="1742"/>
      <c r="P508" s="1742"/>
      <c r="Q508" s="1742"/>
      <c r="R508" s="1742"/>
      <c r="S508" s="1742"/>
      <c r="T508" s="1742"/>
      <c r="U508" s="1742"/>
      <c r="V508" s="1742"/>
      <c r="W508" s="1742"/>
      <c r="X508" s="1742"/>
      <c r="Y508" s="1742"/>
      <c r="Z508" s="1742"/>
      <c r="AA508" s="1742"/>
      <c r="AB508" s="1847"/>
      <c r="AC508" s="1733" t="s">
        <v>592</v>
      </c>
      <c r="AD508" s="1729"/>
      <c r="AE508" s="1729"/>
      <c r="AF508" s="1729"/>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11" t="s">
        <v>1185</v>
      </c>
      <c r="AD509" s="1811"/>
      <c r="AE509" s="1811"/>
      <c r="AF509" s="1811"/>
      <c r="AG509" s="13"/>
      <c r="AH509" s="1335"/>
      <c r="AI509" s="1335"/>
      <c r="AJ509" s="1335"/>
      <c r="AK509" s="167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c r="AD510" s="1338"/>
      <c r="AE510" s="1338"/>
      <c r="AF510" s="1339"/>
      <c r="AG510" s="13"/>
      <c r="AH510" s="1335"/>
      <c r="AI510" s="1335"/>
      <c r="AJ510" s="1335"/>
      <c r="AK510" s="167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0">
        <v>0.5</v>
      </c>
      <c r="AD512" s="1831"/>
      <c r="AE512" s="1831"/>
      <c r="AF512" s="1832"/>
      <c r="AG512" s="38"/>
      <c r="AH512" s="1739"/>
      <c r="AI512" s="1739"/>
      <c r="AJ512" s="1739"/>
      <c r="AK512" s="1740"/>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761" t="s">
        <v>402</v>
      </c>
      <c r="AD513" s="1625"/>
      <c r="AE513" s="1625"/>
      <c r="AF513" s="1625"/>
      <c r="AG513" s="38" t="s">
        <v>403</v>
      </c>
      <c r="AH513" s="1625" t="s">
        <v>404</v>
      </c>
      <c r="AI513" s="1625"/>
      <c r="AJ513" s="1625"/>
      <c r="AK513" s="1757"/>
      <c r="AZ513" s="3"/>
      <c r="BA513" s="3"/>
      <c r="BB513" s="3"/>
      <c r="BC513" s="3"/>
      <c r="BD513" s="3"/>
      <c r="BE513" s="3"/>
      <c r="BF513" s="3"/>
      <c r="BG513" s="3"/>
      <c r="BH513" s="3"/>
      <c r="BI513" s="3"/>
      <c r="BJ513" s="3"/>
      <c r="BK513" s="3"/>
      <c r="BL513" s="3"/>
      <c r="BM513" s="3"/>
      <c r="BN513" s="3" t="s">
        <v>2105</v>
      </c>
    </row>
    <row r="514" spans="2:66" ht="12.95" customHeight="1">
      <c r="B514" s="1668"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733">
        <v>9</v>
      </c>
      <c r="AD514" s="1729"/>
      <c r="AE514" s="1729"/>
      <c r="AF514" s="1729"/>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2106</v>
      </c>
    </row>
    <row r="515" spans="2:66" ht="12.95" customHeight="1">
      <c r="B515" s="1669"/>
      <c r="C515" s="1433"/>
      <c r="D515" s="1433"/>
      <c r="E515" s="1433"/>
      <c r="F515" s="1433"/>
      <c r="G515" s="1433"/>
      <c r="H515" s="1434"/>
      <c r="I515" t="s">
        <v>416</v>
      </c>
      <c r="AC515" s="1733">
        <v>9</v>
      </c>
      <c r="AD515" s="1729"/>
      <c r="AE515" s="1729"/>
      <c r="AF515" s="1729"/>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2107</v>
      </c>
    </row>
    <row r="516" spans="2:66" ht="12.95" customHeight="1">
      <c r="B516" s="1669"/>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733">
        <v>5</v>
      </c>
      <c r="AD516" s="1729"/>
      <c r="AE516" s="1729"/>
      <c r="AF516" s="1729"/>
      <c r="AG516" s="38" t="s">
        <v>403</v>
      </c>
      <c r="AH516" s="1402">
        <v>2026</v>
      </c>
      <c r="AI516" s="1402"/>
      <c r="AJ516" s="1402"/>
      <c r="AK516" s="1403"/>
      <c r="AZ516" s="3"/>
      <c r="BA516" s="3"/>
      <c r="BB516" s="3"/>
      <c r="BC516" s="3"/>
      <c r="BD516" s="3"/>
      <c r="BE516" s="3"/>
      <c r="BF516" s="3"/>
      <c r="BG516" s="3"/>
      <c r="BH516" s="3"/>
      <c r="BI516" s="3"/>
      <c r="BJ516" s="3"/>
      <c r="BK516" s="3"/>
      <c r="BL516" s="3"/>
      <c r="BM516" s="3"/>
      <c r="BN516" s="3" t="s">
        <v>2108</v>
      </c>
    </row>
    <row r="517" spans="2:66" ht="12.95" customHeight="1">
      <c r="B517" s="1668"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7">
        <v>9</v>
      </c>
      <c r="AD517" s="1338"/>
      <c r="AE517" s="1338"/>
      <c r="AF517" s="1338"/>
      <c r="AG517" s="129" t="s">
        <v>403</v>
      </c>
      <c r="AH517" s="1402">
        <v>2025</v>
      </c>
      <c r="AI517" s="1402"/>
      <c r="AJ517" s="1402"/>
      <c r="AK517" s="1403"/>
      <c r="AZ517" s="3"/>
      <c r="BB517" s="3"/>
      <c r="BC517" s="3"/>
      <c r="BD517" s="3"/>
      <c r="BE517" s="3"/>
      <c r="BF517" s="3"/>
      <c r="BG517" s="3"/>
      <c r="BH517" s="3"/>
      <c r="BI517" s="3"/>
      <c r="BJ517" s="3"/>
      <c r="BK517" s="3"/>
      <c r="BL517" s="3"/>
      <c r="BM517" s="3"/>
      <c r="BN517" s="3" t="s">
        <v>2109</v>
      </c>
    </row>
    <row r="518" spans="2:66" ht="12.95" customHeight="1">
      <c r="B518" s="1669"/>
      <c r="C518" s="1433"/>
      <c r="D518" s="1433"/>
      <c r="E518" s="1433"/>
      <c r="F518" s="1433"/>
      <c r="G518" s="1433"/>
      <c r="H518" s="1434"/>
      <c r="I518" t="s">
        <v>416</v>
      </c>
      <c r="AC518" s="1733">
        <v>9</v>
      </c>
      <c r="AD518" s="1729"/>
      <c r="AE518" s="1729"/>
      <c r="AF518" s="1729"/>
      <c r="AG518" s="13" t="s">
        <v>403</v>
      </c>
      <c r="AH518" s="1402">
        <v>2025</v>
      </c>
      <c r="AI518" s="1402"/>
      <c r="AJ518" s="1402"/>
      <c r="AK518" s="1403"/>
      <c r="BB518" s="3"/>
      <c r="BC518" s="3"/>
      <c r="BD518" s="3"/>
      <c r="BE518" s="3"/>
      <c r="BF518" s="3"/>
      <c r="BG518" s="3"/>
      <c r="BH518" s="3"/>
      <c r="BI518" s="3"/>
      <c r="BJ518" s="3"/>
      <c r="BK518" s="3"/>
      <c r="BL518" s="3"/>
      <c r="BM518" s="3"/>
      <c r="BN518" s="3" t="s">
        <v>2110</v>
      </c>
    </row>
    <row r="519" spans="2:66" ht="12.95" customHeight="1">
      <c r="B519" s="1670"/>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733">
        <v>5</v>
      </c>
      <c r="AD519" s="1729"/>
      <c r="AE519" s="1729"/>
      <c r="AF519" s="1729"/>
      <c r="AG519" s="38" t="s">
        <v>403</v>
      </c>
      <c r="AH519" s="1402">
        <v>2028</v>
      </c>
      <c r="AI519" s="1402"/>
      <c r="AJ519" s="1402"/>
      <c r="AK519" s="1403"/>
      <c r="BB519" s="3"/>
      <c r="BC519" s="3"/>
      <c r="BD519" s="3"/>
      <c r="BE519" s="3"/>
      <c r="BF519" s="3"/>
      <c r="BG519" s="3"/>
      <c r="BH519" s="3"/>
      <c r="BI519" s="3"/>
      <c r="BJ519" s="3"/>
      <c r="BK519" s="3"/>
      <c r="BL519" s="3"/>
      <c r="BM519" s="3"/>
      <c r="BN519" s="3" t="s">
        <v>2111</v>
      </c>
    </row>
    <row r="520" spans="2:66" ht="12.95" customHeight="1">
      <c r="B520" s="1668" t="s">
        <v>419</v>
      </c>
      <c r="C520" s="1431"/>
      <c r="D520" s="1431"/>
      <c r="E520" s="1431"/>
      <c r="F520" s="1431"/>
      <c r="G520" s="1431"/>
      <c r="H520" s="1432"/>
      <c r="I520" s="41" t="s">
        <v>420</v>
      </c>
      <c r="J520" s="42"/>
      <c r="K520" s="42"/>
      <c r="L520" s="42"/>
      <c r="M520" s="42"/>
      <c r="N520" s="42"/>
      <c r="O520" s="1741" t="s">
        <v>334</v>
      </c>
      <c r="P520" s="1742"/>
      <c r="Q520" s="1742"/>
      <c r="R520" s="1742"/>
      <c r="S520" s="1742"/>
      <c r="T520" s="1742"/>
      <c r="U520" s="1742"/>
      <c r="V520" s="1742"/>
      <c r="W520" s="1742"/>
      <c r="X520" s="1742"/>
      <c r="Y520" s="1742"/>
      <c r="Z520" s="1742"/>
      <c r="AA520" s="1742"/>
      <c r="AB520" s="58"/>
      <c r="AC520" s="1337" t="s">
        <v>592</v>
      </c>
      <c r="AD520" s="1338"/>
      <c r="AE520" s="1338"/>
      <c r="AF520" s="1338"/>
      <c r="AG520" s="129" t="s">
        <v>403</v>
      </c>
      <c r="AH520" s="1402"/>
      <c r="AI520" s="1402"/>
      <c r="AJ520" s="1402"/>
      <c r="AK520" s="1403"/>
      <c r="AZ520" s="3"/>
      <c r="BB520" s="3"/>
      <c r="BC520" s="3"/>
      <c r="BD520" s="3"/>
      <c r="BE520" s="3"/>
      <c r="BF520" s="3"/>
      <c r="BG520" s="3"/>
      <c r="BH520" s="3"/>
      <c r="BI520" s="3"/>
      <c r="BJ520" s="3"/>
      <c r="BK520" s="3"/>
      <c r="BL520" s="3"/>
      <c r="BM520" s="3"/>
      <c r="BN520" s="3" t="s">
        <v>2112</v>
      </c>
    </row>
    <row r="521" spans="2:66" ht="12.95" customHeight="1">
      <c r="B521" s="1669"/>
      <c r="C521" s="1433"/>
      <c r="D521" s="1433"/>
      <c r="E521" s="1433"/>
      <c r="F521" s="1433"/>
      <c r="G521" s="1433"/>
      <c r="H521" s="1434"/>
      <c r="I521" s="114" t="s">
        <v>421</v>
      </c>
      <c r="AB521" s="65"/>
      <c r="AC521" s="1733" t="s">
        <v>592</v>
      </c>
      <c r="AD521" s="1729"/>
      <c r="AE521" s="1729"/>
      <c r="AF521" s="1729"/>
      <c r="AG521" s="13" t="s">
        <v>403</v>
      </c>
      <c r="AH521" s="1402"/>
      <c r="AI521" s="1402"/>
      <c r="AJ521" s="1402"/>
      <c r="AK521" s="1403"/>
      <c r="AZ521" s="3"/>
      <c r="BB521" s="3"/>
      <c r="BC521" s="3"/>
      <c r="BD521" s="3"/>
      <c r="BE521" s="3"/>
      <c r="BF521" s="3"/>
      <c r="BG521" s="3"/>
      <c r="BH521" s="3"/>
      <c r="BI521" s="3"/>
      <c r="BJ521" s="3"/>
      <c r="BK521" s="3"/>
      <c r="BL521" s="3"/>
      <c r="BM521" s="3"/>
      <c r="BN521" s="3" t="s">
        <v>2113</v>
      </c>
    </row>
    <row r="522" spans="2:66" ht="12.95" customHeight="1">
      <c r="B522" s="1669"/>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733" t="s">
        <v>592</v>
      </c>
      <c r="AD522" s="1729"/>
      <c r="AE522" s="1729"/>
      <c r="AF522" s="1729"/>
      <c r="AG522" s="38" t="s">
        <v>403</v>
      </c>
      <c r="AH522" s="1402"/>
      <c r="AI522" s="1402"/>
      <c r="AJ522" s="1402"/>
      <c r="AK522" s="1403"/>
      <c r="AZ522" s="3"/>
      <c r="BA522" s="3"/>
      <c r="BB522" s="3"/>
      <c r="BC522" s="3"/>
      <c r="BD522" s="3"/>
      <c r="BE522" s="3"/>
      <c r="BF522" s="3"/>
      <c r="BG522" s="3"/>
      <c r="BH522" s="3"/>
      <c r="BI522" s="3"/>
      <c r="BJ522" s="3"/>
      <c r="BK522" s="3"/>
      <c r="BL522" s="3"/>
      <c r="BM522" s="3"/>
      <c r="BN522" s="3" t="s">
        <v>2114</v>
      </c>
    </row>
    <row r="523" spans="2:66" ht="12.95" customHeight="1">
      <c r="B523" s="1669"/>
      <c r="C523" s="1433"/>
      <c r="D523" s="1433"/>
      <c r="E523" s="1433"/>
      <c r="F523" s="1433"/>
      <c r="G523" s="1433"/>
      <c r="H523" s="1434"/>
      <c r="I523" s="42" t="s">
        <v>423</v>
      </c>
      <c r="J523" s="42"/>
      <c r="K523" s="42"/>
      <c r="L523" s="42"/>
      <c r="M523" s="42"/>
      <c r="N523" s="42"/>
      <c r="O523" s="1741" t="s">
        <v>334</v>
      </c>
      <c r="P523" s="1742"/>
      <c r="Q523" s="1742"/>
      <c r="R523" s="1742"/>
      <c r="S523" s="1742"/>
      <c r="T523" s="1742"/>
      <c r="U523" s="1742"/>
      <c r="V523" s="1742"/>
      <c r="W523" s="1742"/>
      <c r="X523" s="1742"/>
      <c r="Y523" s="1742"/>
      <c r="Z523" s="1742"/>
      <c r="AA523" s="1742"/>
      <c r="AC523" s="1733" t="s">
        <v>592</v>
      </c>
      <c r="AD523" s="1729"/>
      <c r="AE523" s="1729"/>
      <c r="AF523" s="1729"/>
      <c r="AG523" s="13" t="s">
        <v>403</v>
      </c>
      <c r="AH523" s="1402"/>
      <c r="AI523" s="1402"/>
      <c r="AJ523" s="1402"/>
      <c r="AK523" s="1403"/>
      <c r="AZ523" s="3"/>
      <c r="BA523" s="3"/>
      <c r="BB523" s="3"/>
      <c r="BC523" s="3"/>
      <c r="BD523" s="3"/>
      <c r="BE523" s="3"/>
      <c r="BF523" s="3"/>
      <c r="BG523" s="3"/>
      <c r="BH523" s="3"/>
      <c r="BI523" s="3"/>
      <c r="BJ523" s="3"/>
      <c r="BK523" s="3"/>
      <c r="BL523" s="3"/>
      <c r="BM523" s="3"/>
      <c r="BN523" s="3" t="s">
        <v>2115</v>
      </c>
    </row>
    <row r="524" spans="2:66" ht="12.95" customHeight="1">
      <c r="B524" s="1669"/>
      <c r="C524" s="1433"/>
      <c r="D524" s="1433"/>
      <c r="E524" s="1433"/>
      <c r="F524" s="1433"/>
      <c r="G524" s="1433"/>
      <c r="H524" s="1434"/>
      <c r="I524" t="s">
        <v>421</v>
      </c>
      <c r="AC524" s="1733" t="s">
        <v>592</v>
      </c>
      <c r="AD524" s="1729"/>
      <c r="AE524" s="1729"/>
      <c r="AF524" s="1729"/>
      <c r="AG524" s="13" t="s">
        <v>403</v>
      </c>
      <c r="AH524" s="1402"/>
      <c r="AI524" s="1402"/>
      <c r="AJ524" s="1402"/>
      <c r="AK524" s="1403"/>
      <c r="AZ524" s="3"/>
      <c r="BA524" s="3"/>
      <c r="BB524" s="3"/>
      <c r="BC524" s="3"/>
      <c r="BD524" s="3"/>
      <c r="BE524" s="3"/>
      <c r="BF524" s="3"/>
      <c r="BG524" s="3"/>
      <c r="BH524" s="3"/>
      <c r="BI524" s="3"/>
      <c r="BJ524" s="3"/>
      <c r="BK524" s="3"/>
      <c r="BL524" s="3"/>
      <c r="BM524" s="3"/>
      <c r="BN524" s="3" t="s">
        <v>2116</v>
      </c>
    </row>
    <row r="525" spans="2:66" ht="12.95" customHeight="1">
      <c r="B525" s="1669"/>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733" t="s">
        <v>592</v>
      </c>
      <c r="AD525" s="1729"/>
      <c r="AE525" s="1729"/>
      <c r="AF525" s="1729"/>
      <c r="AG525" s="38" t="s">
        <v>403</v>
      </c>
      <c r="AH525" s="1402"/>
      <c r="AI525" s="1402"/>
      <c r="AJ525" s="1402"/>
      <c r="AK525" s="1403"/>
      <c r="AZ525" s="3"/>
      <c r="BA525" s="3"/>
      <c r="BB525" s="3"/>
      <c r="BC525" s="3"/>
      <c r="BD525" s="3"/>
      <c r="BE525" s="3"/>
      <c r="BF525" s="3"/>
      <c r="BG525" s="3"/>
      <c r="BH525" s="3"/>
      <c r="BI525" s="3"/>
      <c r="BJ525" s="3"/>
      <c r="BK525" s="3"/>
      <c r="BL525" s="3"/>
      <c r="BM525" s="3"/>
      <c r="BN525" s="3" t="s">
        <v>2117</v>
      </c>
    </row>
    <row r="526" spans="2:66" ht="12.95" customHeight="1">
      <c r="B526" s="1669"/>
      <c r="C526" s="1433"/>
      <c r="D526" s="1433"/>
      <c r="E526" s="1433"/>
      <c r="F526" s="1433"/>
      <c r="G526" s="1433"/>
      <c r="H526" s="1434"/>
      <c r="I526" s="42" t="s">
        <v>423</v>
      </c>
      <c r="J526" s="42"/>
      <c r="K526" s="42"/>
      <c r="L526" s="42"/>
      <c r="M526" s="42"/>
      <c r="N526" s="42"/>
      <c r="O526" s="1741" t="s">
        <v>334</v>
      </c>
      <c r="P526" s="1742"/>
      <c r="Q526" s="1742"/>
      <c r="R526" s="1742"/>
      <c r="S526" s="1742"/>
      <c r="T526" s="1742"/>
      <c r="U526" s="1742"/>
      <c r="V526" s="1742"/>
      <c r="W526" s="1742"/>
      <c r="X526" s="1742"/>
      <c r="Y526" s="1742"/>
      <c r="Z526" s="1742"/>
      <c r="AA526" s="1742"/>
      <c r="AC526" s="1733" t="s">
        <v>592</v>
      </c>
      <c r="AD526" s="1729"/>
      <c r="AE526" s="1729"/>
      <c r="AF526" s="1729"/>
      <c r="AG526" s="13" t="s">
        <v>403</v>
      </c>
      <c r="AH526" s="1402"/>
      <c r="AI526" s="1402"/>
      <c r="AJ526" s="1402"/>
      <c r="AK526" s="1403"/>
      <c r="AZ526" s="3"/>
      <c r="BA526" s="3"/>
      <c r="BB526" s="3"/>
      <c r="BC526" s="3"/>
      <c r="BD526" s="3"/>
      <c r="BE526" s="3"/>
      <c r="BF526" s="3"/>
      <c r="BG526" s="3"/>
      <c r="BH526" s="3"/>
      <c r="BI526" s="3"/>
      <c r="BJ526" s="3"/>
      <c r="BK526" s="3"/>
      <c r="BL526" s="3"/>
      <c r="BM526" s="3"/>
      <c r="BN526" s="3" t="s">
        <v>2118</v>
      </c>
    </row>
    <row r="527" spans="2:66" ht="12.95" customHeight="1">
      <c r="B527" s="1669"/>
      <c r="C527" s="1433"/>
      <c r="D527" s="1433"/>
      <c r="E527" s="1433"/>
      <c r="F527" s="1433"/>
      <c r="G527" s="1433"/>
      <c r="H527" s="1434"/>
      <c r="I527" t="s">
        <v>421</v>
      </c>
      <c r="AC527" s="1733" t="s">
        <v>592</v>
      </c>
      <c r="AD527" s="1729"/>
      <c r="AE527" s="1729"/>
      <c r="AF527" s="1729"/>
      <c r="AG527" s="13" t="s">
        <v>403</v>
      </c>
      <c r="AH527" s="1402"/>
      <c r="AI527" s="1402"/>
      <c r="AJ527" s="1402"/>
      <c r="AK527" s="1403"/>
      <c r="AZ527" s="3"/>
      <c r="BA527" s="3"/>
      <c r="BB527" s="3"/>
      <c r="BC527" s="3"/>
      <c r="BD527" s="3"/>
      <c r="BE527" s="3"/>
      <c r="BF527" s="3"/>
      <c r="BG527" s="3"/>
      <c r="BH527" s="3"/>
      <c r="BI527" s="3"/>
      <c r="BJ527" s="3"/>
      <c r="BK527" s="3"/>
      <c r="BL527" s="3"/>
      <c r="BM527" s="3"/>
      <c r="BN527" s="3" t="s">
        <v>2119</v>
      </c>
    </row>
    <row r="528" spans="2:66" ht="12.95" customHeight="1">
      <c r="B528" s="1669"/>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733" t="s">
        <v>592</v>
      </c>
      <c r="AD528" s="1729"/>
      <c r="AE528" s="1729"/>
      <c r="AF528" s="1729"/>
      <c r="AG528" s="38" t="s">
        <v>403</v>
      </c>
      <c r="AH528" s="1402"/>
      <c r="AI528" s="1402"/>
      <c r="AJ528" s="1402"/>
      <c r="AK528" s="1403"/>
      <c r="AZ528" s="3"/>
      <c r="BA528" s="3"/>
      <c r="BB528" s="3"/>
      <c r="BC528" s="3"/>
      <c r="BD528" s="3"/>
      <c r="BE528" s="3"/>
      <c r="BF528" s="3"/>
      <c r="BG528" s="3"/>
      <c r="BH528" s="3"/>
      <c r="BI528" s="3"/>
      <c r="BJ528" s="3"/>
      <c r="BK528" s="3"/>
      <c r="BL528" s="3"/>
      <c r="BM528" s="3"/>
      <c r="BN528" s="3" t="s">
        <v>2120</v>
      </c>
    </row>
    <row r="529" spans="1:66" ht="12.95" customHeight="1">
      <c r="B529" s="1669"/>
      <c r="C529" s="1433"/>
      <c r="D529" s="1433"/>
      <c r="E529" s="1433"/>
      <c r="F529" s="1433"/>
      <c r="G529" s="1433"/>
      <c r="H529" s="1434"/>
      <c r="I529" s="42" t="s">
        <v>423</v>
      </c>
      <c r="J529" s="42"/>
      <c r="K529" s="42"/>
      <c r="L529" s="42"/>
      <c r="M529" s="42"/>
      <c r="N529" s="42"/>
      <c r="O529" s="1741" t="s">
        <v>334</v>
      </c>
      <c r="P529" s="1742"/>
      <c r="Q529" s="1742"/>
      <c r="R529" s="1742"/>
      <c r="S529" s="1742"/>
      <c r="T529" s="1742"/>
      <c r="U529" s="1742"/>
      <c r="V529" s="1742"/>
      <c r="W529" s="1742"/>
      <c r="X529" s="1742"/>
      <c r="Y529" s="1742"/>
      <c r="Z529" s="1742"/>
      <c r="AA529" s="1742"/>
      <c r="AC529" s="1733" t="s">
        <v>592</v>
      </c>
      <c r="AD529" s="1729"/>
      <c r="AE529" s="1729"/>
      <c r="AF529" s="1729"/>
      <c r="AG529" s="13" t="s">
        <v>403</v>
      </c>
      <c r="AH529" s="1402"/>
      <c r="AI529" s="1402"/>
      <c r="AJ529" s="1402"/>
      <c r="AK529" s="1403"/>
      <c r="AZ529" s="3"/>
      <c r="BA529" s="3"/>
      <c r="BB529" s="3"/>
      <c r="BC529" s="3"/>
      <c r="BD529" s="3"/>
      <c r="BE529" s="3"/>
      <c r="BF529" s="3"/>
      <c r="BG529" s="3"/>
      <c r="BH529" s="3"/>
      <c r="BI529" s="3"/>
      <c r="BJ529" s="3"/>
      <c r="BK529" s="3"/>
      <c r="BL529" s="3"/>
      <c r="BM529" s="3"/>
      <c r="BN529" s="3" t="s">
        <v>2121</v>
      </c>
    </row>
    <row r="530" spans="1:66" ht="12.95" customHeight="1">
      <c r="B530" s="1669"/>
      <c r="C530" s="1433"/>
      <c r="D530" s="1433"/>
      <c r="E530" s="1433"/>
      <c r="F530" s="1433"/>
      <c r="G530" s="1433"/>
      <c r="H530" s="1434"/>
      <c r="I530" t="s">
        <v>421</v>
      </c>
      <c r="AC530" s="1733" t="s">
        <v>592</v>
      </c>
      <c r="AD530" s="1729"/>
      <c r="AE530" s="1729"/>
      <c r="AF530" s="1729"/>
      <c r="AG530" s="13" t="s">
        <v>403</v>
      </c>
      <c r="AH530" s="1402"/>
      <c r="AI530" s="1402"/>
      <c r="AJ530" s="1402"/>
      <c r="AK530" s="1403"/>
      <c r="AZ530" s="3"/>
      <c r="BA530" s="3"/>
      <c r="BB530" s="3"/>
      <c r="BC530" s="3"/>
      <c r="BD530" s="3"/>
      <c r="BE530" s="3"/>
      <c r="BF530" s="3"/>
      <c r="BG530" s="3"/>
      <c r="BH530" s="3"/>
      <c r="BI530" s="3"/>
      <c r="BJ530" s="3"/>
      <c r="BK530" s="3"/>
      <c r="BL530" s="3"/>
      <c r="BM530" s="3"/>
      <c r="BN530" s="3" t="s">
        <v>2122</v>
      </c>
    </row>
    <row r="531" spans="1:66" ht="12.95" customHeight="1">
      <c r="B531" s="1669"/>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733" t="s">
        <v>592</v>
      </c>
      <c r="AD531" s="1729"/>
      <c r="AE531" s="1729"/>
      <c r="AF531" s="1729"/>
      <c r="AG531" s="38" t="s">
        <v>403</v>
      </c>
      <c r="AH531" s="1402"/>
      <c r="AI531" s="1402"/>
      <c r="AJ531" s="1402"/>
      <c r="AK531" s="1403"/>
      <c r="AZ531" s="3"/>
      <c r="BA531" s="3"/>
      <c r="BB531" s="3"/>
      <c r="BC531" s="3"/>
      <c r="BD531" s="3"/>
      <c r="BE531" s="3"/>
      <c r="BF531" s="3"/>
      <c r="BG531" s="3"/>
      <c r="BH531" s="3"/>
      <c r="BI531" s="3"/>
      <c r="BJ531" s="3"/>
      <c r="BK531" s="3"/>
      <c r="BL531" s="3"/>
      <c r="BM531" s="3"/>
      <c r="BN531" s="3" t="s">
        <v>2123</v>
      </c>
    </row>
    <row r="532" spans="1:66" ht="12.95" customHeight="1">
      <c r="B532" s="1669"/>
      <c r="C532" s="1433"/>
      <c r="D532" s="1433"/>
      <c r="E532" s="1433"/>
      <c r="F532" s="1433"/>
      <c r="G532" s="1433"/>
      <c r="H532" s="1434"/>
      <c r="I532" s="42" t="s">
        <v>423</v>
      </c>
      <c r="J532" s="42"/>
      <c r="K532" s="42"/>
      <c r="L532" s="42"/>
      <c r="M532" s="42"/>
      <c r="N532" s="42"/>
      <c r="O532" s="1741" t="s">
        <v>334</v>
      </c>
      <c r="P532" s="1742"/>
      <c r="Q532" s="1742"/>
      <c r="R532" s="1742"/>
      <c r="S532" s="1742"/>
      <c r="T532" s="1742"/>
      <c r="U532" s="1742"/>
      <c r="V532" s="1742"/>
      <c r="W532" s="1742"/>
      <c r="X532" s="1742"/>
      <c r="Y532" s="1742"/>
      <c r="Z532" s="1742"/>
      <c r="AA532" s="1742"/>
      <c r="AC532" s="1733" t="s">
        <v>592</v>
      </c>
      <c r="AD532" s="1729"/>
      <c r="AE532" s="1729"/>
      <c r="AF532" s="1729"/>
      <c r="AG532" s="13" t="s">
        <v>403</v>
      </c>
      <c r="AH532" s="1402"/>
      <c r="AI532" s="1402"/>
      <c r="AJ532" s="1402"/>
      <c r="AK532" s="1403"/>
      <c r="AZ532" s="3"/>
      <c r="BA532" s="3"/>
      <c r="BB532" s="3"/>
      <c r="BC532" s="3"/>
      <c r="BD532" s="3"/>
      <c r="BE532" s="3"/>
      <c r="BF532" s="3"/>
      <c r="BG532" s="3"/>
      <c r="BH532" s="3"/>
      <c r="BI532" s="3"/>
      <c r="BJ532" s="3"/>
      <c r="BK532" s="3"/>
      <c r="BL532" s="3"/>
      <c r="BM532" s="3"/>
      <c r="BN532" s="3" t="s">
        <v>2124</v>
      </c>
    </row>
    <row r="533" spans="1:66" ht="12.95" customHeight="1">
      <c r="B533" s="1669"/>
      <c r="C533" s="1433"/>
      <c r="D533" s="1433"/>
      <c r="E533" s="1433"/>
      <c r="F533" s="1433"/>
      <c r="G533" s="1433"/>
      <c r="H533" s="1434"/>
      <c r="I533" t="s">
        <v>421</v>
      </c>
      <c r="AC533" s="1733" t="s">
        <v>592</v>
      </c>
      <c r="AD533" s="1729"/>
      <c r="AE533" s="1729"/>
      <c r="AF533" s="1729"/>
      <c r="AG533" s="38" t="s">
        <v>403</v>
      </c>
      <c r="AH533" s="1402"/>
      <c r="AI533" s="1402"/>
      <c r="AJ533" s="1402"/>
      <c r="AK533" s="1403"/>
      <c r="AZ533" s="3"/>
      <c r="BA533" s="3"/>
      <c r="BB533" s="3"/>
      <c r="BC533" s="3"/>
      <c r="BD533" s="3"/>
      <c r="BE533" s="3"/>
      <c r="BF533" s="3"/>
      <c r="BG533" s="3"/>
      <c r="BH533" s="3"/>
      <c r="BI533" s="3"/>
      <c r="BJ533" s="3"/>
      <c r="BK533" s="3"/>
      <c r="BL533" s="3"/>
      <c r="BM533" s="3"/>
      <c r="BN533" s="3" t="s">
        <v>2125</v>
      </c>
    </row>
    <row r="534" spans="1:66" ht="12.95" customHeight="1">
      <c r="B534" s="1669"/>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733" t="s">
        <v>592</v>
      </c>
      <c r="AD534" s="1729"/>
      <c r="AE534" s="1729"/>
      <c r="AF534" s="1729"/>
      <c r="AG534" s="13" t="s">
        <v>403</v>
      </c>
      <c r="AH534" s="1402"/>
      <c r="AI534" s="1402"/>
      <c r="AJ534" s="1402"/>
      <c r="AK534" s="1403"/>
      <c r="AZ534" s="3"/>
      <c r="BA534" s="3"/>
      <c r="BB534" s="3"/>
      <c r="BC534" s="3"/>
      <c r="BD534" s="3"/>
      <c r="BE534" s="3"/>
      <c r="BF534" s="3"/>
      <c r="BG534" s="3"/>
      <c r="BH534" s="3"/>
      <c r="BI534" s="3"/>
      <c r="BJ534" s="3"/>
      <c r="BK534" s="3"/>
      <c r="BL534" s="3"/>
      <c r="BM534" s="3"/>
      <c r="BN534" s="3" t="s">
        <v>2126</v>
      </c>
    </row>
    <row r="535" spans="1:66" ht="12.95" customHeight="1">
      <c r="B535" s="1669"/>
      <c r="C535" s="1433"/>
      <c r="D535" s="1433"/>
      <c r="E535" s="1433"/>
      <c r="F535" s="1433"/>
      <c r="G535" s="1433"/>
      <c r="H535" s="1434"/>
      <c r="I535" s="42" t="s">
        <v>423</v>
      </c>
      <c r="J535" s="42"/>
      <c r="K535" s="42"/>
      <c r="L535" s="42"/>
      <c r="M535" s="42"/>
      <c r="N535" s="42"/>
      <c r="O535" s="1741" t="s">
        <v>334</v>
      </c>
      <c r="P535" s="1742"/>
      <c r="Q535" s="1742"/>
      <c r="R535" s="1742"/>
      <c r="S535" s="1742"/>
      <c r="T535" s="1742"/>
      <c r="U535" s="1742"/>
      <c r="V535" s="1742"/>
      <c r="W535" s="1742"/>
      <c r="X535" s="1742"/>
      <c r="Y535" s="1742"/>
      <c r="Z535" s="1742"/>
      <c r="AA535" s="1742"/>
      <c r="AC535" s="1733" t="s">
        <v>592</v>
      </c>
      <c r="AD535" s="1729"/>
      <c r="AE535" s="1729"/>
      <c r="AF535" s="1729"/>
      <c r="AG535" s="38" t="s">
        <v>403</v>
      </c>
      <c r="AH535" s="1402"/>
      <c r="AI535" s="1402"/>
      <c r="AJ535" s="1402"/>
      <c r="AK535" s="1403"/>
      <c r="AZ535" s="3"/>
      <c r="BA535" s="3"/>
      <c r="BB535" s="3"/>
      <c r="BC535" s="3"/>
      <c r="BD535" s="3"/>
      <c r="BE535" s="3"/>
      <c r="BF535" s="3"/>
      <c r="BG535" s="3"/>
      <c r="BH535" s="3"/>
      <c r="BI535" s="3"/>
      <c r="BJ535" s="3"/>
      <c r="BK535" s="3"/>
      <c r="BL535" s="3"/>
      <c r="BM535" s="3"/>
      <c r="BN535" s="3" t="s">
        <v>2127</v>
      </c>
    </row>
    <row r="536" spans="1:66" ht="12.95" customHeight="1">
      <c r="B536" s="1669"/>
      <c r="C536" s="1433"/>
      <c r="D536" s="1433"/>
      <c r="E536" s="1433"/>
      <c r="F536" s="1433"/>
      <c r="G536" s="1433"/>
      <c r="H536" s="1434"/>
      <c r="I536" t="s">
        <v>421</v>
      </c>
      <c r="AC536" s="1733" t="s">
        <v>592</v>
      </c>
      <c r="AD536" s="1729"/>
      <c r="AE536" s="1729"/>
      <c r="AF536" s="1729"/>
      <c r="AG536" s="13" t="s">
        <v>403</v>
      </c>
      <c r="AH536" s="1402"/>
      <c r="AI536" s="1402"/>
      <c r="AJ536" s="1402"/>
      <c r="AK536" s="1403"/>
      <c r="AZ536" s="3"/>
      <c r="BA536" s="3"/>
      <c r="BB536" s="3"/>
      <c r="BC536" s="3"/>
      <c r="BD536" s="3"/>
      <c r="BE536" s="3"/>
      <c r="BF536" s="3"/>
      <c r="BG536" s="3"/>
      <c r="BH536" s="3"/>
      <c r="BI536" s="3"/>
      <c r="BJ536" s="3"/>
      <c r="BK536" s="3"/>
      <c r="BL536" s="3"/>
      <c r="BM536" s="3"/>
      <c r="BN536" s="3" t="s">
        <v>2128</v>
      </c>
    </row>
    <row r="537" spans="1:66" ht="12.95" customHeight="1">
      <c r="B537" s="1669"/>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733" t="s">
        <v>592</v>
      </c>
      <c r="AD537" s="1729"/>
      <c r="AE537" s="1729"/>
      <c r="AF537" s="1729"/>
      <c r="AG537" s="38" t="s">
        <v>403</v>
      </c>
      <c r="AH537" s="1402"/>
      <c r="AI537" s="1402"/>
      <c r="AJ537" s="1402"/>
      <c r="AK537" s="1403"/>
      <c r="AZ537" s="3"/>
      <c r="BA537" s="3"/>
      <c r="BB537" s="3"/>
      <c r="BC537" s="3"/>
      <c r="BD537" s="3"/>
      <c r="BE537" s="3"/>
      <c r="BF537" s="3"/>
      <c r="BG537" s="3"/>
      <c r="BH537" s="3"/>
      <c r="BI537" s="3"/>
      <c r="BJ537" s="3"/>
      <c r="BK537" s="3"/>
      <c r="BL537" s="3"/>
      <c r="BM537" s="3"/>
      <c r="BN537" s="3" t="s">
        <v>2129</v>
      </c>
    </row>
    <row r="538" spans="1:66" ht="12.95" customHeight="1">
      <c r="B538" s="1669"/>
      <c r="C538" s="1433"/>
      <c r="D538" s="1433"/>
      <c r="E538" s="1433"/>
      <c r="F538" s="1433"/>
      <c r="G538" s="1433"/>
      <c r="H538" s="1434"/>
      <c r="I538" s="42" t="s">
        <v>563</v>
      </c>
      <c r="J538" s="42"/>
      <c r="K538" s="42"/>
      <c r="L538" s="42"/>
      <c r="M538" s="42"/>
      <c r="N538" s="42"/>
      <c r="O538" s="42"/>
      <c r="P538" s="42"/>
      <c r="Q538" s="42"/>
      <c r="R538" s="42"/>
      <c r="S538" s="42"/>
      <c r="T538" s="42"/>
      <c r="U538" s="42"/>
      <c r="V538" s="42"/>
      <c r="W538" s="42"/>
      <c r="AC538" s="1733">
        <v>5</v>
      </c>
      <c r="AD538" s="1729"/>
      <c r="AE538" s="1729"/>
      <c r="AF538" s="1729"/>
      <c r="AG538" s="38" t="s">
        <v>403</v>
      </c>
      <c r="AH538" s="1402">
        <v>2026</v>
      </c>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69"/>
      <c r="C539" s="1433"/>
      <c r="D539" s="1433"/>
      <c r="E539" s="1433"/>
      <c r="F539" s="1433"/>
      <c r="G539" s="1433"/>
      <c r="H539" s="1434"/>
      <c r="I539" t="s">
        <v>564</v>
      </c>
      <c r="AC539" s="1733">
        <v>5</v>
      </c>
      <c r="AD539" s="1729"/>
      <c r="AE539" s="1729"/>
      <c r="AF539" s="1729"/>
      <c r="AG539" s="13" t="s">
        <v>403</v>
      </c>
      <c r="AH539" s="1402">
        <v>2026</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69"/>
      <c r="C540" s="1433"/>
      <c r="D540" s="1433"/>
      <c r="E540" s="1433"/>
      <c r="F540" s="1433"/>
      <c r="G540" s="1433"/>
      <c r="H540" s="1434"/>
      <c r="I540" t="s">
        <v>565</v>
      </c>
      <c r="AC540" s="1733">
        <v>5</v>
      </c>
      <c r="AD540" s="1729"/>
      <c r="AE540" s="1729"/>
      <c r="AF540" s="1729"/>
      <c r="AG540" s="38" t="s">
        <v>403</v>
      </c>
      <c r="AH540" s="1402">
        <v>2028</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69"/>
      <c r="C541" s="1433"/>
      <c r="D541" s="1433"/>
      <c r="E541" s="1433"/>
      <c r="F541" s="1433"/>
      <c r="G541" s="1433"/>
      <c r="H541" s="1434"/>
      <c r="I541" t="s">
        <v>566</v>
      </c>
      <c r="AC541" s="1733">
        <v>11</v>
      </c>
      <c r="AD541" s="1729"/>
      <c r="AE541" s="1729"/>
      <c r="AF541" s="1729"/>
      <c r="AG541" s="38" t="s">
        <v>403</v>
      </c>
      <c r="AH541" s="1402">
        <v>2028</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0"/>
      <c r="C542" s="1435"/>
      <c r="D542" s="1435"/>
      <c r="E542" s="1435"/>
      <c r="F542" s="1435"/>
      <c r="G542" s="1435"/>
      <c r="H542" s="1436"/>
      <c r="I542" s="48" t="s">
        <v>452</v>
      </c>
      <c r="J542" s="48"/>
      <c r="K542" s="48"/>
      <c r="L542" s="48"/>
      <c r="M542" s="48"/>
      <c r="N542" s="48"/>
      <c r="O542" s="48"/>
      <c r="P542" s="48"/>
      <c r="Q542" s="48"/>
      <c r="R542" s="48"/>
      <c r="S542" s="48"/>
      <c r="T542" s="48"/>
      <c r="U542" s="48"/>
      <c r="V542" s="48"/>
      <c r="W542" s="48"/>
      <c r="X542" s="48"/>
      <c r="Y542" s="48"/>
      <c r="Z542" s="48"/>
      <c r="AA542" s="48"/>
      <c r="AB542" s="48"/>
      <c r="AC542" s="1733">
        <v>9</v>
      </c>
      <c r="AD542" s="1729"/>
      <c r="AE542" s="1729"/>
      <c r="AF542" s="1729"/>
      <c r="AG542" s="38" t="s">
        <v>403</v>
      </c>
      <c r="AH542" s="1402">
        <v>2028</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No</v>
      </c>
    </row>
    <row r="551" spans="1:61" ht="12.95" customHeight="1">
      <c r="B551" s="1668" t="s">
        <v>2103</v>
      </c>
      <c r="C551" s="1431"/>
      <c r="D551" s="1431"/>
      <c r="E551" s="1431"/>
      <c r="F551" s="1431"/>
      <c r="G551" s="1431"/>
      <c r="H551" s="1431"/>
      <c r="I551" s="1431"/>
      <c r="J551" s="1431"/>
      <c r="K551" s="1431"/>
      <c r="L551" s="1432"/>
      <c r="M551" s="1668" t="s">
        <v>2104</v>
      </c>
      <c r="N551" s="1431"/>
      <c r="O551" s="1431"/>
      <c r="P551" s="1432"/>
      <c r="Q551" s="1668" t="s">
        <v>2130</v>
      </c>
      <c r="R551" s="1431"/>
      <c r="S551" s="1432"/>
      <c r="T551" s="1668" t="s">
        <v>2131</v>
      </c>
      <c r="U551" s="1431"/>
      <c r="V551" s="1432"/>
      <c r="W551" s="1668" t="s">
        <v>454</v>
      </c>
      <c r="X551" s="1431"/>
      <c r="Y551" s="1432"/>
      <c r="Z551" s="1668" t="s">
        <v>1852</v>
      </c>
      <c r="AA551" s="1431"/>
      <c r="AB551" s="1431"/>
      <c r="AC551" s="1431"/>
      <c r="AD551" s="1432"/>
      <c r="AE551" s="1668" t="s">
        <v>1677</v>
      </c>
      <c r="AF551" s="1431"/>
      <c r="AG551" s="1431"/>
      <c r="AH551" s="1432"/>
      <c r="AI551" s="1668" t="s">
        <v>1678</v>
      </c>
      <c r="AJ551" s="1431"/>
      <c r="AK551" s="1431"/>
      <c r="AL551" s="1432"/>
      <c r="AM551" s="1668" t="s">
        <v>455</v>
      </c>
      <c r="AN551" s="1431"/>
      <c r="AO551" s="1431"/>
      <c r="AP551" s="1431"/>
      <c r="AQ551" s="1431"/>
      <c r="AR551" s="1431"/>
      <c r="AS551" s="1432"/>
      <c r="BB551" s="3"/>
      <c r="BC551" s="3"/>
      <c r="BD551" s="3"/>
      <c r="BE551" s="3"/>
      <c r="BF551" s="3"/>
      <c r="BG551" s="3"/>
      <c r="BH551" s="3" t="s">
        <v>582</v>
      </c>
      <c r="BI551" s="3" t="str">
        <f>AG657</f>
        <v>No</v>
      </c>
    </row>
    <row r="552" spans="1:61" ht="12.95" customHeight="1">
      <c r="B552" s="1669"/>
      <c r="C552" s="1433"/>
      <c r="D552" s="1433"/>
      <c r="E552" s="1433"/>
      <c r="F552" s="1433"/>
      <c r="G552" s="1433"/>
      <c r="H552" s="1433"/>
      <c r="I552" s="1433"/>
      <c r="J552" s="1433"/>
      <c r="K552" s="1433"/>
      <c r="L552" s="1434"/>
      <c r="M552" s="1669"/>
      <c r="N552" s="1433"/>
      <c r="O552" s="1433"/>
      <c r="P552" s="1434"/>
      <c r="Q552" s="1669"/>
      <c r="R552" s="1433"/>
      <c r="S552" s="1434"/>
      <c r="T552" s="1669"/>
      <c r="U552" s="1433"/>
      <c r="V552" s="1434"/>
      <c r="W552" s="1669"/>
      <c r="X552" s="1433"/>
      <c r="Y552" s="1434"/>
      <c r="Z552" s="1669"/>
      <c r="AA552" s="1433"/>
      <c r="AB552" s="1433"/>
      <c r="AC552" s="1433"/>
      <c r="AD552" s="1434"/>
      <c r="AE552" s="1669"/>
      <c r="AF552" s="1433"/>
      <c r="AG552" s="1433"/>
      <c r="AH552" s="1434"/>
      <c r="AI552" s="1669"/>
      <c r="AJ552" s="1433"/>
      <c r="AK552" s="1433"/>
      <c r="AL552" s="1434"/>
      <c r="AM552" s="1669"/>
      <c r="AN552" s="1433"/>
      <c r="AO552" s="1433"/>
      <c r="AP552" s="1433"/>
      <c r="AQ552" s="1433"/>
      <c r="AR552" s="1433"/>
      <c r="AS552" s="1434"/>
      <c r="AU552" s="1147"/>
      <c r="BB552" s="3"/>
      <c r="BC552" s="3"/>
      <c r="BD552" s="3"/>
      <c r="BE552" s="3"/>
      <c r="BF552" s="3"/>
      <c r="BG552" s="3"/>
      <c r="BH552" s="3"/>
      <c r="BI552" s="3"/>
    </row>
    <row r="553" spans="1:61" ht="12.95" customHeight="1">
      <c r="B553" s="1670"/>
      <c r="C553" s="1435"/>
      <c r="D553" s="1435"/>
      <c r="E553" s="1435"/>
      <c r="F553" s="1435"/>
      <c r="G553" s="1435"/>
      <c r="H553" s="1435"/>
      <c r="I553" s="1435"/>
      <c r="J553" s="1435"/>
      <c r="K553" s="1435"/>
      <c r="L553" s="1436"/>
      <c r="M553" s="1670"/>
      <c r="N553" s="1435"/>
      <c r="O553" s="1435"/>
      <c r="P553" s="1436"/>
      <c r="Q553" s="1670"/>
      <c r="R553" s="1435"/>
      <c r="S553" s="1436"/>
      <c r="T553" s="1670"/>
      <c r="U553" s="1435"/>
      <c r="V553" s="1436"/>
      <c r="W553" s="1670"/>
      <c r="X553" s="1435"/>
      <c r="Y553" s="1436"/>
      <c r="Z553" s="1670"/>
      <c r="AA553" s="1435"/>
      <c r="AB553" s="1435"/>
      <c r="AC553" s="1435"/>
      <c r="AD553" s="1436"/>
      <c r="AE553" s="1670"/>
      <c r="AF553" s="1435"/>
      <c r="AG553" s="1435"/>
      <c r="AH553" s="1436"/>
      <c r="AI553" s="1670"/>
      <c r="AJ553" s="1435"/>
      <c r="AK553" s="1435"/>
      <c r="AL553" s="1436"/>
      <c r="AM553" s="1670"/>
      <c r="AN553" s="1435"/>
      <c r="AO553" s="1435"/>
      <c r="AP553" s="1435"/>
      <c r="AQ553" s="1435"/>
      <c r="AR553" s="1435"/>
      <c r="AS553" s="1436"/>
      <c r="AU553" s="1147"/>
      <c r="BB553" s="3"/>
      <c r="BC553" s="3"/>
      <c r="BD553" s="3"/>
      <c r="BE553" s="3"/>
      <c r="BF553" s="3"/>
      <c r="BG553" s="3"/>
      <c r="BH553" s="3"/>
      <c r="BI553" s="3"/>
    </row>
    <row r="554" spans="1:61" ht="12.95" customHeight="1">
      <c r="B554" s="51" t="s">
        <v>112</v>
      </c>
      <c r="C554" s="1682" t="s">
        <v>2692</v>
      </c>
      <c r="D554" s="1682"/>
      <c r="E554" s="1682"/>
      <c r="F554" s="1682"/>
      <c r="G554" s="1682"/>
      <c r="H554" s="1682"/>
      <c r="I554" s="1682"/>
      <c r="J554" s="1682"/>
      <c r="K554" s="1682"/>
      <c r="L554" s="1682"/>
      <c r="M554" s="1682" t="s">
        <v>2120</v>
      </c>
      <c r="N554" s="1682"/>
      <c r="O554" s="1682"/>
      <c r="P554" s="1682"/>
      <c r="Q554" s="1684">
        <v>24</v>
      </c>
      <c r="R554" s="1684"/>
      <c r="S554" s="1685"/>
      <c r="T554" s="1683">
        <v>24</v>
      </c>
      <c r="U554" s="1684"/>
      <c r="V554" s="1685"/>
      <c r="W554" s="1678">
        <v>6.7500000000000004E-2</v>
      </c>
      <c r="X554" s="1679"/>
      <c r="Y554" s="1680"/>
      <c r="Z554" s="1677" t="s">
        <v>2694</v>
      </c>
      <c r="AA554" s="1677"/>
      <c r="AB554" s="1677"/>
      <c r="AC554" s="1677"/>
      <c r="AD554" s="1677"/>
      <c r="AE554" s="1672"/>
      <c r="AF554" s="1673"/>
      <c r="AG554" s="1673"/>
      <c r="AH554" s="1674"/>
      <c r="AI554" s="1689"/>
      <c r="AJ554" s="1690"/>
      <c r="AK554" s="1690"/>
      <c r="AL554" s="1691"/>
      <c r="AM554" s="1656">
        <v>13340901</v>
      </c>
      <c r="AN554" s="1657"/>
      <c r="AO554" s="1657"/>
      <c r="AP554" s="1657"/>
      <c r="AQ554" s="1657"/>
      <c r="AR554" s="1657"/>
      <c r="AS554" s="1658"/>
      <c r="AT554" s="1148"/>
      <c r="AU554" s="1147"/>
      <c r="BB554" s="3"/>
      <c r="BC554" s="3"/>
      <c r="BD554" s="3"/>
      <c r="BE554" s="3"/>
      <c r="BF554" s="3"/>
      <c r="BG554" s="3"/>
      <c r="BH554" s="3"/>
      <c r="BI554" s="3"/>
    </row>
    <row r="555" spans="1:61" ht="12.95" customHeight="1">
      <c r="B555" s="52" t="s">
        <v>113</v>
      </c>
      <c r="C555" s="1671" t="s">
        <v>2692</v>
      </c>
      <c r="D555" s="1671"/>
      <c r="E555" s="1671"/>
      <c r="F555" s="1671"/>
      <c r="G555" s="1671"/>
      <c r="H555" s="1671"/>
      <c r="I555" s="1671"/>
      <c r="J555" s="1671"/>
      <c r="K555" s="1671"/>
      <c r="L555" s="1671"/>
      <c r="M555" s="1682" t="s">
        <v>2121</v>
      </c>
      <c r="N555" s="1682"/>
      <c r="O555" s="1682"/>
      <c r="P555" s="1682"/>
      <c r="Q555" s="1683">
        <v>24</v>
      </c>
      <c r="R555" s="1684"/>
      <c r="S555" s="1685"/>
      <c r="T555" s="1683">
        <v>24</v>
      </c>
      <c r="U555" s="1684"/>
      <c r="V555" s="1685"/>
      <c r="W555" s="1678">
        <v>6.7500000000000004E-2</v>
      </c>
      <c r="X555" s="1679"/>
      <c r="Y555" s="1680"/>
      <c r="Z555" s="1677" t="s">
        <v>2694</v>
      </c>
      <c r="AA555" s="1677"/>
      <c r="AB555" s="1677"/>
      <c r="AC555" s="1677"/>
      <c r="AD555" s="1677"/>
      <c r="AE555" s="1672"/>
      <c r="AF555" s="1673"/>
      <c r="AG555" s="1673"/>
      <c r="AH555" s="1674"/>
      <c r="AI555" s="1689"/>
      <c r="AJ555" s="1690"/>
      <c r="AK555" s="1690"/>
      <c r="AL555" s="1691"/>
      <c r="AM555" s="1656">
        <v>4401377</v>
      </c>
      <c r="AN555" s="1657"/>
      <c r="AO555" s="1657"/>
      <c r="AP555" s="1657"/>
      <c r="AQ555" s="1657"/>
      <c r="AR555" s="1657"/>
      <c r="AS555" s="1658"/>
      <c r="AT555" s="1148" t="str">
        <f>IF(AND(NOT(C554=""),C555="",NOT(C556="")),"!","")</f>
        <v/>
      </c>
      <c r="AU555" s="1147"/>
      <c r="BB555" s="3"/>
      <c r="BC555" s="3"/>
      <c r="BD555" s="3"/>
      <c r="BE555" s="3"/>
      <c r="BF555" s="3"/>
      <c r="BG555" s="3"/>
      <c r="BH555" s="3"/>
      <c r="BI555" s="3"/>
    </row>
    <row r="556" spans="1:61" ht="12.95" customHeight="1">
      <c r="B556" s="52" t="s">
        <v>119</v>
      </c>
      <c r="C556" s="1671" t="s">
        <v>2692</v>
      </c>
      <c r="D556" s="1671"/>
      <c r="E556" s="1671"/>
      <c r="F556" s="1671"/>
      <c r="G556" s="1671"/>
      <c r="H556" s="1671"/>
      <c r="I556" s="1671"/>
      <c r="J556" s="1671"/>
      <c r="K556" s="1671"/>
      <c r="L556" s="1671"/>
      <c r="M556" s="1682" t="s">
        <v>2119</v>
      </c>
      <c r="N556" s="1682"/>
      <c r="O556" s="1682"/>
      <c r="P556" s="1682"/>
      <c r="Q556" s="1683">
        <v>24</v>
      </c>
      <c r="R556" s="1684"/>
      <c r="S556" s="1685"/>
      <c r="T556" s="1683">
        <v>24</v>
      </c>
      <c r="U556" s="1684"/>
      <c r="V556" s="1685"/>
      <c r="W556" s="1678">
        <v>7.2499999999999995E-2</v>
      </c>
      <c r="X556" s="1679"/>
      <c r="Y556" s="1680"/>
      <c r="Z556" s="1677" t="s">
        <v>2694</v>
      </c>
      <c r="AA556" s="1677"/>
      <c r="AB556" s="1677"/>
      <c r="AC556" s="1677"/>
      <c r="AD556" s="1677"/>
      <c r="AE556" s="1672"/>
      <c r="AF556" s="1673"/>
      <c r="AG556" s="1673"/>
      <c r="AH556" s="1674"/>
      <c r="AI556" s="1689"/>
      <c r="AJ556" s="1690"/>
      <c r="AK556" s="1690"/>
      <c r="AL556" s="1691"/>
      <c r="AM556" s="1656">
        <v>25262802</v>
      </c>
      <c r="AN556" s="1657"/>
      <c r="AO556" s="1657"/>
      <c r="AP556" s="1657"/>
      <c r="AQ556" s="1657"/>
      <c r="AR556" s="1657"/>
      <c r="AS556" s="1658"/>
      <c r="AT556" s="1148" t="str">
        <f>IF(AND(NOT(C555=""),C556="",NOT(C557="")),"!","")</f>
        <v/>
      </c>
      <c r="AU556" s="1147"/>
      <c r="BB556" s="3"/>
      <c r="BC556" s="3"/>
      <c r="BD556" s="3"/>
      <c r="BE556" s="3"/>
      <c r="BF556" s="3"/>
      <c r="BG556" s="3"/>
      <c r="BH556" s="3"/>
      <c r="BI556" s="3"/>
    </row>
    <row r="557" spans="1:61" ht="12.95" customHeight="1">
      <c r="B557" s="52" t="s">
        <v>582</v>
      </c>
      <c r="C557" s="1671" t="s">
        <v>2667</v>
      </c>
      <c r="D557" s="1671"/>
      <c r="E557" s="1671"/>
      <c r="F557" s="1671"/>
      <c r="G557" s="1671"/>
      <c r="H557" s="1671"/>
      <c r="I557" s="1671"/>
      <c r="J557" s="1671"/>
      <c r="K557" s="1671"/>
      <c r="L557" s="1671"/>
      <c r="M557" s="1682" t="s">
        <v>2111</v>
      </c>
      <c r="N557" s="1682"/>
      <c r="O557" s="1682"/>
      <c r="P557" s="1682"/>
      <c r="Q557" s="1683"/>
      <c r="R557" s="1684"/>
      <c r="S557" s="1685"/>
      <c r="T557" s="1683"/>
      <c r="U557" s="1684"/>
      <c r="V557" s="1685"/>
      <c r="W557" s="1678"/>
      <c r="X557" s="1679"/>
      <c r="Y557" s="1680"/>
      <c r="Z557" s="1677" t="s">
        <v>1185</v>
      </c>
      <c r="AA557" s="1677"/>
      <c r="AB557" s="1677"/>
      <c r="AC557" s="1677"/>
      <c r="AD557" s="1677"/>
      <c r="AE557" s="1672"/>
      <c r="AF557" s="1673"/>
      <c r="AG557" s="1673"/>
      <c r="AH557" s="1674"/>
      <c r="AI557" s="1689"/>
      <c r="AJ557" s="1690"/>
      <c r="AK557" s="1690"/>
      <c r="AL557" s="1691"/>
      <c r="AM557" s="1656">
        <f>2381559+1252433</f>
        <v>3633992</v>
      </c>
      <c r="AN557" s="1657"/>
      <c r="AO557" s="1657"/>
      <c r="AP557" s="1657"/>
      <c r="AQ557" s="1657"/>
      <c r="AR557" s="1657"/>
      <c r="AS557" s="1658"/>
      <c r="AT557" s="1148" t="str">
        <f>IF(AND(NOT(C556=""),C557="",NOT(C558="")),"!","")</f>
        <v/>
      </c>
      <c r="AU557" s="1147"/>
      <c r="BB557" s="3"/>
      <c r="BC557" s="3"/>
      <c r="BD557" s="3"/>
      <c r="BE557" s="3"/>
      <c r="BF557" s="3"/>
      <c r="BG557" s="3"/>
      <c r="BH557" s="3"/>
      <c r="BI557" s="3"/>
    </row>
    <row r="558" spans="1:61" ht="12.95" customHeight="1">
      <c r="B558" s="52" t="s">
        <v>764</v>
      </c>
      <c r="C558" s="1671" t="s">
        <v>2693</v>
      </c>
      <c r="D558" s="1671"/>
      <c r="E558" s="1671"/>
      <c r="F558" s="1671"/>
      <c r="G558" s="1671"/>
      <c r="H558" s="1671"/>
      <c r="I558" s="1671"/>
      <c r="J558" s="1671"/>
      <c r="K558" s="1671"/>
      <c r="L558" s="1671"/>
      <c r="M558" s="1682" t="s">
        <v>2107</v>
      </c>
      <c r="N558" s="1682"/>
      <c r="O558" s="1682"/>
      <c r="P558" s="1682"/>
      <c r="Q558" s="1683"/>
      <c r="R558" s="1684"/>
      <c r="S558" s="1685"/>
      <c r="T558" s="1683"/>
      <c r="U558" s="1684"/>
      <c r="V558" s="1685"/>
      <c r="W558" s="1678"/>
      <c r="X558" s="1679"/>
      <c r="Y558" s="1680"/>
      <c r="Z558" s="1677" t="s">
        <v>1185</v>
      </c>
      <c r="AA558" s="1677"/>
      <c r="AB558" s="1677"/>
      <c r="AC558" s="1677"/>
      <c r="AD558" s="1677"/>
      <c r="AE558" s="1672"/>
      <c r="AF558" s="1673"/>
      <c r="AG558" s="1673"/>
      <c r="AH558" s="1674"/>
      <c r="AI558" s="1689"/>
      <c r="AJ558" s="1690"/>
      <c r="AK558" s="1690"/>
      <c r="AL558" s="1691"/>
      <c r="AM558" s="1656">
        <v>7698920</v>
      </c>
      <c r="AN558" s="1657"/>
      <c r="AO558" s="1657"/>
      <c r="AP558" s="1657"/>
      <c r="AQ558" s="1657"/>
      <c r="AR558" s="1657"/>
      <c r="AS558" s="1658"/>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671"/>
      <c r="D559" s="1671"/>
      <c r="E559" s="1671"/>
      <c r="F559" s="1671"/>
      <c r="G559" s="1671"/>
      <c r="H559" s="1671"/>
      <c r="I559" s="1671"/>
      <c r="J559" s="1671"/>
      <c r="K559" s="1671"/>
      <c r="L559" s="1671"/>
      <c r="M559" s="1682" t="s">
        <v>1185</v>
      </c>
      <c r="N559" s="1682"/>
      <c r="O559" s="1682"/>
      <c r="P559" s="1682"/>
      <c r="Q559" s="1683"/>
      <c r="R559" s="1684"/>
      <c r="S559" s="1685"/>
      <c r="T559" s="1683"/>
      <c r="U559" s="1684"/>
      <c r="V559" s="1685"/>
      <c r="W559" s="1678"/>
      <c r="X559" s="1679"/>
      <c r="Y559" s="1680"/>
      <c r="Z559" s="1677" t="s">
        <v>1185</v>
      </c>
      <c r="AA559" s="1677"/>
      <c r="AB559" s="1677"/>
      <c r="AC559" s="1677"/>
      <c r="AD559" s="1677"/>
      <c r="AE559" s="1672"/>
      <c r="AF559" s="1673"/>
      <c r="AG559" s="1673"/>
      <c r="AH559" s="1674"/>
      <c r="AI559" s="1689"/>
      <c r="AJ559" s="1690"/>
      <c r="AK559" s="1690"/>
      <c r="AL559" s="1691"/>
      <c r="AM559" s="1656"/>
      <c r="AN559" s="1657"/>
      <c r="AO559" s="1657"/>
      <c r="AP559" s="1657"/>
      <c r="AQ559" s="1657"/>
      <c r="AR559" s="1657"/>
      <c r="AS559" s="1658"/>
      <c r="AT559" s="1148" t="str">
        <f t="shared" si="0"/>
        <v/>
      </c>
      <c r="AU559" s="1147"/>
      <c r="BB559" s="3"/>
      <c r="BC559" s="3"/>
      <c r="BD559" s="3"/>
      <c r="BE559" s="3"/>
      <c r="BF559" s="3"/>
      <c r="BG559" s="3"/>
      <c r="BH559" s="3" t="s">
        <v>585</v>
      </c>
      <c r="BI559" s="3" t="str">
        <f>AG665</f>
        <v>No</v>
      </c>
    </row>
    <row r="560" spans="1:61" ht="12.95" customHeight="1">
      <c r="B560" s="52" t="s">
        <v>456</v>
      </c>
      <c r="C560" s="1671"/>
      <c r="D560" s="1671"/>
      <c r="E560" s="1671"/>
      <c r="F560" s="1671"/>
      <c r="G560" s="1671"/>
      <c r="H560" s="1671"/>
      <c r="I560" s="1671"/>
      <c r="J560" s="1671"/>
      <c r="K560" s="1671"/>
      <c r="L560" s="1671"/>
      <c r="M560" s="1682" t="s">
        <v>1185</v>
      </c>
      <c r="N560" s="1682"/>
      <c r="O560" s="1682"/>
      <c r="P560" s="1682"/>
      <c r="Q560" s="1683"/>
      <c r="R560" s="1684"/>
      <c r="S560" s="1685"/>
      <c r="T560" s="1683"/>
      <c r="U560" s="1684"/>
      <c r="V560" s="1685"/>
      <c r="W560" s="1678"/>
      <c r="X560" s="1679"/>
      <c r="Y560" s="1680"/>
      <c r="Z560" s="1677" t="s">
        <v>1185</v>
      </c>
      <c r="AA560" s="1677"/>
      <c r="AB560" s="1677"/>
      <c r="AC560" s="1677"/>
      <c r="AD560" s="1677"/>
      <c r="AE560" s="1672"/>
      <c r="AF560" s="1673"/>
      <c r="AG560" s="1673"/>
      <c r="AH560" s="1674"/>
      <c r="AI560" s="1689"/>
      <c r="AJ560" s="1690"/>
      <c r="AK560" s="1690"/>
      <c r="AL560" s="1691"/>
      <c r="AM560" s="1656"/>
      <c r="AN560" s="1657"/>
      <c r="AO560" s="1657"/>
      <c r="AP560" s="1657"/>
      <c r="AQ560" s="1657"/>
      <c r="AR560" s="1657"/>
      <c r="AS560" s="1658"/>
      <c r="AT560" s="1148" t="str">
        <f t="shared" si="0"/>
        <v/>
      </c>
      <c r="AU560" s="1147"/>
      <c r="BB560" s="3"/>
      <c r="BC560" s="3"/>
      <c r="BD560" s="3"/>
      <c r="BE560" s="3"/>
      <c r="BF560" s="3"/>
      <c r="BG560" s="3"/>
      <c r="BH560" s="3"/>
      <c r="BI560" s="3"/>
    </row>
    <row r="561" spans="1:61" ht="12.95" customHeight="1">
      <c r="B561" s="52" t="s">
        <v>457</v>
      </c>
      <c r="C561" s="1671"/>
      <c r="D561" s="1671"/>
      <c r="E561" s="1671"/>
      <c r="F561" s="1671"/>
      <c r="G561" s="1671"/>
      <c r="H561" s="1671"/>
      <c r="I561" s="1671"/>
      <c r="J561" s="1671"/>
      <c r="K561" s="1671"/>
      <c r="L561" s="1671"/>
      <c r="M561" s="1682" t="s">
        <v>1185</v>
      </c>
      <c r="N561" s="1682"/>
      <c r="O561" s="1682"/>
      <c r="P561" s="1682"/>
      <c r="Q561" s="1683"/>
      <c r="R561" s="1684"/>
      <c r="S561" s="1685"/>
      <c r="T561" s="1683"/>
      <c r="U561" s="1684"/>
      <c r="V561" s="1685"/>
      <c r="W561" s="1678"/>
      <c r="X561" s="1679"/>
      <c r="Y561" s="1680"/>
      <c r="Z561" s="1677" t="s">
        <v>1185</v>
      </c>
      <c r="AA561" s="1677"/>
      <c r="AB561" s="1677"/>
      <c r="AC561" s="1677"/>
      <c r="AD561" s="1677"/>
      <c r="AE561" s="1672"/>
      <c r="AF561" s="1673"/>
      <c r="AG561" s="1673"/>
      <c r="AH561" s="1674"/>
      <c r="AI561" s="1689"/>
      <c r="AJ561" s="1690"/>
      <c r="AK561" s="1690"/>
      <c r="AL561" s="1691"/>
      <c r="AM561" s="1656"/>
      <c r="AN561" s="1657"/>
      <c r="AO561" s="1657"/>
      <c r="AP561" s="1657"/>
      <c r="AQ561" s="1657"/>
      <c r="AR561" s="1657"/>
      <c r="AS561" s="1658"/>
      <c r="AT561" s="1148" t="str">
        <f t="shared" si="0"/>
        <v/>
      </c>
      <c r="AU561" s="1147"/>
      <c r="BB561" s="3"/>
      <c r="BC561" s="3"/>
      <c r="BD561" s="3"/>
      <c r="BE561" s="3"/>
      <c r="BF561" s="3"/>
      <c r="BG561" s="3"/>
      <c r="BH561" s="3"/>
      <c r="BI561" s="3"/>
    </row>
    <row r="562" spans="1:61" ht="12.95" customHeight="1">
      <c r="B562" s="52" t="s">
        <v>462</v>
      </c>
      <c r="C562" s="1671"/>
      <c r="D562" s="1671"/>
      <c r="E562" s="1671"/>
      <c r="F562" s="1671"/>
      <c r="G562" s="1671"/>
      <c r="H562" s="1671"/>
      <c r="I562" s="1671"/>
      <c r="J562" s="1671"/>
      <c r="K562" s="1671"/>
      <c r="L562" s="1671"/>
      <c r="M562" s="1682" t="s">
        <v>1185</v>
      </c>
      <c r="N562" s="1682"/>
      <c r="O562" s="1682"/>
      <c r="P562" s="1682"/>
      <c r="Q562" s="1683"/>
      <c r="R562" s="1684"/>
      <c r="S562" s="1685"/>
      <c r="T562" s="1683"/>
      <c r="U562" s="1684"/>
      <c r="V562" s="1685"/>
      <c r="W562" s="1678"/>
      <c r="X562" s="1679"/>
      <c r="Y562" s="1680"/>
      <c r="Z562" s="1677" t="s">
        <v>1185</v>
      </c>
      <c r="AA562" s="1677"/>
      <c r="AB562" s="1677"/>
      <c r="AC562" s="1677"/>
      <c r="AD562" s="1677"/>
      <c r="AE562" s="1672"/>
      <c r="AF562" s="1673"/>
      <c r="AG562" s="1673"/>
      <c r="AH562" s="1674"/>
      <c r="AI562" s="1689"/>
      <c r="AJ562" s="1690"/>
      <c r="AK562" s="1690"/>
      <c r="AL562" s="1691"/>
      <c r="AM562" s="1656"/>
      <c r="AN562" s="1657"/>
      <c r="AO562" s="1657"/>
      <c r="AP562" s="1657"/>
      <c r="AQ562" s="1657"/>
      <c r="AR562" s="1657"/>
      <c r="AS562" s="1658"/>
      <c r="AT562" s="1148" t="str">
        <f t="shared" si="0"/>
        <v/>
      </c>
      <c r="AU562" s="1147"/>
      <c r="BB562" s="3"/>
      <c r="BC562" s="3"/>
      <c r="BD562" s="3"/>
      <c r="BE562" s="3"/>
      <c r="BF562" s="3"/>
      <c r="BG562" s="3"/>
      <c r="BH562" s="3"/>
      <c r="BI562" s="3"/>
    </row>
    <row r="563" spans="1:61" ht="12.95" customHeight="1">
      <c r="B563" s="52" t="s">
        <v>647</v>
      </c>
      <c r="C563" s="1671"/>
      <c r="D563" s="1671"/>
      <c r="E563" s="1671"/>
      <c r="F563" s="1671"/>
      <c r="G563" s="1671"/>
      <c r="H563" s="1671"/>
      <c r="I563" s="1671"/>
      <c r="J563" s="1671"/>
      <c r="K563" s="1671"/>
      <c r="L563" s="1671"/>
      <c r="M563" s="1682" t="s">
        <v>1185</v>
      </c>
      <c r="N563" s="1682"/>
      <c r="O563" s="1682"/>
      <c r="P563" s="1682"/>
      <c r="Q563" s="1683"/>
      <c r="R563" s="1684"/>
      <c r="S563" s="1685"/>
      <c r="T563" s="1683"/>
      <c r="U563" s="1684"/>
      <c r="V563" s="1685"/>
      <c r="W563" s="1678"/>
      <c r="X563" s="1679"/>
      <c r="Y563" s="1680"/>
      <c r="Z563" s="1677" t="s">
        <v>1185</v>
      </c>
      <c r="AA563" s="1677"/>
      <c r="AB563" s="1677"/>
      <c r="AC563" s="1677"/>
      <c r="AD563" s="1677"/>
      <c r="AE563" s="1672"/>
      <c r="AF563" s="1673"/>
      <c r="AG563" s="1673"/>
      <c r="AH563" s="1674"/>
      <c r="AI563" s="1689"/>
      <c r="AJ563" s="1690"/>
      <c r="AK563" s="1690"/>
      <c r="AL563" s="1691"/>
      <c r="AM563" s="1656"/>
      <c r="AN563" s="1657"/>
      <c r="AO563" s="1657"/>
      <c r="AP563" s="1657"/>
      <c r="AQ563" s="1657"/>
      <c r="AR563" s="1657"/>
      <c r="AS563" s="1658"/>
      <c r="AT563" s="1148" t="str">
        <f t="shared" si="0"/>
        <v/>
      </c>
      <c r="BB563" s="3"/>
      <c r="BC563" s="3"/>
      <c r="BD563" s="3"/>
      <c r="BE563" s="3"/>
      <c r="BF563" s="3"/>
      <c r="BG563" s="3"/>
      <c r="BH563" s="3"/>
      <c r="BI563" s="3"/>
    </row>
    <row r="564" spans="1:61" ht="12.95" customHeight="1">
      <c r="B564" s="52" t="s">
        <v>362</v>
      </c>
      <c r="C564" s="1671"/>
      <c r="D564" s="1671"/>
      <c r="E564" s="1671"/>
      <c r="F564" s="1671"/>
      <c r="G564" s="1671"/>
      <c r="H564" s="1671"/>
      <c r="I564" s="1671"/>
      <c r="J564" s="1671"/>
      <c r="K564" s="1671"/>
      <c r="L564" s="1671"/>
      <c r="M564" s="1682" t="s">
        <v>1185</v>
      </c>
      <c r="N564" s="1682"/>
      <c r="O564" s="1682"/>
      <c r="P564" s="1682"/>
      <c r="Q564" s="1683"/>
      <c r="R564" s="1684"/>
      <c r="S564" s="1685"/>
      <c r="T564" s="1683"/>
      <c r="U564" s="1684"/>
      <c r="V564" s="1685"/>
      <c r="W564" s="1678"/>
      <c r="X564" s="1679"/>
      <c r="Y564" s="1680"/>
      <c r="Z564" s="1677" t="s">
        <v>1185</v>
      </c>
      <c r="AA564" s="1677"/>
      <c r="AB564" s="1677"/>
      <c r="AC564" s="1677"/>
      <c r="AD564" s="1677"/>
      <c r="AE564" s="1672"/>
      <c r="AF564" s="1673"/>
      <c r="AG564" s="1673"/>
      <c r="AH564" s="1674"/>
      <c r="AI564" s="1689"/>
      <c r="AJ564" s="1690"/>
      <c r="AK564" s="1690"/>
      <c r="AL564" s="1691"/>
      <c r="AM564" s="1656"/>
      <c r="AN564" s="1657"/>
      <c r="AO564" s="1657"/>
      <c r="AP564" s="1657"/>
      <c r="AQ564" s="1657"/>
      <c r="AR564" s="1657"/>
      <c r="AS564" s="1658"/>
      <c r="AT564" s="1148" t="str">
        <f t="shared" si="0"/>
        <v/>
      </c>
      <c r="BB564" s="3"/>
      <c r="BC564" s="3"/>
      <c r="BD564" s="3"/>
      <c r="BE564" s="3"/>
      <c r="BF564" s="3"/>
      <c r="BG564" s="3"/>
      <c r="BH564" s="3"/>
      <c r="BI564" s="3"/>
    </row>
    <row r="565" spans="1:61" ht="12.95" customHeight="1">
      <c r="B565" s="52" t="s">
        <v>363</v>
      </c>
      <c r="C565" s="1671"/>
      <c r="D565" s="1671"/>
      <c r="E565" s="1671"/>
      <c r="F565" s="1671"/>
      <c r="G565" s="1671"/>
      <c r="H565" s="1671"/>
      <c r="I565" s="1671"/>
      <c r="J565" s="1671"/>
      <c r="K565" s="1671"/>
      <c r="L565" s="1671"/>
      <c r="M565" s="1682" t="s">
        <v>1185</v>
      </c>
      <c r="N565" s="1682"/>
      <c r="O565" s="1682"/>
      <c r="P565" s="1682"/>
      <c r="Q565" s="1683"/>
      <c r="R565" s="1684"/>
      <c r="S565" s="1685"/>
      <c r="T565" s="1683"/>
      <c r="U565" s="1684"/>
      <c r="V565" s="1685"/>
      <c r="W565" s="1678"/>
      <c r="X565" s="1679"/>
      <c r="Y565" s="1680"/>
      <c r="Z565" s="1677" t="s">
        <v>1185</v>
      </c>
      <c r="AA565" s="1677"/>
      <c r="AB565" s="1677"/>
      <c r="AC565" s="1677"/>
      <c r="AD565" s="1677"/>
      <c r="AE565" s="1672"/>
      <c r="AF565" s="1673"/>
      <c r="AG565" s="1673"/>
      <c r="AH565" s="1674"/>
      <c r="AI565" s="1689"/>
      <c r="AJ565" s="1690"/>
      <c r="AK565" s="1690"/>
      <c r="AL565" s="1691"/>
      <c r="AM565" s="1656"/>
      <c r="AN565" s="1657"/>
      <c r="AO565" s="1657"/>
      <c r="AP565" s="1657"/>
      <c r="AQ565" s="1657"/>
      <c r="AR565" s="1657"/>
      <c r="AS565" s="1658"/>
      <c r="AT565" s="1148" t="str">
        <f t="shared" si="0"/>
        <v/>
      </c>
      <c r="BB565" s="3"/>
      <c r="BC565" s="3"/>
      <c r="BD565" s="3"/>
      <c r="BE565" s="3"/>
      <c r="BF565" s="3"/>
      <c r="BG565" s="3"/>
      <c r="BH565" s="3"/>
      <c r="BI565" s="3"/>
    </row>
    <row r="566" spans="1:61" ht="12.95" customHeight="1">
      <c r="B566" s="1641" t="s">
        <v>127</v>
      </c>
      <c r="C566" s="1642"/>
      <c r="D566" s="1642"/>
      <c r="E566" s="1642"/>
      <c r="F566" s="1642"/>
      <c r="G566" s="1642"/>
      <c r="H566" s="1642"/>
      <c r="I566" s="1642"/>
      <c r="J566" s="1642"/>
      <c r="K566" s="1642"/>
      <c r="L566" s="1642"/>
      <c r="M566" s="1642"/>
      <c r="N566" s="1642"/>
      <c r="O566" s="1642"/>
      <c r="P566" s="1642"/>
      <c r="Q566" s="1642"/>
      <c r="R566" s="1642"/>
      <c r="S566" s="1642"/>
      <c r="T566" s="1642"/>
      <c r="U566" s="1654"/>
      <c r="V566" s="1642"/>
      <c r="W566" s="1642"/>
      <c r="X566" s="1642"/>
      <c r="Y566" s="1642"/>
      <c r="Z566" s="1642"/>
      <c r="AA566" s="1642"/>
      <c r="AB566" s="1642"/>
      <c r="AC566" s="1642"/>
      <c r="AD566" s="1642"/>
      <c r="AE566" s="1642"/>
      <c r="AF566" s="1642"/>
      <c r="AG566" s="1642"/>
      <c r="AH566" s="1642"/>
      <c r="AI566" s="1642"/>
      <c r="AJ566" s="1642"/>
      <c r="AK566" s="1642"/>
      <c r="AL566" s="1643"/>
      <c r="AM566" s="1604">
        <f>SUM(AM554:AS565)</f>
        <v>54337992</v>
      </c>
      <c r="AN566" s="1605"/>
      <c r="AO566" s="1605"/>
      <c r="AP566" s="1605"/>
      <c r="AQ566" s="1605"/>
      <c r="AR566" s="1605"/>
      <c r="AS566" s="1606"/>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8" t="str">
        <f>C554</f>
        <v>KeyBank</v>
      </c>
      <c r="H568" s="1358"/>
      <c r="I568" s="1358"/>
      <c r="J568" s="1358"/>
      <c r="K568" s="1358"/>
      <c r="L568" s="1358"/>
      <c r="M568" s="1358"/>
      <c r="N568" s="1358"/>
      <c r="O568" s="1358"/>
      <c r="P568" s="1358"/>
      <c r="Q568" s="1358"/>
      <c r="R568" s="1358"/>
      <c r="S568" s="8"/>
      <c r="T568" s="55" t="s">
        <v>113</v>
      </c>
      <c r="U568" t="s">
        <v>464</v>
      </c>
      <c r="Z568" s="1358" t="str">
        <f>C555</f>
        <v>KeyBank</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416" t="s">
        <v>2695</v>
      </c>
      <c r="H569" s="1371"/>
      <c r="I569" s="1371"/>
      <c r="J569" s="1371"/>
      <c r="K569" s="1371"/>
      <c r="L569" s="1371"/>
      <c r="M569" s="1371"/>
      <c r="N569" s="1371"/>
      <c r="O569" s="1371"/>
      <c r="P569" s="1371"/>
      <c r="Q569" s="1371"/>
      <c r="R569" s="1371"/>
      <c r="S569" s="8"/>
      <c r="T569" s="22"/>
      <c r="U569" t="s">
        <v>85</v>
      </c>
      <c r="Z569" s="1371" t="s">
        <v>2695</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581</v>
      </c>
      <c r="G570" s="1416" t="s">
        <v>2696</v>
      </c>
      <c r="H570" s="1371"/>
      <c r="I570" s="1371"/>
      <c r="J570" s="1371"/>
      <c r="K570" s="1371"/>
      <c r="L570" s="1371"/>
      <c r="M570" s="1371"/>
      <c r="N570" s="1371"/>
      <c r="O570" s="1371"/>
      <c r="P570" s="1371"/>
      <c r="Q570" s="1371"/>
      <c r="R570" s="1371"/>
      <c r="T570" s="22"/>
      <c r="U570" t="s">
        <v>581</v>
      </c>
      <c r="Z570" s="1348" t="s">
        <v>2696</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416" t="s">
        <v>2697</v>
      </c>
      <c r="H571" s="1371"/>
      <c r="I571" s="1371"/>
      <c r="J571" s="1371"/>
      <c r="K571" s="1371"/>
      <c r="L571" s="1371"/>
      <c r="M571" s="1371"/>
      <c r="N571" s="1371"/>
      <c r="O571" s="1371"/>
      <c r="P571" s="1371"/>
      <c r="Q571" s="1371"/>
      <c r="R571" s="1371"/>
      <c r="S571" s="8"/>
      <c r="T571" s="22"/>
      <c r="U571" t="s">
        <v>17</v>
      </c>
      <c r="Z571" s="1348" t="s">
        <v>2697</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681" t="s">
        <v>2700</v>
      </c>
      <c r="H572" s="1346"/>
      <c r="I572" s="1346"/>
      <c r="J572" s="1346"/>
      <c r="K572" s="1346"/>
      <c r="L572" s="1346"/>
      <c r="O572" s="33" t="s">
        <v>206</v>
      </c>
      <c r="P572" s="1437"/>
      <c r="Q572" s="1437"/>
      <c r="R572" s="1437"/>
      <c r="S572" s="10"/>
      <c r="T572" s="22"/>
      <c r="U572" t="s">
        <v>316</v>
      </c>
      <c r="Z572" s="1346" t="s">
        <v>2700</v>
      </c>
      <c r="AA572" s="1346"/>
      <c r="AB572" s="1346"/>
      <c r="AC572" s="1346"/>
      <c r="AD572" s="1346"/>
      <c r="AE572" s="1346"/>
      <c r="AH572" s="33" t="s">
        <v>206</v>
      </c>
      <c r="AI572" s="1437"/>
      <c r="AJ572" s="1437"/>
      <c r="AK572" s="1437"/>
      <c r="BB572" s="3"/>
      <c r="BC572" s="3"/>
      <c r="BD572" s="3"/>
      <c r="BE572" s="3"/>
      <c r="BF572" s="3"/>
      <c r="BG572" s="3"/>
      <c r="BH572" s="3"/>
      <c r="BI572" s="3"/>
    </row>
    <row r="573" spans="1:61" ht="12.95" customHeight="1">
      <c r="A573" s="22"/>
      <c r="B573" t="s">
        <v>18</v>
      </c>
      <c r="H573" s="1416" t="s">
        <v>2698</v>
      </c>
      <c r="I573" s="1371"/>
      <c r="J573" s="1371"/>
      <c r="K573" s="1371"/>
      <c r="L573" s="1371"/>
      <c r="M573" s="1371"/>
      <c r="N573" s="1371"/>
      <c r="O573" s="1371"/>
      <c r="P573" s="1371"/>
      <c r="Q573" s="1371"/>
      <c r="R573" s="1371"/>
      <c r="S573" s="8"/>
      <c r="T573" s="22"/>
      <c r="U573" t="s">
        <v>18</v>
      </c>
      <c r="AA573" s="1416" t="s">
        <v>2699</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1186</v>
      </c>
      <c r="H574" s="8"/>
      <c r="I574" s="8"/>
      <c r="J574" s="8"/>
      <c r="K574" s="8"/>
      <c r="L574" s="8"/>
      <c r="M574" s="1688"/>
      <c r="N574" s="1688"/>
      <c r="O574" s="1688"/>
      <c r="P574" s="1688"/>
      <c r="Q574" s="1688"/>
      <c r="R574" s="1688"/>
      <c r="S574" s="8"/>
      <c r="T574" s="22"/>
      <c r="U574" s="320" t="s">
        <v>1186</v>
      </c>
      <c r="AA574" s="8"/>
      <c r="AB574" s="8"/>
      <c r="AC574" s="8"/>
      <c r="AD574" s="8"/>
      <c r="AE574" s="8"/>
      <c r="AF574" s="1688"/>
      <c r="AG574" s="1688"/>
      <c r="AH574" s="1688"/>
      <c r="AI574" s="1688"/>
      <c r="AJ574" s="1688"/>
      <c r="AK574" s="1688"/>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8" t="str">
        <f>C556</f>
        <v>KeyBank</v>
      </c>
      <c r="H577" s="1358"/>
      <c r="I577" s="1358"/>
      <c r="J577" s="1358"/>
      <c r="K577" s="1358"/>
      <c r="L577" s="1358"/>
      <c r="M577" s="1358"/>
      <c r="N577" s="1358"/>
      <c r="O577" s="1358"/>
      <c r="P577" s="1358"/>
      <c r="Q577" s="1358"/>
      <c r="R577" s="1358"/>
      <c r="T577" s="55" t="s">
        <v>582</v>
      </c>
      <c r="U577" t="s">
        <v>464</v>
      </c>
      <c r="Z577" s="1358" t="str">
        <f>C557</f>
        <v>Boston Financial</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
        <v>2695</v>
      </c>
      <c r="H578" s="1371"/>
      <c r="I578" s="1371"/>
      <c r="J578" s="1371"/>
      <c r="K578" s="1371"/>
      <c r="L578" s="1371"/>
      <c r="M578" s="1371"/>
      <c r="N578" s="1371"/>
      <c r="O578" s="1371"/>
      <c r="P578" s="1371"/>
      <c r="Q578" s="1371"/>
      <c r="R578" s="1371"/>
      <c r="T578" s="22"/>
      <c r="U578" t="s">
        <v>85</v>
      </c>
      <c r="Z578" s="1371" t="s">
        <v>2668</v>
      </c>
      <c r="AA578" s="1371"/>
      <c r="AB578" s="1371"/>
      <c r="AC578" s="1371"/>
      <c r="AD578" s="1371"/>
      <c r="AE578" s="1371"/>
      <c r="AF578" s="1371"/>
      <c r="AG578" s="1371"/>
      <c r="AH578" s="1371"/>
      <c r="AI578" s="1371"/>
      <c r="AJ578" s="1371"/>
      <c r="AK578" s="1371"/>
      <c r="BB578" s="3"/>
      <c r="BC578" s="3"/>
    </row>
    <row r="579" spans="1:55" ht="12.95" customHeight="1">
      <c r="A579" s="22"/>
      <c r="B579" t="s">
        <v>581</v>
      </c>
      <c r="G579" s="1348" t="s">
        <v>2696</v>
      </c>
      <c r="H579" s="1348"/>
      <c r="I579" s="1348"/>
      <c r="J579" s="1348"/>
      <c r="K579" s="1348"/>
      <c r="L579" s="1348"/>
      <c r="M579" s="1348"/>
      <c r="N579" s="1348"/>
      <c r="O579" s="1348"/>
      <c r="P579" s="1348"/>
      <c r="Q579" s="1348"/>
      <c r="R579" s="1348"/>
      <c r="T579" s="22"/>
      <c r="U579" t="s">
        <v>581</v>
      </c>
      <c r="Z579" s="1348" t="s">
        <v>2669</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2697</v>
      </c>
      <c r="H580" s="1348"/>
      <c r="I580" s="1348"/>
      <c r="J580" s="1348"/>
      <c r="K580" s="1348"/>
      <c r="L580" s="1348"/>
      <c r="M580" s="1348"/>
      <c r="N580" s="1348"/>
      <c r="O580" s="1348"/>
      <c r="P580" s="1348"/>
      <c r="Q580" s="1348"/>
      <c r="R580" s="1348"/>
      <c r="T580" s="22"/>
      <c r="U580" t="s">
        <v>17</v>
      </c>
      <c r="Z580" s="1348" t="s">
        <v>2670</v>
      </c>
      <c r="AA580" s="1348"/>
      <c r="AB580" s="1348"/>
      <c r="AC580" s="1348"/>
      <c r="AD580" s="1348"/>
      <c r="AE580" s="1348"/>
      <c r="AF580" s="1348"/>
      <c r="AG580" s="1348"/>
      <c r="AH580" s="1348"/>
      <c r="AI580" s="1348"/>
      <c r="AJ580" s="1348"/>
      <c r="AK580" s="1348"/>
      <c r="BB580" s="3"/>
      <c r="BC580" s="3"/>
    </row>
    <row r="581" spans="1:55" ht="12.95" customHeight="1">
      <c r="A581" s="22"/>
      <c r="B581" t="s">
        <v>316</v>
      </c>
      <c r="G581" s="1346" t="s">
        <v>2700</v>
      </c>
      <c r="H581" s="1346"/>
      <c r="I581" s="1346"/>
      <c r="J581" s="1346"/>
      <c r="K581" s="1346"/>
      <c r="L581" s="1346"/>
      <c r="O581" s="33" t="s">
        <v>206</v>
      </c>
      <c r="P581" s="1437"/>
      <c r="Q581" s="1437"/>
      <c r="R581" s="1437"/>
      <c r="T581" s="22"/>
      <c r="U581" t="s">
        <v>316</v>
      </c>
      <c r="Z581" s="1346" t="s">
        <v>2671</v>
      </c>
      <c r="AA581" s="1346"/>
      <c r="AB581" s="1346"/>
      <c r="AC581" s="1346"/>
      <c r="AD581" s="1346"/>
      <c r="AE581" s="1346"/>
      <c r="AH581" s="33" t="s">
        <v>206</v>
      </c>
      <c r="AI581" s="1437"/>
      <c r="AJ581" s="1437"/>
      <c r="AK581" s="1437"/>
      <c r="BB581" s="3"/>
      <c r="BC581" s="3"/>
    </row>
    <row r="582" spans="1:55" ht="12.95" customHeight="1">
      <c r="A582" s="22"/>
      <c r="B582" t="s">
        <v>18</v>
      </c>
      <c r="H582" s="1416" t="s">
        <v>2119</v>
      </c>
      <c r="I582" s="1371"/>
      <c r="J582" s="1371"/>
      <c r="K582" s="1371"/>
      <c r="L582" s="1371"/>
      <c r="M582" s="1371"/>
      <c r="N582" s="1371"/>
      <c r="O582" s="1371"/>
      <c r="P582" s="1371"/>
      <c r="Q582" s="1371"/>
      <c r="R582" s="1371"/>
      <c r="T582" s="22"/>
      <c r="U582" t="s">
        <v>18</v>
      </c>
      <c r="AA582" s="1416" t="s">
        <v>2701</v>
      </c>
      <c r="AB582" s="1371"/>
      <c r="AC582" s="1371"/>
      <c r="AD582" s="1371"/>
      <c r="AE582" s="1371"/>
      <c r="AF582" s="1371"/>
      <c r="AG582" s="1371"/>
      <c r="AH582" s="1371"/>
      <c r="AI582" s="1371"/>
      <c r="AJ582" s="1371"/>
      <c r="AK582" s="1371"/>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8" t="str">
        <f>C558</f>
        <v>Samuelian Group</v>
      </c>
      <c r="H585" s="1358"/>
      <c r="I585" s="1358"/>
      <c r="J585" s="1358"/>
      <c r="K585" s="1358"/>
      <c r="L585" s="1358"/>
      <c r="M585" s="1358"/>
      <c r="N585" s="1358"/>
      <c r="O585" s="1358"/>
      <c r="P585" s="1358"/>
      <c r="Q585" s="1358"/>
      <c r="R585" s="1358"/>
      <c r="T585" s="55" t="s">
        <v>585</v>
      </c>
      <c r="U585" t="s">
        <v>464</v>
      </c>
      <c r="Z585" s="1358">
        <f>C559</f>
        <v>0</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
        <v>2632</v>
      </c>
      <c r="H586" s="1371"/>
      <c r="I586" s="1371"/>
      <c r="J586" s="1371"/>
      <c r="K586" s="1371"/>
      <c r="L586" s="1371"/>
      <c r="M586" s="1371"/>
      <c r="N586" s="1371"/>
      <c r="O586" s="1371"/>
      <c r="P586" s="1371"/>
      <c r="Q586" s="1371"/>
      <c r="R586" s="1371"/>
      <c r="T586" s="22"/>
      <c r="U586" t="s">
        <v>85</v>
      </c>
      <c r="Z586" s="1371"/>
      <c r="AA586" s="1371"/>
      <c r="AB586" s="1371"/>
      <c r="AC586" s="1371"/>
      <c r="AD586" s="1371"/>
      <c r="AE586" s="1371"/>
      <c r="AF586" s="1371"/>
      <c r="AG586" s="1371"/>
      <c r="AH586" s="1371"/>
      <c r="AI586" s="1371"/>
      <c r="AJ586" s="1371"/>
      <c r="AK586" s="1371"/>
      <c r="BB586" s="3"/>
      <c r="BC586" s="3"/>
    </row>
    <row r="587" spans="1:55" ht="12.95" customHeight="1">
      <c r="A587" s="22"/>
      <c r="B587" t="s">
        <v>581</v>
      </c>
      <c r="G587" s="1371" t="s">
        <v>2641</v>
      </c>
      <c r="H587" s="1371"/>
      <c r="I587" s="1371"/>
      <c r="J587" s="1371"/>
      <c r="K587" s="1371"/>
      <c r="L587" s="1371"/>
      <c r="M587" s="1371"/>
      <c r="N587" s="1371"/>
      <c r="O587" s="1371"/>
      <c r="P587" s="1371"/>
      <c r="Q587" s="1371"/>
      <c r="R587" s="1371"/>
      <c r="T587" s="22"/>
      <c r="U587" t="s">
        <v>581</v>
      </c>
      <c r="Z587" s="1348"/>
      <c r="AA587" s="1348"/>
      <c r="AB587" s="1348"/>
      <c r="AC587" s="1348"/>
      <c r="AD587" s="1348"/>
      <c r="AE587" s="1348"/>
      <c r="AF587" s="1348"/>
      <c r="AG587" s="1348"/>
      <c r="AH587" s="1348"/>
      <c r="AI587" s="1348"/>
      <c r="AJ587" s="1348"/>
      <c r="AK587" s="1348"/>
      <c r="BB587" s="3"/>
      <c r="BC587" s="3"/>
    </row>
    <row r="588" spans="1:55" ht="12.95" customHeight="1">
      <c r="A588" s="22"/>
      <c r="B588" t="s">
        <v>17</v>
      </c>
      <c r="G588" s="1416" t="s">
        <v>2634</v>
      </c>
      <c r="H588" s="1371"/>
      <c r="I588" s="1371"/>
      <c r="J588" s="1371"/>
      <c r="K588" s="1371"/>
      <c r="L588" s="1371"/>
      <c r="M588" s="1371"/>
      <c r="N588" s="1371"/>
      <c r="O588" s="1371"/>
      <c r="P588" s="1371"/>
      <c r="Q588" s="1371"/>
      <c r="R588" s="1371"/>
      <c r="T588" s="22"/>
      <c r="U588" t="s">
        <v>17</v>
      </c>
      <c r="Z588" s="1348"/>
      <c r="AA588" s="1348"/>
      <c r="AB588" s="1348"/>
      <c r="AC588" s="1348"/>
      <c r="AD588" s="1348"/>
      <c r="AE588" s="1348"/>
      <c r="AF588" s="1348"/>
      <c r="AG588" s="1348"/>
      <c r="AH588" s="1348"/>
      <c r="AI588" s="1348"/>
      <c r="AJ588" s="1348"/>
      <c r="AK588" s="1348"/>
    </row>
    <row r="589" spans="1:55" ht="12.95" customHeight="1">
      <c r="A589" s="22"/>
      <c r="B589" t="s">
        <v>316</v>
      </c>
      <c r="G589" s="1681" t="s">
        <v>2635</v>
      </c>
      <c r="H589" s="1346"/>
      <c r="I589" s="1346"/>
      <c r="J589" s="1346"/>
      <c r="K589" s="1346"/>
      <c r="L589" s="1346"/>
      <c r="O589" s="33" t="s">
        <v>206</v>
      </c>
      <c r="P589" s="1437"/>
      <c r="Q589" s="1437"/>
      <c r="R589" s="1437"/>
      <c r="T589" s="22"/>
      <c r="U589" t="s">
        <v>316</v>
      </c>
      <c r="Z589" s="1346"/>
      <c r="AA589" s="1346"/>
      <c r="AB589" s="1346"/>
      <c r="AC589" s="1346"/>
      <c r="AD589" s="1346"/>
      <c r="AE589" s="1346"/>
      <c r="AH589" s="33" t="s">
        <v>206</v>
      </c>
      <c r="AI589" s="1437"/>
      <c r="AJ589" s="1437"/>
      <c r="AK589" s="1437"/>
      <c r="AZ589" s="3"/>
      <c r="BA589" s="3"/>
      <c r="BB589" s="3"/>
      <c r="BC589" s="3"/>
    </row>
    <row r="590" spans="1:55" ht="12.95" customHeight="1">
      <c r="A590" s="22"/>
      <c r="B590" t="s">
        <v>18</v>
      </c>
      <c r="H590" s="1416" t="s">
        <v>2702</v>
      </c>
      <c r="I590" s="1371"/>
      <c r="J590" s="1371"/>
      <c r="K590" s="1371"/>
      <c r="L590" s="1371"/>
      <c r="M590" s="1371"/>
      <c r="N590" s="1371"/>
      <c r="O590" s="1371"/>
      <c r="P590" s="1371"/>
      <c r="Q590" s="1371"/>
      <c r="R590" s="1371"/>
      <c r="T590" s="22"/>
      <c r="U590" t="s">
        <v>18</v>
      </c>
      <c r="AA590" s="1371"/>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546</v>
      </c>
      <c r="O591" s="1332"/>
      <c r="T591" s="22"/>
      <c r="U591" t="s">
        <v>20</v>
      </c>
      <c r="AG591" s="1332" t="s">
        <v>670</v>
      </c>
      <c r="AH591" s="1332"/>
      <c r="AZ591" s="3"/>
      <c r="BA591" s="3"/>
      <c r="BB591" s="3"/>
      <c r="BC591" s="3"/>
    </row>
    <row r="592" spans="1:55" ht="12.95" customHeight="1">
      <c r="A592" s="22"/>
      <c r="T592" s="22"/>
      <c r="AZ592" s="3"/>
      <c r="BA592" s="3"/>
      <c r="BB592" s="3"/>
      <c r="BC592" s="3"/>
    </row>
    <row r="593" spans="1:55" ht="12.95" customHeight="1">
      <c r="A593" s="55" t="s">
        <v>456</v>
      </c>
      <c r="B593" t="s">
        <v>464</v>
      </c>
      <c r="G593" s="1358">
        <f>C560</f>
        <v>0</v>
      </c>
      <c r="H593" s="1358"/>
      <c r="I593" s="1358"/>
      <c r="J593" s="1358"/>
      <c r="K593" s="1358"/>
      <c r="L593" s="1358"/>
      <c r="M593" s="1358"/>
      <c r="N593" s="1358"/>
      <c r="O593" s="1358"/>
      <c r="P593" s="1358"/>
      <c r="Q593" s="1358"/>
      <c r="R593" s="1358"/>
      <c r="T593" s="55" t="s">
        <v>457</v>
      </c>
      <c r="U593" t="s">
        <v>464</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1"/>
      <c r="H595" s="1371"/>
      <c r="I595" s="1371"/>
      <c r="J595" s="1371"/>
      <c r="K595" s="1371"/>
      <c r="L595" s="1371"/>
      <c r="M595" s="1371"/>
      <c r="N595" s="1371"/>
      <c r="O595" s="1371"/>
      <c r="P595" s="1371"/>
      <c r="Q595" s="1371"/>
      <c r="R595" s="1371"/>
      <c r="S595"/>
      <c r="T595" s="22"/>
      <c r="U595" t="s">
        <v>581</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c r="H596" s="1371"/>
      <c r="I596" s="1371"/>
      <c r="J596" s="1371"/>
      <c r="K596" s="1371"/>
      <c r="L596" s="1371"/>
      <c r="M596" s="1371"/>
      <c r="N596" s="1371"/>
      <c r="O596" s="1371"/>
      <c r="P596" s="1371"/>
      <c r="Q596" s="1371"/>
      <c r="R596" s="1371"/>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c r="H597" s="1346"/>
      <c r="I597" s="1346"/>
      <c r="J597" s="1346"/>
      <c r="K597" s="1346"/>
      <c r="L597" s="1346"/>
      <c r="M597"/>
      <c r="N597"/>
      <c r="O597" s="33" t="s">
        <v>206</v>
      </c>
      <c r="P597" s="1437"/>
      <c r="Q597" s="1437"/>
      <c r="R597" s="1437"/>
      <c r="S597"/>
      <c r="T597" s="22"/>
      <c r="U597" t="s">
        <v>316</v>
      </c>
      <c r="V597"/>
      <c r="W597"/>
      <c r="X597"/>
      <c r="Y597"/>
      <c r="Z597" s="1346"/>
      <c r="AA597" s="1346"/>
      <c r="AB597" s="1346"/>
      <c r="AC597" s="1346"/>
      <c r="AD597" s="1346"/>
      <c r="AE597" s="1346"/>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670</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8">
        <f>C562</f>
        <v>0</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581</v>
      </c>
      <c r="G603" s="1371"/>
      <c r="H603" s="1371"/>
      <c r="I603" s="1371"/>
      <c r="J603" s="1371"/>
      <c r="K603" s="1371"/>
      <c r="L603" s="1371"/>
      <c r="M603" s="1371"/>
      <c r="N603" s="1371"/>
      <c r="O603" s="1371"/>
      <c r="P603" s="1371"/>
      <c r="Q603" s="1371"/>
      <c r="R603" s="1371"/>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7"/>
      <c r="Q605" s="1437"/>
      <c r="R605" s="1437"/>
      <c r="S605"/>
      <c r="T605" s="22"/>
      <c r="U605" t="s">
        <v>316</v>
      </c>
      <c r="V605"/>
      <c r="W605"/>
      <c r="X605"/>
      <c r="Y605"/>
      <c r="Z605" s="1346"/>
      <c r="AA605" s="1346"/>
      <c r="AB605" s="1346"/>
      <c r="AC605" s="1346"/>
      <c r="AD605" s="1346"/>
      <c r="AE605" s="1346"/>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581</v>
      </c>
      <c r="G611" s="1371"/>
      <c r="H611" s="1371"/>
      <c r="I611" s="1371"/>
      <c r="J611" s="1371"/>
      <c r="K611" s="1371"/>
      <c r="L611" s="1371"/>
      <c r="M611" s="1371"/>
      <c r="N611" s="1371"/>
      <c r="O611" s="1371"/>
      <c r="P611" s="1371"/>
      <c r="Q611" s="1371"/>
      <c r="R611" s="1371"/>
      <c r="U611" t="s">
        <v>581</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7"/>
      <c r="Q613" s="1437"/>
      <c r="R613" s="1437"/>
      <c r="U613" t="s">
        <v>316</v>
      </c>
      <c r="Z613" s="1346"/>
      <c r="AA613" s="1346"/>
      <c r="AB613" s="1346"/>
      <c r="AC613" s="1346"/>
      <c r="AD613" s="1346"/>
      <c r="AE613" s="1346"/>
      <c r="AH613" s="33" t="s">
        <v>206</v>
      </c>
      <c r="AI613" s="1437"/>
      <c r="AJ613" s="1437"/>
      <c r="AK613" s="1437"/>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86" t="s">
        <v>2103</v>
      </c>
      <c r="C624" s="1686"/>
      <c r="D624" s="1686"/>
      <c r="E624" s="1686"/>
      <c r="F624" s="1686"/>
      <c r="G624" s="1686"/>
      <c r="H624" s="1686"/>
      <c r="I624" s="1686"/>
      <c r="J624" s="1686"/>
      <c r="K624" s="1686"/>
      <c r="L624" s="1686"/>
      <c r="M624" s="1442" t="s">
        <v>2104</v>
      </c>
      <c r="N624" s="1442"/>
      <c r="O624" s="1442"/>
      <c r="P624" s="1442"/>
      <c r="Q624" s="1442" t="s">
        <v>1853</v>
      </c>
      <c r="R624" s="1442"/>
      <c r="S624" s="1442"/>
      <c r="T624" s="1442" t="s">
        <v>1851</v>
      </c>
      <c r="U624" s="1442"/>
      <c r="V624" s="1442"/>
      <c r="W624" s="1687" t="s">
        <v>454</v>
      </c>
      <c r="X624" s="1687"/>
      <c r="Y624" s="1687"/>
      <c r="Z624" s="1431" t="s">
        <v>2133</v>
      </c>
      <c r="AA624" s="1431"/>
      <c r="AB624" s="1432"/>
      <c r="AC624" s="1659" t="s">
        <v>1677</v>
      </c>
      <c r="AD624" s="1660"/>
      <c r="AE624" s="1661"/>
      <c r="AF624" s="1668" t="s">
        <v>1931</v>
      </c>
      <c r="AG624" s="1431"/>
      <c r="AH624" s="1431"/>
      <c r="AI624" s="1431"/>
      <c r="AJ624" s="1432"/>
      <c r="AK624" s="1692" t="s">
        <v>1932</v>
      </c>
      <c r="AL624" s="1693"/>
      <c r="AM624" s="1693"/>
      <c r="AN624" s="1694"/>
      <c r="AO624" s="1442" t="s">
        <v>455</v>
      </c>
      <c r="AP624" s="1442"/>
      <c r="AQ624" s="1442"/>
      <c r="AR624" s="1442"/>
      <c r="AS624" s="1442"/>
      <c r="AU624" s="3"/>
      <c r="AZ624" s="3"/>
      <c r="BA624" s="3"/>
      <c r="BB624" s="3"/>
      <c r="BC624" s="3"/>
    </row>
    <row r="625" spans="2:157" ht="12.95" customHeight="1">
      <c r="B625" s="1686"/>
      <c r="C625" s="1686"/>
      <c r="D625" s="1686"/>
      <c r="E625" s="1686"/>
      <c r="F625" s="1686"/>
      <c r="G625" s="1686"/>
      <c r="H625" s="1686"/>
      <c r="I625" s="1686"/>
      <c r="J625" s="1686"/>
      <c r="K625" s="1686"/>
      <c r="L625" s="1686"/>
      <c r="M625" s="1442"/>
      <c r="N625" s="1442"/>
      <c r="O625" s="1442"/>
      <c r="P625" s="1442"/>
      <c r="Q625" s="1442"/>
      <c r="R625" s="1442"/>
      <c r="S625" s="1442"/>
      <c r="T625" s="1442"/>
      <c r="U625" s="1442"/>
      <c r="V625" s="1442"/>
      <c r="W625" s="1687"/>
      <c r="X625" s="1687"/>
      <c r="Y625" s="1687"/>
      <c r="Z625" s="1433"/>
      <c r="AA625" s="1433"/>
      <c r="AB625" s="1434"/>
      <c r="AC625" s="1662"/>
      <c r="AD625" s="1663"/>
      <c r="AE625" s="1664"/>
      <c r="AF625" s="1669"/>
      <c r="AG625" s="1433"/>
      <c r="AH625" s="1433"/>
      <c r="AI625" s="1433"/>
      <c r="AJ625" s="1434"/>
      <c r="AK625" s="1695"/>
      <c r="AL625" s="1696"/>
      <c r="AM625" s="1696"/>
      <c r="AN625" s="1697"/>
      <c r="AO625" s="1442"/>
      <c r="AP625" s="1442"/>
      <c r="AQ625" s="1442"/>
      <c r="AR625" s="1442"/>
      <c r="AS625" s="1442"/>
      <c r="AU625" s="3"/>
      <c r="AZ625" s="3"/>
      <c r="BA625" s="3"/>
      <c r="BB625" s="3"/>
      <c r="BC625" s="3"/>
      <c r="BD625" s="3"/>
    </row>
    <row r="626" spans="2:157" ht="12.95" customHeight="1">
      <c r="B626" s="1686"/>
      <c r="C626" s="1686"/>
      <c r="D626" s="1686"/>
      <c r="E626" s="1686"/>
      <c r="F626" s="1686"/>
      <c r="G626" s="1686"/>
      <c r="H626" s="1686"/>
      <c r="I626" s="1686"/>
      <c r="J626" s="1686"/>
      <c r="K626" s="1686"/>
      <c r="L626" s="1686"/>
      <c r="M626" s="1442"/>
      <c r="N626" s="1442"/>
      <c r="O626" s="1442"/>
      <c r="P626" s="1442"/>
      <c r="Q626" s="1442"/>
      <c r="R626" s="1442"/>
      <c r="S626" s="1442"/>
      <c r="T626" s="1442"/>
      <c r="U626" s="1442"/>
      <c r="V626" s="1442"/>
      <c r="W626" s="1687"/>
      <c r="X626" s="1687"/>
      <c r="Y626" s="1687"/>
      <c r="Z626" s="1435"/>
      <c r="AA626" s="1435"/>
      <c r="AB626" s="1436"/>
      <c r="AC626" s="1665"/>
      <c r="AD626" s="1666"/>
      <c r="AE626" s="1667"/>
      <c r="AF626" s="1670"/>
      <c r="AG626" s="1435"/>
      <c r="AH626" s="1435"/>
      <c r="AI626" s="1435"/>
      <c r="AJ626" s="1436"/>
      <c r="AK626" s="1698"/>
      <c r="AL626" s="1699"/>
      <c r="AM626" s="1699"/>
      <c r="AN626" s="1700"/>
      <c r="AO626" s="1442"/>
      <c r="AP626" s="1442"/>
      <c r="AQ626" s="1442"/>
      <c r="AR626" s="1442"/>
      <c r="AS626" s="1442"/>
      <c r="AT626" s="3"/>
      <c r="AU626" s="3"/>
      <c r="AZ626" s="3"/>
      <c r="BA626" s="3"/>
      <c r="BB626" s="3"/>
      <c r="BC626" s="3"/>
      <c r="BD626" s="3"/>
    </row>
    <row r="627" spans="2:157" ht="12.95" customHeight="1">
      <c r="B627" s="51" t="s">
        <v>112</v>
      </c>
      <c r="C627" s="1453" t="s">
        <v>2692</v>
      </c>
      <c r="D627" s="1453"/>
      <c r="E627" s="1453"/>
      <c r="F627" s="1453"/>
      <c r="G627" s="1453"/>
      <c r="H627" s="1453"/>
      <c r="I627" s="1453"/>
      <c r="J627" s="1453"/>
      <c r="K627" s="1453"/>
      <c r="L627" s="1453"/>
      <c r="M627" s="1446" t="s">
        <v>2114</v>
      </c>
      <c r="N627" s="1446"/>
      <c r="O627" s="1446"/>
      <c r="P627" s="1446"/>
      <c r="Q627" s="1426">
        <v>180</v>
      </c>
      <c r="R627" s="1426"/>
      <c r="S627" s="1427"/>
      <c r="T627" s="1425">
        <v>480</v>
      </c>
      <c r="U627" s="1426"/>
      <c r="V627" s="1427"/>
      <c r="W627" s="1438">
        <v>0.06</v>
      </c>
      <c r="X627" s="1439"/>
      <c r="Y627" s="1440"/>
      <c r="Z627" s="1450" t="s">
        <v>1185</v>
      </c>
      <c r="AA627" s="1451"/>
      <c r="AB627" s="1452"/>
      <c r="AC627" s="1443">
        <v>1</v>
      </c>
      <c r="AD627" s="1444"/>
      <c r="AE627" s="1445"/>
      <c r="AF627" s="1447">
        <v>1543440</v>
      </c>
      <c r="AG627" s="1448"/>
      <c r="AH627" s="1448"/>
      <c r="AI627" s="1448"/>
      <c r="AJ627" s="1449"/>
      <c r="AK627" s="1428"/>
      <c r="AL627" s="1429"/>
      <c r="AM627" s="1429"/>
      <c r="AN627" s="1430"/>
      <c r="AO627" s="1473">
        <v>23498431</v>
      </c>
      <c r="AP627" s="1473"/>
      <c r="AQ627" s="1473"/>
      <c r="AR627" s="1473"/>
      <c r="AS627" s="1473"/>
      <c r="AT627" s="3"/>
      <c r="AU627" s="3"/>
      <c r="AZ627" s="3"/>
      <c r="BA627" s="3"/>
      <c r="BB627" s="3"/>
      <c r="BC627" s="3"/>
      <c r="BD627" s="3"/>
    </row>
    <row r="628" spans="2:157" ht="12.95" customHeight="1">
      <c r="B628" s="52" t="s">
        <v>113</v>
      </c>
      <c r="C628" s="1453" t="s">
        <v>2693</v>
      </c>
      <c r="D628" s="1453"/>
      <c r="E628" s="1453"/>
      <c r="F628" s="1453"/>
      <c r="G628" s="1453"/>
      <c r="H628" s="1453"/>
      <c r="I628" s="1453"/>
      <c r="J628" s="1453"/>
      <c r="K628" s="1453"/>
      <c r="L628" s="1453"/>
      <c r="M628" s="1446" t="s">
        <v>1185</v>
      </c>
      <c r="N628" s="1446"/>
      <c r="O628" s="1446"/>
      <c r="P628" s="1446"/>
      <c r="Q628" s="1425">
        <v>660</v>
      </c>
      <c r="R628" s="1426"/>
      <c r="S628" s="1427"/>
      <c r="T628" s="1425">
        <v>660</v>
      </c>
      <c r="U628" s="1426"/>
      <c r="V628" s="1427"/>
      <c r="W628" s="1438">
        <v>0.08</v>
      </c>
      <c r="X628" s="1439"/>
      <c r="Y628" s="1440"/>
      <c r="Z628" s="1450" t="s">
        <v>1185</v>
      </c>
      <c r="AA628" s="1451"/>
      <c r="AB628" s="1452"/>
      <c r="AC628" s="1443"/>
      <c r="AD628" s="1444"/>
      <c r="AE628" s="1445"/>
      <c r="AF628" s="1447"/>
      <c r="AG628" s="1448"/>
      <c r="AH628" s="1448"/>
      <c r="AI628" s="1448"/>
      <c r="AJ628" s="1449"/>
      <c r="AK628" s="1428"/>
      <c r="AL628" s="1429"/>
      <c r="AM628" s="1429"/>
      <c r="AN628" s="1430"/>
      <c r="AO628" s="1470">
        <v>6612947</v>
      </c>
      <c r="AP628" s="1471"/>
      <c r="AQ628" s="1471"/>
      <c r="AR628" s="1471"/>
      <c r="AS628" s="1472"/>
      <c r="AT628" s="1148" t="str">
        <f>IF(AND(NOT(C627=""),C628="",NOT(C629="")),"!","")</f>
        <v/>
      </c>
      <c r="AU628" s="3"/>
      <c r="AZ628" s="3"/>
      <c r="BA628" s="3"/>
      <c r="BB628" s="3"/>
      <c r="BC628" s="3"/>
      <c r="BD628" s="3"/>
    </row>
    <row r="629" spans="2:157" ht="12.95" customHeight="1">
      <c r="B629" s="52" t="s">
        <v>119</v>
      </c>
      <c r="C629" s="1453"/>
      <c r="D629" s="1453"/>
      <c r="E629" s="1453"/>
      <c r="F629" s="1453"/>
      <c r="G629" s="1453"/>
      <c r="H629" s="1453"/>
      <c r="I629" s="1453"/>
      <c r="J629" s="1453"/>
      <c r="K629" s="1453"/>
      <c r="L629" s="1453"/>
      <c r="M629" s="1446" t="s">
        <v>1185</v>
      </c>
      <c r="N629" s="1446"/>
      <c r="O629" s="1446"/>
      <c r="P629" s="1446"/>
      <c r="Q629" s="1425"/>
      <c r="R629" s="1426"/>
      <c r="S629" s="1427"/>
      <c r="T629" s="1425"/>
      <c r="U629" s="1426"/>
      <c r="V629" s="1427"/>
      <c r="W629" s="1438"/>
      <c r="X629" s="1439"/>
      <c r="Y629" s="1440"/>
      <c r="Z629" s="1450" t="s">
        <v>1185</v>
      </c>
      <c r="AA629" s="1451"/>
      <c r="AB629" s="1452"/>
      <c r="AC629" s="1443"/>
      <c r="AD629" s="1444"/>
      <c r="AE629" s="1445"/>
      <c r="AF629" s="1447"/>
      <c r="AG629" s="1448"/>
      <c r="AH629" s="1448"/>
      <c r="AI629" s="1448"/>
      <c r="AJ629" s="1449"/>
      <c r="AK629" s="1428"/>
      <c r="AL629" s="1429"/>
      <c r="AM629" s="1429"/>
      <c r="AN629" s="1430"/>
      <c r="AO629" s="1470"/>
      <c r="AP629" s="1471"/>
      <c r="AQ629" s="1471"/>
      <c r="AR629" s="1471"/>
      <c r="AS629" s="1472"/>
      <c r="AT629" s="1148" t="str">
        <f t="shared" ref="AT629:AT638" si="1">IF(AND(NOT(C628=""),C629="",NOT(C630="")),"!","")</f>
        <v/>
      </c>
      <c r="AU629" s="3"/>
      <c r="AZ629" s="3"/>
      <c r="BA629" s="3"/>
      <c r="BB629" s="3"/>
      <c r="BC629" s="3"/>
      <c r="BD629" s="3"/>
    </row>
    <row r="630" spans="2:157" ht="12.95" customHeight="1">
      <c r="B630" s="52" t="s">
        <v>582</v>
      </c>
      <c r="C630" s="1347"/>
      <c r="D630" s="1347"/>
      <c r="E630" s="1347"/>
      <c r="F630" s="1347"/>
      <c r="G630" s="1347"/>
      <c r="H630" s="1347"/>
      <c r="I630" s="1347"/>
      <c r="J630" s="1347"/>
      <c r="K630" s="1347"/>
      <c r="L630" s="1347"/>
      <c r="M630" s="1446" t="s">
        <v>1185</v>
      </c>
      <c r="N630" s="1446"/>
      <c r="O630" s="1446"/>
      <c r="P630" s="1446"/>
      <c r="Q630" s="1425"/>
      <c r="R630" s="1426"/>
      <c r="S630" s="1427"/>
      <c r="T630" s="1425"/>
      <c r="U630" s="1426"/>
      <c r="V630" s="1427"/>
      <c r="W630" s="1438"/>
      <c r="X630" s="1439"/>
      <c r="Y630" s="1440"/>
      <c r="Z630" s="1450" t="s">
        <v>1185</v>
      </c>
      <c r="AA630" s="1451"/>
      <c r="AB630" s="1452"/>
      <c r="AC630" s="1443"/>
      <c r="AD630" s="1444"/>
      <c r="AE630" s="1445"/>
      <c r="AF630" s="1447"/>
      <c r="AG630" s="1448"/>
      <c r="AH630" s="1448"/>
      <c r="AI630" s="1448"/>
      <c r="AJ630" s="1449"/>
      <c r="AK630" s="1428"/>
      <c r="AL630" s="1429"/>
      <c r="AM630" s="1429"/>
      <c r="AN630" s="1430"/>
      <c r="AO630" s="1470"/>
      <c r="AP630" s="1471"/>
      <c r="AQ630" s="1471"/>
      <c r="AR630" s="1471"/>
      <c r="AS630" s="1472"/>
      <c r="AT630" s="1148" t="str">
        <f t="shared" si="1"/>
        <v/>
      </c>
      <c r="AU630" s="3"/>
      <c r="AZ630" s="3"/>
      <c r="BA630" s="3"/>
      <c r="BB630" s="3"/>
      <c r="BC630" s="3"/>
      <c r="BD630" s="3"/>
    </row>
    <row r="631" spans="2:157" ht="12.95" customHeight="1">
      <c r="B631" s="52" t="s">
        <v>764</v>
      </c>
      <c r="C631" s="1347"/>
      <c r="D631" s="1347"/>
      <c r="E631" s="1347"/>
      <c r="F631" s="1347"/>
      <c r="G631" s="1347"/>
      <c r="H631" s="1347"/>
      <c r="I631" s="1347"/>
      <c r="J631" s="1347"/>
      <c r="K631" s="1347"/>
      <c r="L631" s="1347"/>
      <c r="M631" s="1446" t="s">
        <v>1185</v>
      </c>
      <c r="N631" s="1446"/>
      <c r="O631" s="1446"/>
      <c r="P631" s="1446"/>
      <c r="Q631" s="1425"/>
      <c r="R631" s="1426"/>
      <c r="S631" s="1427"/>
      <c r="T631" s="1425"/>
      <c r="U631" s="1426"/>
      <c r="V631" s="1427"/>
      <c r="W631" s="1438"/>
      <c r="X631" s="1439"/>
      <c r="Y631" s="1440"/>
      <c r="Z631" s="1450" t="s">
        <v>1185</v>
      </c>
      <c r="AA631" s="1451"/>
      <c r="AB631" s="1452"/>
      <c r="AC631" s="1443"/>
      <c r="AD631" s="1444"/>
      <c r="AE631" s="1445"/>
      <c r="AF631" s="1447"/>
      <c r="AG631" s="1448"/>
      <c r="AH631" s="1448"/>
      <c r="AI631" s="1448"/>
      <c r="AJ631" s="1449"/>
      <c r="AK631" s="1428"/>
      <c r="AL631" s="1429"/>
      <c r="AM631" s="1429"/>
      <c r="AN631" s="1430"/>
      <c r="AO631" s="1470"/>
      <c r="AP631" s="1471"/>
      <c r="AQ631" s="1471"/>
      <c r="AR631" s="1471"/>
      <c r="AS631" s="1472"/>
      <c r="AT631" s="1148" t="str">
        <f t="shared" si="1"/>
        <v/>
      </c>
      <c r="AU631" s="3"/>
      <c r="AZ631" s="3"/>
      <c r="BA631" s="3"/>
      <c r="BB631" s="3"/>
      <c r="BC631" s="3"/>
      <c r="BD631" s="3"/>
    </row>
    <row r="632" spans="2:157" ht="12.95" customHeight="1">
      <c r="B632" s="52" t="s">
        <v>585</v>
      </c>
      <c r="C632" s="1347"/>
      <c r="D632" s="1347"/>
      <c r="E632" s="1347"/>
      <c r="F632" s="1347"/>
      <c r="G632" s="1347"/>
      <c r="H632" s="1347"/>
      <c r="I632" s="1347"/>
      <c r="J632" s="1347"/>
      <c r="K632" s="1347"/>
      <c r="L632" s="1347"/>
      <c r="M632" s="1446" t="s">
        <v>1185</v>
      </c>
      <c r="N632" s="1446"/>
      <c r="O632" s="1446"/>
      <c r="P632" s="1446"/>
      <c r="Q632" s="1425"/>
      <c r="R632" s="1426"/>
      <c r="S632" s="1427"/>
      <c r="T632" s="1425"/>
      <c r="U632" s="1426"/>
      <c r="V632" s="1427"/>
      <c r="W632" s="1438"/>
      <c r="X632" s="1439"/>
      <c r="Y632" s="1440"/>
      <c r="Z632" s="1450" t="s">
        <v>1185</v>
      </c>
      <c r="AA632" s="1451"/>
      <c r="AB632" s="1452"/>
      <c r="AC632" s="1443"/>
      <c r="AD632" s="1444"/>
      <c r="AE632" s="1445"/>
      <c r="AF632" s="1447"/>
      <c r="AG632" s="1448"/>
      <c r="AH632" s="1448"/>
      <c r="AI632" s="1448"/>
      <c r="AJ632" s="1449"/>
      <c r="AK632" s="1428"/>
      <c r="AL632" s="1429"/>
      <c r="AM632" s="1429"/>
      <c r="AN632" s="1430"/>
      <c r="AO632" s="1470"/>
      <c r="AP632" s="1471"/>
      <c r="AQ632" s="1471"/>
      <c r="AR632" s="1471"/>
      <c r="AS632" s="1472"/>
      <c r="AT632" s="1148" t="str">
        <f t="shared" si="1"/>
        <v/>
      </c>
      <c r="AU632" s="3"/>
      <c r="AZ632" s="3"/>
      <c r="BA632" s="3"/>
      <c r="BB632" s="3"/>
      <c r="BC632" s="3"/>
      <c r="BD632" s="3"/>
    </row>
    <row r="633" spans="2:157" ht="12.95" customHeight="1">
      <c r="B633" s="52" t="s">
        <v>456</v>
      </c>
      <c r="C633" s="1347"/>
      <c r="D633" s="1347"/>
      <c r="E633" s="1347"/>
      <c r="F633" s="1347"/>
      <c r="G633" s="1347"/>
      <c r="H633" s="1347"/>
      <c r="I633" s="1347"/>
      <c r="J633" s="1347"/>
      <c r="K633" s="1347"/>
      <c r="L633" s="1347"/>
      <c r="M633" s="1446" t="s">
        <v>1185</v>
      </c>
      <c r="N633" s="1446"/>
      <c r="O633" s="1446"/>
      <c r="P633" s="1446"/>
      <c r="Q633" s="1425"/>
      <c r="R633" s="1426"/>
      <c r="S633" s="1427"/>
      <c r="T633" s="1425"/>
      <c r="U633" s="1426"/>
      <c r="V633" s="1427"/>
      <c r="W633" s="1438"/>
      <c r="X633" s="1439"/>
      <c r="Y633" s="1440"/>
      <c r="Z633" s="1450" t="s">
        <v>1185</v>
      </c>
      <c r="AA633" s="1451"/>
      <c r="AB633" s="1452"/>
      <c r="AC633" s="1443"/>
      <c r="AD633" s="1444"/>
      <c r="AE633" s="1445"/>
      <c r="AF633" s="1447"/>
      <c r="AG633" s="1448"/>
      <c r="AH633" s="1448"/>
      <c r="AI633" s="1448"/>
      <c r="AJ633" s="1449"/>
      <c r="AK633" s="1428"/>
      <c r="AL633" s="1429"/>
      <c r="AM633" s="1429"/>
      <c r="AN633" s="1430"/>
      <c r="AO633" s="1470"/>
      <c r="AP633" s="1471"/>
      <c r="AQ633" s="1471"/>
      <c r="AR633" s="1471"/>
      <c r="AS633" s="1472"/>
      <c r="AT633" s="1148" t="str">
        <f t="shared" si="1"/>
        <v/>
      </c>
      <c r="AU633" s="3"/>
      <c r="AV633" s="3"/>
      <c r="AW633" s="3"/>
      <c r="AX633" s="3"/>
      <c r="AY633" s="3"/>
      <c r="AZ633" s="3"/>
      <c r="BA633" s="3"/>
      <c r="BB633" s="3"/>
      <c r="BC633" s="3"/>
      <c r="BD633" s="3"/>
    </row>
    <row r="634" spans="2:157" ht="12.95" customHeight="1">
      <c r="B634" s="52" t="s">
        <v>457</v>
      </c>
      <c r="C634" s="1347"/>
      <c r="D634" s="1347"/>
      <c r="E634" s="1347"/>
      <c r="F634" s="1347"/>
      <c r="G634" s="1347"/>
      <c r="H634" s="1347"/>
      <c r="I634" s="1347"/>
      <c r="J634" s="1347"/>
      <c r="K634" s="1347"/>
      <c r="L634" s="1347"/>
      <c r="M634" s="1446" t="s">
        <v>1185</v>
      </c>
      <c r="N634" s="1446"/>
      <c r="O634" s="1446"/>
      <c r="P634" s="1446"/>
      <c r="Q634" s="1425"/>
      <c r="R634" s="1426"/>
      <c r="S634" s="1427"/>
      <c r="T634" s="1425"/>
      <c r="U634" s="1426"/>
      <c r="V634" s="1427"/>
      <c r="W634" s="1438"/>
      <c r="X634" s="1439"/>
      <c r="Y634" s="1440"/>
      <c r="Z634" s="1450" t="s">
        <v>1185</v>
      </c>
      <c r="AA634" s="1451"/>
      <c r="AB634" s="1452"/>
      <c r="AC634" s="1443"/>
      <c r="AD634" s="1444"/>
      <c r="AE634" s="1445"/>
      <c r="AF634" s="1447"/>
      <c r="AG634" s="1448"/>
      <c r="AH634" s="1448"/>
      <c r="AI634" s="1448"/>
      <c r="AJ634" s="1449"/>
      <c r="AK634" s="1428"/>
      <c r="AL634" s="1429"/>
      <c r="AM634" s="1429"/>
      <c r="AN634" s="1430"/>
      <c r="AO634" s="1470"/>
      <c r="AP634" s="1471"/>
      <c r="AQ634" s="1471"/>
      <c r="AR634" s="1471"/>
      <c r="AS634" s="1472"/>
      <c r="AT634" s="1148" t="str">
        <f t="shared" si="1"/>
        <v/>
      </c>
      <c r="AU634" s="3"/>
      <c r="AV634" s="3"/>
      <c r="AW634" s="3"/>
      <c r="AX634" s="3"/>
      <c r="AY634" s="3"/>
      <c r="AZ634" s="3"/>
      <c r="BA634" s="3" t="s">
        <v>1185</v>
      </c>
      <c r="BB634" s="3"/>
      <c r="BC634" s="3"/>
      <c r="BD634" s="3"/>
    </row>
    <row r="635" spans="2:157" ht="12.95" customHeight="1">
      <c r="B635" s="52" t="s">
        <v>462</v>
      </c>
      <c r="C635" s="1347"/>
      <c r="D635" s="1347"/>
      <c r="E635" s="1347"/>
      <c r="F635" s="1347"/>
      <c r="G635" s="1347"/>
      <c r="H635" s="1347"/>
      <c r="I635" s="1347"/>
      <c r="J635" s="1347"/>
      <c r="K635" s="1347"/>
      <c r="L635" s="1347"/>
      <c r="M635" s="1446" t="s">
        <v>1185</v>
      </c>
      <c r="N635" s="1446"/>
      <c r="O635" s="1446"/>
      <c r="P635" s="1446"/>
      <c r="Q635" s="1425"/>
      <c r="R635" s="1426"/>
      <c r="S635" s="1427"/>
      <c r="T635" s="1425"/>
      <c r="U635" s="1426"/>
      <c r="V635" s="1427"/>
      <c r="W635" s="1438"/>
      <c r="X635" s="1439"/>
      <c r="Y635" s="1440"/>
      <c r="Z635" s="1450" t="s">
        <v>1185</v>
      </c>
      <c r="AA635" s="1451"/>
      <c r="AB635" s="1452"/>
      <c r="AC635" s="1443"/>
      <c r="AD635" s="1444"/>
      <c r="AE635" s="1445"/>
      <c r="AF635" s="1447"/>
      <c r="AG635" s="1448"/>
      <c r="AH635" s="1448"/>
      <c r="AI635" s="1448"/>
      <c r="AJ635" s="1449"/>
      <c r="AK635" s="1428"/>
      <c r="AL635" s="1429"/>
      <c r="AM635" s="1429"/>
      <c r="AN635" s="1430"/>
      <c r="AO635" s="1470"/>
      <c r="AP635" s="1471"/>
      <c r="AQ635" s="1471"/>
      <c r="AR635" s="1471"/>
      <c r="AS635" s="1472"/>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57" t="e">
        <f t="shared" ref="DX635:DX669" si="2">EZ718*(CP718/$CP$753)</f>
        <v>#VALUE!</v>
      </c>
      <c r="DY635" s="1457"/>
      <c r="DZ635" s="1457"/>
      <c r="EA635" s="1457"/>
      <c r="EB635" s="1457"/>
      <c r="EC635" s="1457">
        <f t="shared" ref="EC635:EC669" si="3">FE718*(CU718/$CU$753)</f>
        <v>575.28888888888889</v>
      </c>
      <c r="ED635" s="1457"/>
      <c r="EE635" s="1457"/>
      <c r="EF635" s="1457"/>
      <c r="EG635" s="1457"/>
      <c r="EH635" s="1457" t="e">
        <f t="shared" ref="EH635:EH669" si="4">FJ718*(CZ718/$CZ$753)</f>
        <v>#VALUE!</v>
      </c>
      <c r="EI635" s="1457"/>
      <c r="EJ635" s="1457"/>
      <c r="EK635" s="1457"/>
      <c r="EL635" s="1457"/>
      <c r="EM635" s="1457" t="e">
        <f t="shared" ref="EM635:EM669" si="5">FO718*(DE718/$DE$753)</f>
        <v>#VALUE!</v>
      </c>
      <c r="EN635" s="1457"/>
      <c r="EO635" s="1457"/>
      <c r="EP635" s="1457"/>
      <c r="EQ635" s="1457"/>
      <c r="ER635" s="1457" t="e">
        <f t="shared" ref="ER635:ER669" si="6">FT718*(DJ718/$DJ$753)</f>
        <v>#VALUE!</v>
      </c>
      <c r="ES635" s="1457"/>
      <c r="ET635" s="1457"/>
      <c r="EU635" s="1457"/>
      <c r="EV635" s="1457"/>
      <c r="EW635" s="1457" t="e">
        <f t="shared" ref="EW635:EW669" si="7">FY718*(DO718/$DO$753)</f>
        <v>#VALUE!</v>
      </c>
      <c r="EX635" s="1457"/>
      <c r="EY635" s="1457"/>
      <c r="EZ635" s="1457"/>
      <c r="FA635" s="1457"/>
    </row>
    <row r="636" spans="2:157" ht="12.95" customHeight="1">
      <c r="B636" s="52" t="s">
        <v>647</v>
      </c>
      <c r="C636" s="1347"/>
      <c r="D636" s="1347"/>
      <c r="E636" s="1347"/>
      <c r="F636" s="1347"/>
      <c r="G636" s="1347"/>
      <c r="H636" s="1347"/>
      <c r="I636" s="1347"/>
      <c r="J636" s="1347"/>
      <c r="K636" s="1347"/>
      <c r="L636" s="1347"/>
      <c r="M636" s="1446" t="s">
        <v>1185</v>
      </c>
      <c r="N636" s="1446"/>
      <c r="O636" s="1446"/>
      <c r="P636" s="1446"/>
      <c r="Q636" s="1425"/>
      <c r="R636" s="1426"/>
      <c r="S636" s="1427"/>
      <c r="T636" s="1425"/>
      <c r="U636" s="1426"/>
      <c r="V636" s="1427"/>
      <c r="W636" s="1438"/>
      <c r="X636" s="1439"/>
      <c r="Y636" s="1440"/>
      <c r="Z636" s="1450" t="s">
        <v>1185</v>
      </c>
      <c r="AA636" s="1451"/>
      <c r="AB636" s="1452"/>
      <c r="AC636" s="1443"/>
      <c r="AD636" s="1444"/>
      <c r="AE636" s="1445"/>
      <c r="AF636" s="1447"/>
      <c r="AG636" s="1448"/>
      <c r="AH636" s="1448"/>
      <c r="AI636" s="1448"/>
      <c r="AJ636" s="1449"/>
      <c r="AK636" s="1428"/>
      <c r="AL636" s="1429"/>
      <c r="AM636" s="1429"/>
      <c r="AN636" s="1430"/>
      <c r="AO636" s="1470"/>
      <c r="AP636" s="1471"/>
      <c r="AQ636" s="1471"/>
      <c r="AR636" s="1471"/>
      <c r="AS636" s="1472"/>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57" t="e">
        <f t="shared" si="2"/>
        <v>#VALUE!</v>
      </c>
      <c r="DY636" s="1457"/>
      <c r="DZ636" s="1457"/>
      <c r="EA636" s="1457"/>
      <c r="EB636" s="1457"/>
      <c r="EC636" s="1457">
        <f t="shared" si="3"/>
        <v>643.93333333333328</v>
      </c>
      <c r="ED636" s="1457"/>
      <c r="EE636" s="1457"/>
      <c r="EF636" s="1457"/>
      <c r="EG636" s="1457"/>
      <c r="EH636" s="1457" t="e">
        <f t="shared" si="4"/>
        <v>#VALUE!</v>
      </c>
      <c r="EI636" s="1457"/>
      <c r="EJ636" s="1457"/>
      <c r="EK636" s="1457"/>
      <c r="EL636" s="1457"/>
      <c r="EM636" s="1457" t="e">
        <f t="shared" si="5"/>
        <v>#VALUE!</v>
      </c>
      <c r="EN636" s="1457"/>
      <c r="EO636" s="1457"/>
      <c r="EP636" s="1457"/>
      <c r="EQ636" s="1457"/>
      <c r="ER636" s="1457" t="e">
        <f t="shared" si="6"/>
        <v>#VALUE!</v>
      </c>
      <c r="ES636" s="1457"/>
      <c r="ET636" s="1457"/>
      <c r="EU636" s="1457"/>
      <c r="EV636" s="1457"/>
      <c r="EW636" s="1457" t="e">
        <f t="shared" si="7"/>
        <v>#VALUE!</v>
      </c>
      <c r="EX636" s="1457"/>
      <c r="EY636" s="1457"/>
      <c r="EZ636" s="1457"/>
      <c r="FA636" s="1457"/>
    </row>
    <row r="637" spans="2:157" ht="12.95" customHeight="1">
      <c r="B637" s="52" t="s">
        <v>362</v>
      </c>
      <c r="C637" s="1347"/>
      <c r="D637" s="1347"/>
      <c r="E637" s="1347"/>
      <c r="F637" s="1347"/>
      <c r="G637" s="1347"/>
      <c r="H637" s="1347"/>
      <c r="I637" s="1347"/>
      <c r="J637" s="1347"/>
      <c r="K637" s="1347"/>
      <c r="L637" s="1347"/>
      <c r="M637" s="1446" t="s">
        <v>1185</v>
      </c>
      <c r="N637" s="1446"/>
      <c r="O637" s="1446"/>
      <c r="P637" s="1446"/>
      <c r="Q637" s="1425"/>
      <c r="R637" s="1426"/>
      <c r="S637" s="1427"/>
      <c r="T637" s="1425"/>
      <c r="U637" s="1426"/>
      <c r="V637" s="1427"/>
      <c r="W637" s="1438"/>
      <c r="X637" s="1439"/>
      <c r="Y637" s="1440"/>
      <c r="Z637" s="1450" t="s">
        <v>1185</v>
      </c>
      <c r="AA637" s="1451"/>
      <c r="AB637" s="1452"/>
      <c r="AC637" s="1443"/>
      <c r="AD637" s="1444"/>
      <c r="AE637" s="1445"/>
      <c r="AF637" s="1447"/>
      <c r="AG637" s="1448"/>
      <c r="AH637" s="1448"/>
      <c r="AI637" s="1448"/>
      <c r="AJ637" s="1449"/>
      <c r="AK637" s="1428"/>
      <c r="AL637" s="1429"/>
      <c r="AM637" s="1429"/>
      <c r="AN637" s="1430"/>
      <c r="AO637" s="1470"/>
      <c r="AP637" s="1471"/>
      <c r="AQ637" s="1471"/>
      <c r="AR637" s="1471"/>
      <c r="AS637" s="1472"/>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57" t="e">
        <f t="shared" si="2"/>
        <v>#VALUE!</v>
      </c>
      <c r="DY637" s="1457"/>
      <c r="DZ637" s="1457"/>
      <c r="EA637" s="1457"/>
      <c r="EB637" s="1457"/>
      <c r="EC637" s="1457" t="e">
        <f t="shared" si="3"/>
        <v>#VALUE!</v>
      </c>
      <c r="ED637" s="1457"/>
      <c r="EE637" s="1457"/>
      <c r="EF637" s="1457"/>
      <c r="EG637" s="1457"/>
      <c r="EH637" s="1457">
        <f t="shared" si="4"/>
        <v>99.931034482758619</v>
      </c>
      <c r="EI637" s="1457"/>
      <c r="EJ637" s="1457"/>
      <c r="EK637" s="1457"/>
      <c r="EL637" s="1457"/>
      <c r="EM637" s="1457" t="e">
        <f t="shared" si="5"/>
        <v>#VALUE!</v>
      </c>
      <c r="EN637" s="1457"/>
      <c r="EO637" s="1457"/>
      <c r="EP637" s="1457"/>
      <c r="EQ637" s="1457"/>
      <c r="ER637" s="1457" t="e">
        <f t="shared" si="6"/>
        <v>#VALUE!</v>
      </c>
      <c r="ES637" s="1457"/>
      <c r="ET637" s="1457"/>
      <c r="EU637" s="1457"/>
      <c r="EV637" s="1457"/>
      <c r="EW637" s="1457" t="e">
        <f t="shared" si="7"/>
        <v>#VALUE!</v>
      </c>
      <c r="EX637" s="1457"/>
      <c r="EY637" s="1457"/>
      <c r="EZ637" s="1457"/>
      <c r="FA637" s="1457"/>
    </row>
    <row r="638" spans="2:157" ht="12.95" customHeight="1">
      <c r="B638" s="52" t="s">
        <v>363</v>
      </c>
      <c r="C638" s="1347"/>
      <c r="D638" s="1347"/>
      <c r="E638" s="1347"/>
      <c r="F638" s="1347"/>
      <c r="G638" s="1347"/>
      <c r="H638" s="1347"/>
      <c r="I638" s="1347"/>
      <c r="J638" s="1347"/>
      <c r="K638" s="1347"/>
      <c r="L638" s="1347"/>
      <c r="M638" s="1446" t="s">
        <v>1185</v>
      </c>
      <c r="N638" s="1446"/>
      <c r="O638" s="1446"/>
      <c r="P638" s="1446"/>
      <c r="Q638" s="1425"/>
      <c r="R638" s="1426"/>
      <c r="S638" s="1427"/>
      <c r="T638" s="1425"/>
      <c r="U638" s="1426"/>
      <c r="V638" s="1427"/>
      <c r="W638" s="1438"/>
      <c r="X638" s="1439"/>
      <c r="Y638" s="1440"/>
      <c r="Z638" s="1450" t="s">
        <v>1185</v>
      </c>
      <c r="AA638" s="1451"/>
      <c r="AB638" s="1452"/>
      <c r="AC638" s="1443"/>
      <c r="AD638" s="1444"/>
      <c r="AE638" s="1445"/>
      <c r="AF638" s="1447"/>
      <c r="AG638" s="1448"/>
      <c r="AH638" s="1448"/>
      <c r="AI638" s="1448"/>
      <c r="AJ638" s="1449"/>
      <c r="AK638" s="1428"/>
      <c r="AL638" s="1429"/>
      <c r="AM638" s="1429"/>
      <c r="AN638" s="1430"/>
      <c r="AO638" s="1470"/>
      <c r="AP638" s="1471"/>
      <c r="AQ638" s="1471"/>
      <c r="AR638" s="1471"/>
      <c r="AS638" s="1472"/>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57" t="e">
        <f t="shared" si="2"/>
        <v>#VALUE!</v>
      </c>
      <c r="DY638" s="1457"/>
      <c r="DZ638" s="1457"/>
      <c r="EA638" s="1457"/>
      <c r="EB638" s="1457"/>
      <c r="EC638" s="1457" t="e">
        <f t="shared" si="3"/>
        <v>#VALUE!</v>
      </c>
      <c r="ED638" s="1457"/>
      <c r="EE638" s="1457"/>
      <c r="EF638" s="1457"/>
      <c r="EG638" s="1457"/>
      <c r="EH638" s="1457">
        <f t="shared" si="4"/>
        <v>170.43103448275861</v>
      </c>
      <c r="EI638" s="1457"/>
      <c r="EJ638" s="1457"/>
      <c r="EK638" s="1457"/>
      <c r="EL638" s="1457"/>
      <c r="EM638" s="1457" t="e">
        <f t="shared" si="5"/>
        <v>#VALUE!</v>
      </c>
      <c r="EN638" s="1457"/>
      <c r="EO638" s="1457"/>
      <c r="EP638" s="1457"/>
      <c r="EQ638" s="1457"/>
      <c r="ER638" s="1457" t="e">
        <f t="shared" si="6"/>
        <v>#VALUE!</v>
      </c>
      <c r="ES638" s="1457"/>
      <c r="ET638" s="1457"/>
      <c r="EU638" s="1457"/>
      <c r="EV638" s="1457"/>
      <c r="EW638" s="1457" t="e">
        <f t="shared" si="7"/>
        <v>#VALUE!</v>
      </c>
      <c r="EX638" s="1457"/>
      <c r="EY638" s="1457"/>
      <c r="EZ638" s="1457"/>
      <c r="FA638" s="1457"/>
    </row>
    <row r="639" spans="2:157" ht="12.95" customHeight="1">
      <c r="B639" s="1641" t="s">
        <v>128</v>
      </c>
      <c r="C639" s="1642"/>
      <c r="D639" s="1642"/>
      <c r="E639" s="1642"/>
      <c r="F639" s="1642"/>
      <c r="G639" s="1642"/>
      <c r="H639" s="1642"/>
      <c r="I639" s="1642"/>
      <c r="J639" s="1642"/>
      <c r="K639" s="1642"/>
      <c r="L639" s="1642"/>
      <c r="M639" s="1642"/>
      <c r="N639" s="1642"/>
      <c r="O639" s="1642"/>
      <c r="P639" s="1642"/>
      <c r="Q639" s="1642"/>
      <c r="R639" s="1642"/>
      <c r="S639" s="1642"/>
      <c r="T639" s="1642"/>
      <c r="U639" s="1642"/>
      <c r="V639" s="1642"/>
      <c r="W639" s="1642"/>
      <c r="X639" s="1642"/>
      <c r="Y639" s="1642"/>
      <c r="Z639" s="1642"/>
      <c r="AA639" s="1642"/>
      <c r="AB639" s="1642"/>
      <c r="AC639" s="1642"/>
      <c r="AD639" s="1642"/>
      <c r="AE639" s="1642"/>
      <c r="AF639" s="1642"/>
      <c r="AG639" s="1642"/>
      <c r="AH639" s="1642"/>
      <c r="AI639" s="1642"/>
      <c r="AJ639" s="1642"/>
      <c r="AK639" s="1642"/>
      <c r="AL639" s="1642"/>
      <c r="AM639" s="1642"/>
      <c r="AN639" s="1643"/>
      <c r="AO639" s="1604">
        <f>SUM(AO627:AR638)</f>
        <v>30111378</v>
      </c>
      <c r="AP639" s="1605"/>
      <c r="AQ639" s="1605"/>
      <c r="AR639" s="1605"/>
      <c r="AS639" s="160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57" t="e">
        <f t="shared" si="2"/>
        <v>#VALUE!</v>
      </c>
      <c r="DY639" s="1457"/>
      <c r="DZ639" s="1457"/>
      <c r="EA639" s="1457"/>
      <c r="EB639" s="1457"/>
      <c r="EC639" s="1457" t="e">
        <f t="shared" si="3"/>
        <v>#VALUE!</v>
      </c>
      <c r="ED639" s="1457"/>
      <c r="EE639" s="1457"/>
      <c r="EF639" s="1457"/>
      <c r="EG639" s="1457"/>
      <c r="EH639" s="1457">
        <f t="shared" si="4"/>
        <v>2117.5862068965516</v>
      </c>
      <c r="EI639" s="1457"/>
      <c r="EJ639" s="1457"/>
      <c r="EK639" s="1457"/>
      <c r="EL639" s="1457"/>
      <c r="EM639" s="1457" t="e">
        <f t="shared" si="5"/>
        <v>#VALUE!</v>
      </c>
      <c r="EN639" s="1457"/>
      <c r="EO639" s="1457"/>
      <c r="EP639" s="1457"/>
      <c r="EQ639" s="1457"/>
      <c r="ER639" s="1457" t="e">
        <f t="shared" si="6"/>
        <v>#VALUE!</v>
      </c>
      <c r="ES639" s="1457"/>
      <c r="ET639" s="1457"/>
      <c r="EU639" s="1457"/>
      <c r="EV639" s="1457"/>
      <c r="EW639" s="1457" t="e">
        <f t="shared" si="7"/>
        <v>#VALUE!</v>
      </c>
      <c r="EX639" s="1457"/>
      <c r="EY639" s="1457"/>
      <c r="EZ639" s="1457"/>
      <c r="FA639" s="1457"/>
    </row>
    <row r="640" spans="2:157" ht="12.95" customHeight="1">
      <c r="B640" s="1641" t="s">
        <v>267</v>
      </c>
      <c r="C640" s="1642"/>
      <c r="D640" s="1642"/>
      <c r="E640" s="1642"/>
      <c r="F640" s="1642"/>
      <c r="G640" s="1642"/>
      <c r="H640" s="1642"/>
      <c r="I640" s="1642"/>
      <c r="J640" s="1642"/>
      <c r="K640" s="1642"/>
      <c r="L640" s="1642"/>
      <c r="M640" s="1642"/>
      <c r="N640" s="1642"/>
      <c r="O640" s="1642"/>
      <c r="P640" s="1642"/>
      <c r="Q640" s="1642"/>
      <c r="R640" s="1642"/>
      <c r="S640" s="1642"/>
      <c r="T640" s="1642"/>
      <c r="U640" s="1642"/>
      <c r="V640" s="1642"/>
      <c r="W640" s="1642"/>
      <c r="X640" s="1642"/>
      <c r="Y640" s="1642"/>
      <c r="Z640" s="1642"/>
      <c r="AA640" s="1642"/>
      <c r="AB640" s="1642"/>
      <c r="AC640" s="1642"/>
      <c r="AD640" s="1642"/>
      <c r="AE640" s="1642"/>
      <c r="AF640" s="1642"/>
      <c r="AG640" s="1642"/>
      <c r="AH640" s="1642"/>
      <c r="AI640" s="1642"/>
      <c r="AJ640" s="1642"/>
      <c r="AK640" s="1642"/>
      <c r="AL640" s="1642"/>
      <c r="AM640" s="1642"/>
      <c r="AN640" s="1643"/>
      <c r="AO640" s="1470">
        <v>24226614</v>
      </c>
      <c r="AP640" s="1471"/>
      <c r="AQ640" s="1471"/>
      <c r="AR640" s="1471"/>
      <c r="AS640" s="1472"/>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57" t="e">
        <f t="shared" si="2"/>
        <v>#VALUE!</v>
      </c>
      <c r="DY640" s="1457"/>
      <c r="DZ640" s="1457"/>
      <c r="EA640" s="1457"/>
      <c r="EB640" s="1457"/>
      <c r="EC640" s="1457" t="e">
        <f t="shared" si="3"/>
        <v>#VALUE!</v>
      </c>
      <c r="ED640" s="1457"/>
      <c r="EE640" s="1457"/>
      <c r="EF640" s="1457"/>
      <c r="EG640" s="1457"/>
      <c r="EH640" s="1457" t="e">
        <f t="shared" si="4"/>
        <v>#VALUE!</v>
      </c>
      <c r="EI640" s="1457"/>
      <c r="EJ640" s="1457"/>
      <c r="EK640" s="1457"/>
      <c r="EL640" s="1457"/>
      <c r="EM640" s="1457">
        <f t="shared" si="5"/>
        <v>111.35000000000001</v>
      </c>
      <c r="EN640" s="1457"/>
      <c r="EO640" s="1457"/>
      <c r="EP640" s="1457"/>
      <c r="EQ640" s="1457"/>
      <c r="ER640" s="1457" t="e">
        <f t="shared" si="6"/>
        <v>#VALUE!</v>
      </c>
      <c r="ES640" s="1457"/>
      <c r="ET640" s="1457"/>
      <c r="EU640" s="1457"/>
      <c r="EV640" s="1457"/>
      <c r="EW640" s="1457" t="e">
        <f t="shared" si="7"/>
        <v>#VALUE!</v>
      </c>
      <c r="EX640" s="1457"/>
      <c r="EY640" s="1457"/>
      <c r="EZ640" s="1457"/>
      <c r="FA640" s="1457"/>
    </row>
    <row r="641" spans="1:157" ht="12.95" customHeight="1">
      <c r="B641" s="1653" t="s">
        <v>268</v>
      </c>
      <c r="C641" s="1654"/>
      <c r="D641" s="1654"/>
      <c r="E641" s="1654"/>
      <c r="F641" s="1654"/>
      <c r="G641" s="1654"/>
      <c r="H641" s="1654"/>
      <c r="I641" s="1654"/>
      <c r="J641" s="1654"/>
      <c r="K641" s="1654"/>
      <c r="L641" s="1654"/>
      <c r="M641" s="1654"/>
      <c r="N641" s="1654"/>
      <c r="O641" s="1654"/>
      <c r="P641" s="1654"/>
      <c r="Q641" s="1654"/>
      <c r="R641" s="1654"/>
      <c r="S641" s="1654"/>
      <c r="T641" s="1654"/>
      <c r="U641" s="1654"/>
      <c r="V641" s="1654"/>
      <c r="W641" s="1654"/>
      <c r="X641" s="1654"/>
      <c r="Y641" s="1654"/>
      <c r="Z641" s="1654"/>
      <c r="AA641" s="1654"/>
      <c r="AB641" s="1654"/>
      <c r="AC641" s="1654"/>
      <c r="AD641" s="1654"/>
      <c r="AE641" s="1654"/>
      <c r="AF641" s="1654"/>
      <c r="AG641" s="1654"/>
      <c r="AH641" s="1654"/>
      <c r="AI641" s="1654"/>
      <c r="AJ641" s="1654"/>
      <c r="AK641" s="1654"/>
      <c r="AL641" s="1654"/>
      <c r="AM641" s="1654"/>
      <c r="AN641" s="1655"/>
      <c r="AO641" s="1604">
        <f>AO639+AO640</f>
        <v>54337992</v>
      </c>
      <c r="AP641" s="1605"/>
      <c r="AQ641" s="1605"/>
      <c r="AR641" s="1605"/>
      <c r="AS641" s="160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57" t="e">
        <f t="shared" si="2"/>
        <v>#VALUE!</v>
      </c>
      <c r="DY641" s="1457"/>
      <c r="DZ641" s="1457"/>
      <c r="EA641" s="1457"/>
      <c r="EB641" s="1457"/>
      <c r="EC641" s="1457" t="e">
        <f t="shared" si="3"/>
        <v>#VALUE!</v>
      </c>
      <c r="ED641" s="1457"/>
      <c r="EE641" s="1457"/>
      <c r="EF641" s="1457"/>
      <c r="EG641" s="1457"/>
      <c r="EH641" s="1457" t="e">
        <f t="shared" si="4"/>
        <v>#VALUE!</v>
      </c>
      <c r="EI641" s="1457"/>
      <c r="EJ641" s="1457"/>
      <c r="EK641" s="1457"/>
      <c r="EL641" s="1457"/>
      <c r="EM641" s="1457">
        <f t="shared" si="5"/>
        <v>190.15</v>
      </c>
      <c r="EN641" s="1457"/>
      <c r="EO641" s="1457"/>
      <c r="EP641" s="1457"/>
      <c r="EQ641" s="1457"/>
      <c r="ER641" s="1457" t="e">
        <f t="shared" si="6"/>
        <v>#VALUE!</v>
      </c>
      <c r="ES641" s="1457"/>
      <c r="ET641" s="1457"/>
      <c r="EU641" s="1457"/>
      <c r="EV641" s="1457"/>
      <c r="EW641" s="1457" t="e">
        <f t="shared" si="7"/>
        <v>#VALUE!</v>
      </c>
      <c r="EX641" s="1457"/>
      <c r="EY641" s="1457"/>
      <c r="EZ641" s="1457"/>
      <c r="FA641" s="1457"/>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57" t="e">
        <f t="shared" si="2"/>
        <v>#VALUE!</v>
      </c>
      <c r="DY642" s="1457"/>
      <c r="DZ642" s="1457"/>
      <c r="EA642" s="1457"/>
      <c r="EB642" s="1457"/>
      <c r="EC642" s="1457" t="e">
        <f t="shared" si="3"/>
        <v>#VALUE!</v>
      </c>
      <c r="ED642" s="1457"/>
      <c r="EE642" s="1457"/>
      <c r="EF642" s="1457"/>
      <c r="EG642" s="1457"/>
      <c r="EH642" s="1457" t="e">
        <f t="shared" si="4"/>
        <v>#VALUE!</v>
      </c>
      <c r="EI642" s="1457"/>
      <c r="EJ642" s="1457"/>
      <c r="EK642" s="1457"/>
      <c r="EL642" s="1457"/>
      <c r="EM642" s="1457">
        <f t="shared" si="5"/>
        <v>2466.4</v>
      </c>
      <c r="EN642" s="1457"/>
      <c r="EO642" s="1457"/>
      <c r="EP642" s="1457"/>
      <c r="EQ642" s="1457"/>
      <c r="ER642" s="1457" t="e">
        <f t="shared" si="6"/>
        <v>#VALUE!</v>
      </c>
      <c r="ES642" s="1457"/>
      <c r="ET642" s="1457"/>
      <c r="EU642" s="1457"/>
      <c r="EV642" s="1457"/>
      <c r="EW642" s="1457" t="e">
        <f t="shared" si="7"/>
        <v>#VALUE!</v>
      </c>
      <c r="EX642" s="1457"/>
      <c r="EY642" s="1457"/>
      <c r="EZ642" s="1457"/>
      <c r="FA642" s="1457"/>
    </row>
    <row r="643" spans="1:157" ht="12.95" customHeight="1">
      <c r="A643" s="55" t="s">
        <v>112</v>
      </c>
      <c r="B643" t="s">
        <v>464</v>
      </c>
      <c r="G643" s="1358" t="str">
        <f>C627</f>
        <v>KeyBank</v>
      </c>
      <c r="H643" s="1358"/>
      <c r="I643" s="1358"/>
      <c r="J643" s="1358"/>
      <c r="K643" s="1358"/>
      <c r="L643" s="1358"/>
      <c r="M643" s="1358"/>
      <c r="N643" s="1358"/>
      <c r="O643" s="1358"/>
      <c r="P643" s="1358"/>
      <c r="Q643" s="1358"/>
      <c r="R643" s="1358"/>
      <c r="S643" s="8"/>
      <c r="T643" s="55" t="s">
        <v>113</v>
      </c>
      <c r="U643" t="s">
        <v>464</v>
      </c>
      <c r="Z643" s="1358" t="str">
        <f>C628</f>
        <v>Samuelian Group</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57" t="e">
        <f t="shared" si="2"/>
        <v>#VALUE!</v>
      </c>
      <c r="DY643" s="1457"/>
      <c r="DZ643" s="1457"/>
      <c r="EA643" s="1457"/>
      <c r="EB643" s="1457"/>
      <c r="EC643" s="1457" t="e">
        <f t="shared" si="3"/>
        <v>#VALUE!</v>
      </c>
      <c r="ED643" s="1457"/>
      <c r="EE643" s="1457"/>
      <c r="EF643" s="1457"/>
      <c r="EG643" s="1457"/>
      <c r="EH643" s="1457" t="e">
        <f t="shared" si="4"/>
        <v>#VALUE!</v>
      </c>
      <c r="EI643" s="1457"/>
      <c r="EJ643" s="1457"/>
      <c r="EK643" s="1457"/>
      <c r="EL643" s="1457"/>
      <c r="EM643" s="1457" t="e">
        <f t="shared" si="5"/>
        <v>#VALUE!</v>
      </c>
      <c r="EN643" s="1457"/>
      <c r="EO643" s="1457"/>
      <c r="EP643" s="1457"/>
      <c r="EQ643" s="1457"/>
      <c r="ER643" s="1457" t="e">
        <f t="shared" si="6"/>
        <v>#VALUE!</v>
      </c>
      <c r="ES643" s="1457"/>
      <c r="ET643" s="1457"/>
      <c r="EU643" s="1457"/>
      <c r="EV643" s="1457"/>
      <c r="EW643" s="1457" t="e">
        <f t="shared" si="7"/>
        <v>#VALUE!</v>
      </c>
      <c r="EX643" s="1457"/>
      <c r="EY643" s="1457"/>
      <c r="EZ643" s="1457"/>
      <c r="FA643" s="1457"/>
    </row>
    <row r="644" spans="1:157" ht="12.95" customHeight="1">
      <c r="A644" s="22"/>
      <c r="B644" t="s">
        <v>85</v>
      </c>
      <c r="G644" s="1371" t="s">
        <v>2695</v>
      </c>
      <c r="H644" s="1371"/>
      <c r="I644" s="1371"/>
      <c r="J644" s="1371"/>
      <c r="K644" s="1371"/>
      <c r="L644" s="1371"/>
      <c r="M644" s="1371"/>
      <c r="N644" s="1371"/>
      <c r="O644" s="1371"/>
      <c r="P644" s="1371"/>
      <c r="Q644" s="1371"/>
      <c r="R644" s="1371"/>
      <c r="S644" s="8"/>
      <c r="T644" s="22"/>
      <c r="U644" t="s">
        <v>85</v>
      </c>
      <c r="Z644" s="1371" t="s">
        <v>2632</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57" t="e">
        <f t="shared" si="2"/>
        <v>#VALUE!</v>
      </c>
      <c r="DY644" s="1457"/>
      <c r="DZ644" s="1457"/>
      <c r="EA644" s="1457"/>
      <c r="EB644" s="1457"/>
      <c r="EC644" s="1457" t="e">
        <f t="shared" si="3"/>
        <v>#VALUE!</v>
      </c>
      <c r="ED644" s="1457"/>
      <c r="EE644" s="1457"/>
      <c r="EF644" s="1457"/>
      <c r="EG644" s="1457"/>
      <c r="EH644" s="1457" t="e">
        <f t="shared" si="4"/>
        <v>#VALUE!</v>
      </c>
      <c r="EI644" s="1457"/>
      <c r="EJ644" s="1457"/>
      <c r="EK644" s="1457"/>
      <c r="EL644" s="1457"/>
      <c r="EM644" s="1457" t="e">
        <f t="shared" si="5"/>
        <v>#VALUE!</v>
      </c>
      <c r="EN644" s="1457"/>
      <c r="EO644" s="1457"/>
      <c r="EP644" s="1457"/>
      <c r="EQ644" s="1457"/>
      <c r="ER644" s="1457" t="e">
        <f t="shared" si="6"/>
        <v>#VALUE!</v>
      </c>
      <c r="ES644" s="1457"/>
      <c r="ET644" s="1457"/>
      <c r="EU644" s="1457"/>
      <c r="EV644" s="1457"/>
      <c r="EW644" s="1457" t="e">
        <f t="shared" si="7"/>
        <v>#VALUE!</v>
      </c>
      <c r="EX644" s="1457"/>
      <c r="EY644" s="1457"/>
      <c r="EZ644" s="1457"/>
      <c r="FA644" s="1457"/>
    </row>
    <row r="645" spans="1:157" ht="12.95" customHeight="1">
      <c r="A645" s="22"/>
      <c r="B645" t="s">
        <v>581</v>
      </c>
      <c r="G645" s="1371" t="s">
        <v>2696</v>
      </c>
      <c r="H645" s="1371"/>
      <c r="I645" s="1371"/>
      <c r="J645" s="1371"/>
      <c r="K645" s="1371"/>
      <c r="L645" s="1371"/>
      <c r="M645" s="1371"/>
      <c r="N645" s="1371"/>
      <c r="O645" s="1371"/>
      <c r="P645" s="1371"/>
      <c r="Q645" s="1371"/>
      <c r="R645" s="1371"/>
      <c r="T645" s="22"/>
      <c r="U645" t="s">
        <v>581</v>
      </c>
      <c r="Z645" s="1348" t="s">
        <v>2641</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57" t="e">
        <f t="shared" si="2"/>
        <v>#VALUE!</v>
      </c>
      <c r="DY645" s="1457"/>
      <c r="DZ645" s="1457"/>
      <c r="EA645" s="1457"/>
      <c r="EB645" s="1457"/>
      <c r="EC645" s="1457" t="e">
        <f t="shared" si="3"/>
        <v>#VALUE!</v>
      </c>
      <c r="ED645" s="1457"/>
      <c r="EE645" s="1457"/>
      <c r="EF645" s="1457"/>
      <c r="EG645" s="1457"/>
      <c r="EH645" s="1457" t="e">
        <f t="shared" si="4"/>
        <v>#VALUE!</v>
      </c>
      <c r="EI645" s="1457"/>
      <c r="EJ645" s="1457"/>
      <c r="EK645" s="1457"/>
      <c r="EL645" s="1457"/>
      <c r="EM645" s="1457" t="e">
        <f t="shared" si="5"/>
        <v>#VALUE!</v>
      </c>
      <c r="EN645" s="1457"/>
      <c r="EO645" s="1457"/>
      <c r="EP645" s="1457"/>
      <c r="EQ645" s="1457"/>
      <c r="ER645" s="1457" t="e">
        <f t="shared" si="6"/>
        <v>#VALUE!</v>
      </c>
      <c r="ES645" s="1457"/>
      <c r="ET645" s="1457"/>
      <c r="EU645" s="1457"/>
      <c r="EV645" s="1457"/>
      <c r="EW645" s="1457" t="e">
        <f t="shared" si="7"/>
        <v>#VALUE!</v>
      </c>
      <c r="EX645" s="1457"/>
      <c r="EY645" s="1457"/>
      <c r="EZ645" s="1457"/>
      <c r="FA645" s="1457"/>
    </row>
    <row r="646" spans="1:157" ht="12.95" customHeight="1">
      <c r="A646" s="22"/>
      <c r="B646" t="s">
        <v>17</v>
      </c>
      <c r="G646" s="1371" t="s">
        <v>2697</v>
      </c>
      <c r="H646" s="1371"/>
      <c r="I646" s="1371"/>
      <c r="J646" s="1371"/>
      <c r="K646" s="1371"/>
      <c r="L646" s="1371"/>
      <c r="M646" s="1371"/>
      <c r="N646" s="1371"/>
      <c r="O646" s="1371"/>
      <c r="P646" s="1371"/>
      <c r="Q646" s="1371"/>
      <c r="R646" s="1371"/>
      <c r="S646" s="8"/>
      <c r="T646" s="22"/>
      <c r="U646" t="s">
        <v>17</v>
      </c>
      <c r="Z646" s="1348" t="s">
        <v>2634</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57" t="e">
        <f t="shared" si="2"/>
        <v>#VALUE!</v>
      </c>
      <c r="DY646" s="1457"/>
      <c r="DZ646" s="1457"/>
      <c r="EA646" s="1457"/>
      <c r="EB646" s="1457"/>
      <c r="EC646" s="1457" t="e">
        <f t="shared" si="3"/>
        <v>#VALUE!</v>
      </c>
      <c r="ED646" s="1457"/>
      <c r="EE646" s="1457"/>
      <c r="EF646" s="1457"/>
      <c r="EG646" s="1457"/>
      <c r="EH646" s="1457" t="e">
        <f t="shared" si="4"/>
        <v>#VALUE!</v>
      </c>
      <c r="EI646" s="1457"/>
      <c r="EJ646" s="1457"/>
      <c r="EK646" s="1457"/>
      <c r="EL646" s="1457"/>
      <c r="EM646" s="1457" t="e">
        <f t="shared" si="5"/>
        <v>#VALUE!</v>
      </c>
      <c r="EN646" s="1457"/>
      <c r="EO646" s="1457"/>
      <c r="EP646" s="1457"/>
      <c r="EQ646" s="1457"/>
      <c r="ER646" s="1457" t="e">
        <f t="shared" si="6"/>
        <v>#VALUE!</v>
      </c>
      <c r="ES646" s="1457"/>
      <c r="ET646" s="1457"/>
      <c r="EU646" s="1457"/>
      <c r="EV646" s="1457"/>
      <c r="EW646" s="1457" t="e">
        <f t="shared" si="7"/>
        <v>#VALUE!</v>
      </c>
      <c r="EX646" s="1457"/>
      <c r="EY646" s="1457"/>
      <c r="EZ646" s="1457"/>
      <c r="FA646" s="1457"/>
    </row>
    <row r="647" spans="1:157" ht="12.95" customHeight="1">
      <c r="A647" s="22"/>
      <c r="B647" t="s">
        <v>316</v>
      </c>
      <c r="G647" s="1346" t="s">
        <v>2700</v>
      </c>
      <c r="H647" s="1346"/>
      <c r="I647" s="1346"/>
      <c r="J647" s="1346"/>
      <c r="K647" s="1346"/>
      <c r="L647" s="1346"/>
      <c r="O647" s="33" t="s">
        <v>206</v>
      </c>
      <c r="P647" s="1437"/>
      <c r="Q647" s="1437"/>
      <c r="R647" s="1437"/>
      <c r="S647" s="10"/>
      <c r="T647" s="22"/>
      <c r="U647" t="s">
        <v>316</v>
      </c>
      <c r="Z647" s="1346" t="s">
        <v>2635</v>
      </c>
      <c r="AA647" s="1346"/>
      <c r="AB647" s="1346"/>
      <c r="AC647" s="1346"/>
      <c r="AD647" s="1346"/>
      <c r="AE647" s="1346"/>
      <c r="AH647" s="33" t="s">
        <v>206</v>
      </c>
      <c r="AI647" s="1437"/>
      <c r="AJ647" s="1437"/>
      <c r="AK647" s="1437"/>
      <c r="AZ647" s="34"/>
      <c r="BA647" s="34"/>
      <c r="BB647" s="34"/>
      <c r="BC647" s="34"/>
      <c r="BD647" s="34"/>
      <c r="BE647" s="34"/>
      <c r="BF647" s="34"/>
      <c r="BG647" s="34"/>
      <c r="BH647" s="34"/>
      <c r="BI647" s="34"/>
      <c r="BJ647" s="34"/>
      <c r="BK647" s="34"/>
      <c r="BL647" s="34"/>
      <c r="BM647" s="34"/>
      <c r="DX647" s="1457" t="e">
        <f t="shared" si="2"/>
        <v>#VALUE!</v>
      </c>
      <c r="DY647" s="1457"/>
      <c r="DZ647" s="1457"/>
      <c r="EA647" s="1457"/>
      <c r="EB647" s="1457"/>
      <c r="EC647" s="1457" t="e">
        <f t="shared" si="3"/>
        <v>#VALUE!</v>
      </c>
      <c r="ED647" s="1457"/>
      <c r="EE647" s="1457"/>
      <c r="EF647" s="1457"/>
      <c r="EG647" s="1457"/>
      <c r="EH647" s="1457" t="e">
        <f t="shared" si="4"/>
        <v>#VALUE!</v>
      </c>
      <c r="EI647" s="1457"/>
      <c r="EJ647" s="1457"/>
      <c r="EK647" s="1457"/>
      <c r="EL647" s="1457"/>
      <c r="EM647" s="1457" t="e">
        <f t="shared" si="5"/>
        <v>#VALUE!</v>
      </c>
      <c r="EN647" s="1457"/>
      <c r="EO647" s="1457"/>
      <c r="EP647" s="1457"/>
      <c r="EQ647" s="1457"/>
      <c r="ER647" s="1457" t="e">
        <f t="shared" si="6"/>
        <v>#VALUE!</v>
      </c>
      <c r="ES647" s="1457"/>
      <c r="ET647" s="1457"/>
      <c r="EU647" s="1457"/>
      <c r="EV647" s="1457"/>
      <c r="EW647" s="1457" t="e">
        <f t="shared" si="7"/>
        <v>#VALUE!</v>
      </c>
      <c r="EX647" s="1457"/>
      <c r="EY647" s="1457"/>
      <c r="EZ647" s="1457"/>
      <c r="FA647" s="1457"/>
    </row>
    <row r="648" spans="1:157" ht="12.95" customHeight="1">
      <c r="A648" s="22"/>
      <c r="B648" t="s">
        <v>18</v>
      </c>
      <c r="H648" s="1416" t="s">
        <v>2703</v>
      </c>
      <c r="I648" s="1371"/>
      <c r="J648" s="1371"/>
      <c r="K648" s="1371"/>
      <c r="L648" s="1371"/>
      <c r="M648" s="1371"/>
      <c r="N648" s="1371"/>
      <c r="O648" s="1371"/>
      <c r="P648" s="1371"/>
      <c r="Q648" s="1371"/>
      <c r="R648" s="1371"/>
      <c r="S648" s="8"/>
      <c r="T648" s="22"/>
      <c r="U648" t="s">
        <v>18</v>
      </c>
      <c r="AA648" s="1416" t="s">
        <v>2321</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57" t="e">
        <f t="shared" si="2"/>
        <v>#VALUE!</v>
      </c>
      <c r="DY648" s="1457"/>
      <c r="DZ648" s="1457"/>
      <c r="EA648" s="1457"/>
      <c r="EB648" s="1457"/>
      <c r="EC648" s="1457" t="e">
        <f t="shared" si="3"/>
        <v>#VALUE!</v>
      </c>
      <c r="ED648" s="1457"/>
      <c r="EE648" s="1457"/>
      <c r="EF648" s="1457"/>
      <c r="EG648" s="1457"/>
      <c r="EH648" s="1457" t="e">
        <f t="shared" si="4"/>
        <v>#VALUE!</v>
      </c>
      <c r="EI648" s="1457"/>
      <c r="EJ648" s="1457"/>
      <c r="EK648" s="1457"/>
      <c r="EL648" s="1457"/>
      <c r="EM648" s="1457" t="e">
        <f t="shared" si="5"/>
        <v>#VALUE!</v>
      </c>
      <c r="EN648" s="1457"/>
      <c r="EO648" s="1457"/>
      <c r="EP648" s="1457"/>
      <c r="EQ648" s="1457"/>
      <c r="ER648" s="1457" t="e">
        <f t="shared" si="6"/>
        <v>#VALUE!</v>
      </c>
      <c r="ES648" s="1457"/>
      <c r="ET648" s="1457"/>
      <c r="EU648" s="1457"/>
      <c r="EV648" s="1457"/>
      <c r="EW648" s="1457" t="e">
        <f t="shared" si="7"/>
        <v>#VALUE!</v>
      </c>
      <c r="EX648" s="1457"/>
      <c r="EY648" s="1457"/>
      <c r="EZ648" s="1457"/>
      <c r="FA648" s="1457"/>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57" t="e">
        <f t="shared" si="2"/>
        <v>#VALUE!</v>
      </c>
      <c r="DY649" s="1457"/>
      <c r="DZ649" s="1457"/>
      <c r="EA649" s="1457"/>
      <c r="EB649" s="1457"/>
      <c r="EC649" s="1457" t="e">
        <f t="shared" si="3"/>
        <v>#VALUE!</v>
      </c>
      <c r="ED649" s="1457"/>
      <c r="EE649" s="1457"/>
      <c r="EF649" s="1457"/>
      <c r="EG649" s="1457"/>
      <c r="EH649" s="1457" t="e">
        <f t="shared" si="4"/>
        <v>#VALUE!</v>
      </c>
      <c r="EI649" s="1457"/>
      <c r="EJ649" s="1457"/>
      <c r="EK649" s="1457"/>
      <c r="EL649" s="1457"/>
      <c r="EM649" s="1457" t="e">
        <f t="shared" si="5"/>
        <v>#VALUE!</v>
      </c>
      <c r="EN649" s="1457"/>
      <c r="EO649" s="1457"/>
      <c r="EP649" s="1457"/>
      <c r="EQ649" s="1457"/>
      <c r="ER649" s="1457" t="e">
        <f t="shared" si="6"/>
        <v>#VALUE!</v>
      </c>
      <c r="ES649" s="1457"/>
      <c r="ET649" s="1457"/>
      <c r="EU649" s="1457"/>
      <c r="EV649" s="1457"/>
      <c r="EW649" s="1457" t="e">
        <f t="shared" si="7"/>
        <v>#VALUE!</v>
      </c>
      <c r="EX649" s="1457"/>
      <c r="EY649" s="1457"/>
      <c r="EZ649" s="1457"/>
      <c r="FA649" s="1457"/>
    </row>
    <row r="650" spans="1:157" ht="12.95" customHeight="1">
      <c r="A650" s="22"/>
      <c r="T650" s="22"/>
      <c r="AZ650" s="34"/>
      <c r="BA650" s="34"/>
      <c r="BB650" s="34"/>
      <c r="BC650" s="34"/>
      <c r="BD650" s="34"/>
      <c r="BE650" s="34"/>
      <c r="BF650" s="34"/>
      <c r="BG650" s="34"/>
      <c r="BH650" s="34"/>
      <c r="BI650" s="34"/>
      <c r="BJ650" s="34"/>
      <c r="BK650" s="34"/>
      <c r="BL650" s="34"/>
      <c r="BM650" s="34"/>
      <c r="DX650" s="1457" t="e">
        <f t="shared" si="2"/>
        <v>#VALUE!</v>
      </c>
      <c r="DY650" s="1457"/>
      <c r="DZ650" s="1457"/>
      <c r="EA650" s="1457"/>
      <c r="EB650" s="1457"/>
      <c r="EC650" s="1457" t="e">
        <f t="shared" si="3"/>
        <v>#VALUE!</v>
      </c>
      <c r="ED650" s="1457"/>
      <c r="EE650" s="1457"/>
      <c r="EF650" s="1457"/>
      <c r="EG650" s="1457"/>
      <c r="EH650" s="1457" t="e">
        <f t="shared" si="4"/>
        <v>#VALUE!</v>
      </c>
      <c r="EI650" s="1457"/>
      <c r="EJ650" s="1457"/>
      <c r="EK650" s="1457"/>
      <c r="EL650" s="1457"/>
      <c r="EM650" s="1457" t="e">
        <f t="shared" si="5"/>
        <v>#VALUE!</v>
      </c>
      <c r="EN650" s="1457"/>
      <c r="EO650" s="1457"/>
      <c r="EP650" s="1457"/>
      <c r="EQ650" s="1457"/>
      <c r="ER650" s="1457" t="e">
        <f t="shared" si="6"/>
        <v>#VALUE!</v>
      </c>
      <c r="ES650" s="1457"/>
      <c r="ET650" s="1457"/>
      <c r="EU650" s="1457"/>
      <c r="EV650" s="1457"/>
      <c r="EW650" s="1457" t="e">
        <f t="shared" si="7"/>
        <v>#VALUE!</v>
      </c>
      <c r="EX650" s="1457"/>
      <c r="EY650" s="1457"/>
      <c r="EZ650" s="1457"/>
      <c r="FA650" s="1457"/>
    </row>
    <row r="651" spans="1:157" ht="12.95" customHeight="1">
      <c r="A651" s="55" t="s">
        <v>119</v>
      </c>
      <c r="B651" t="s">
        <v>464</v>
      </c>
      <c r="G651" s="1358">
        <f>C629</f>
        <v>0</v>
      </c>
      <c r="H651" s="1358"/>
      <c r="I651" s="1358"/>
      <c r="J651" s="1358"/>
      <c r="K651" s="1358"/>
      <c r="L651" s="1358"/>
      <c r="M651" s="1358"/>
      <c r="N651" s="1358"/>
      <c r="O651" s="1358"/>
      <c r="P651" s="1358"/>
      <c r="Q651" s="1358"/>
      <c r="R651" s="1358"/>
      <c r="T651" s="55" t="s">
        <v>582</v>
      </c>
      <c r="U651" t="s">
        <v>464</v>
      </c>
      <c r="Z651" s="1358">
        <f>C630</f>
        <v>0</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57" t="e">
        <f t="shared" si="2"/>
        <v>#VALUE!</v>
      </c>
      <c r="DY651" s="1457"/>
      <c r="DZ651" s="1457"/>
      <c r="EA651" s="1457"/>
      <c r="EB651" s="1457"/>
      <c r="EC651" s="1457" t="e">
        <f t="shared" si="3"/>
        <v>#VALUE!</v>
      </c>
      <c r="ED651" s="1457"/>
      <c r="EE651" s="1457"/>
      <c r="EF651" s="1457"/>
      <c r="EG651" s="1457"/>
      <c r="EH651" s="1457" t="e">
        <f t="shared" si="4"/>
        <v>#VALUE!</v>
      </c>
      <c r="EI651" s="1457"/>
      <c r="EJ651" s="1457"/>
      <c r="EK651" s="1457"/>
      <c r="EL651" s="1457"/>
      <c r="EM651" s="1457" t="e">
        <f t="shared" si="5"/>
        <v>#VALUE!</v>
      </c>
      <c r="EN651" s="1457"/>
      <c r="EO651" s="1457"/>
      <c r="EP651" s="1457"/>
      <c r="EQ651" s="1457"/>
      <c r="ER651" s="1457" t="e">
        <f t="shared" si="6"/>
        <v>#VALUE!</v>
      </c>
      <c r="ES651" s="1457"/>
      <c r="ET651" s="1457"/>
      <c r="EU651" s="1457"/>
      <c r="EV651" s="1457"/>
      <c r="EW651" s="1457" t="e">
        <f t="shared" si="7"/>
        <v>#VALUE!</v>
      </c>
      <c r="EX651" s="1457"/>
      <c r="EY651" s="1457"/>
      <c r="EZ651" s="1457"/>
      <c r="FA651" s="1457"/>
    </row>
    <row r="652" spans="1:157" ht="12.95" customHeight="1">
      <c r="A652" s="22"/>
      <c r="B652" t="s">
        <v>85</v>
      </c>
      <c r="G652" s="1371"/>
      <c r="H652" s="1371"/>
      <c r="I652" s="1371"/>
      <c r="J652" s="1371"/>
      <c r="K652" s="1371"/>
      <c r="L652" s="1371"/>
      <c r="M652" s="1371"/>
      <c r="N652" s="1371"/>
      <c r="O652" s="1371"/>
      <c r="P652" s="1371"/>
      <c r="Q652" s="1371"/>
      <c r="R652" s="1371"/>
      <c r="T652" s="22"/>
      <c r="U652" t="s">
        <v>85</v>
      </c>
      <c r="Z652" s="1371"/>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57" t="e">
        <f t="shared" si="2"/>
        <v>#VALUE!</v>
      </c>
      <c r="DY652" s="1457"/>
      <c r="DZ652" s="1457"/>
      <c r="EA652" s="1457"/>
      <c r="EB652" s="1457"/>
      <c r="EC652" s="1457" t="e">
        <f t="shared" si="3"/>
        <v>#VALUE!</v>
      </c>
      <c r="ED652" s="1457"/>
      <c r="EE652" s="1457"/>
      <c r="EF652" s="1457"/>
      <c r="EG652" s="1457"/>
      <c r="EH652" s="1457" t="e">
        <f t="shared" si="4"/>
        <v>#VALUE!</v>
      </c>
      <c r="EI652" s="1457"/>
      <c r="EJ652" s="1457"/>
      <c r="EK652" s="1457"/>
      <c r="EL652" s="1457"/>
      <c r="EM652" s="1457" t="e">
        <f t="shared" si="5"/>
        <v>#VALUE!</v>
      </c>
      <c r="EN652" s="1457"/>
      <c r="EO652" s="1457"/>
      <c r="EP652" s="1457"/>
      <c r="EQ652" s="1457"/>
      <c r="ER652" s="1457" t="e">
        <f t="shared" si="6"/>
        <v>#VALUE!</v>
      </c>
      <c r="ES652" s="1457"/>
      <c r="ET652" s="1457"/>
      <c r="EU652" s="1457"/>
      <c r="EV652" s="1457"/>
      <c r="EW652" s="1457" t="e">
        <f t="shared" si="7"/>
        <v>#VALUE!</v>
      </c>
      <c r="EX652" s="1457"/>
      <c r="EY652" s="1457"/>
      <c r="EZ652" s="1457"/>
      <c r="FA652" s="1457"/>
    </row>
    <row r="653" spans="1:157" ht="12.95" customHeight="1">
      <c r="A653" s="22"/>
      <c r="B653" t="s">
        <v>581</v>
      </c>
      <c r="G653" s="1348"/>
      <c r="H653" s="1348"/>
      <c r="I653" s="1348"/>
      <c r="J653" s="1348"/>
      <c r="K653" s="1348"/>
      <c r="L653" s="1348"/>
      <c r="M653" s="1348"/>
      <c r="N653" s="1348"/>
      <c r="O653" s="1348"/>
      <c r="P653" s="1348"/>
      <c r="Q653" s="1348"/>
      <c r="R653" s="1348"/>
      <c r="T653" s="22"/>
      <c r="U653" t="s">
        <v>581</v>
      </c>
      <c r="Z653" s="1348"/>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57" t="e">
        <f t="shared" si="2"/>
        <v>#VALUE!</v>
      </c>
      <c r="DY653" s="1457"/>
      <c r="DZ653" s="1457"/>
      <c r="EA653" s="1457"/>
      <c r="EB653" s="1457"/>
      <c r="EC653" s="1457" t="e">
        <f t="shared" si="3"/>
        <v>#VALUE!</v>
      </c>
      <c r="ED653" s="1457"/>
      <c r="EE653" s="1457"/>
      <c r="EF653" s="1457"/>
      <c r="EG653" s="1457"/>
      <c r="EH653" s="1457" t="e">
        <f t="shared" si="4"/>
        <v>#VALUE!</v>
      </c>
      <c r="EI653" s="1457"/>
      <c r="EJ653" s="1457"/>
      <c r="EK653" s="1457"/>
      <c r="EL653" s="1457"/>
      <c r="EM653" s="1457" t="e">
        <f t="shared" si="5"/>
        <v>#VALUE!</v>
      </c>
      <c r="EN653" s="1457"/>
      <c r="EO653" s="1457"/>
      <c r="EP653" s="1457"/>
      <c r="EQ653" s="1457"/>
      <c r="ER653" s="1457" t="e">
        <f t="shared" si="6"/>
        <v>#VALUE!</v>
      </c>
      <c r="ES653" s="1457"/>
      <c r="ET653" s="1457"/>
      <c r="EU653" s="1457"/>
      <c r="EV653" s="1457"/>
      <c r="EW653" s="1457" t="e">
        <f t="shared" si="7"/>
        <v>#VALUE!</v>
      </c>
      <c r="EX653" s="1457"/>
      <c r="EY653" s="1457"/>
      <c r="EZ653" s="1457"/>
      <c r="FA653" s="1457"/>
    </row>
    <row r="654" spans="1:157" ht="12.95" customHeight="1">
      <c r="A654" s="22"/>
      <c r="B654" t="s">
        <v>17</v>
      </c>
      <c r="G654" s="1348"/>
      <c r="H654" s="1348"/>
      <c r="I654" s="1348"/>
      <c r="J654" s="1348"/>
      <c r="K654" s="1348"/>
      <c r="L654" s="1348"/>
      <c r="M654" s="1348"/>
      <c r="N654" s="1348"/>
      <c r="O654" s="1348"/>
      <c r="P654" s="1348"/>
      <c r="Q654" s="1348"/>
      <c r="R654" s="1348"/>
      <c r="T654" s="22"/>
      <c r="U654" t="s">
        <v>17</v>
      </c>
      <c r="Z654" s="1348"/>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57" t="e">
        <f t="shared" si="2"/>
        <v>#VALUE!</v>
      </c>
      <c r="DY654" s="1457"/>
      <c r="DZ654" s="1457"/>
      <c r="EA654" s="1457"/>
      <c r="EB654" s="1457"/>
      <c r="EC654" s="1457" t="e">
        <f t="shared" si="3"/>
        <v>#VALUE!</v>
      </c>
      <c r="ED654" s="1457"/>
      <c r="EE654" s="1457"/>
      <c r="EF654" s="1457"/>
      <c r="EG654" s="1457"/>
      <c r="EH654" s="1457" t="e">
        <f t="shared" si="4"/>
        <v>#VALUE!</v>
      </c>
      <c r="EI654" s="1457"/>
      <c r="EJ654" s="1457"/>
      <c r="EK654" s="1457"/>
      <c r="EL654" s="1457"/>
      <c r="EM654" s="1457" t="e">
        <f t="shared" si="5"/>
        <v>#VALUE!</v>
      </c>
      <c r="EN654" s="1457"/>
      <c r="EO654" s="1457"/>
      <c r="EP654" s="1457"/>
      <c r="EQ654" s="1457"/>
      <c r="ER654" s="1457" t="e">
        <f t="shared" si="6"/>
        <v>#VALUE!</v>
      </c>
      <c r="ES654" s="1457"/>
      <c r="ET654" s="1457"/>
      <c r="EU654" s="1457"/>
      <c r="EV654" s="1457"/>
      <c r="EW654" s="1457" t="e">
        <f t="shared" si="7"/>
        <v>#VALUE!</v>
      </c>
      <c r="EX654" s="1457"/>
      <c r="EY654" s="1457"/>
      <c r="EZ654" s="1457"/>
      <c r="FA654" s="1457"/>
    </row>
    <row r="655" spans="1:157" ht="12.95" customHeight="1">
      <c r="A655" s="22"/>
      <c r="B655" t="s">
        <v>316</v>
      </c>
      <c r="G655" s="1346"/>
      <c r="H655" s="1346"/>
      <c r="I655" s="1346"/>
      <c r="J655" s="1346"/>
      <c r="K655" s="1346"/>
      <c r="L655" s="1346"/>
      <c r="O655" s="33" t="s">
        <v>206</v>
      </c>
      <c r="P655" s="1437"/>
      <c r="Q655" s="1437"/>
      <c r="R655" s="1437"/>
      <c r="T655" s="22"/>
      <c r="U655" t="s">
        <v>316</v>
      </c>
      <c r="Z655" s="1346"/>
      <c r="AA655" s="1346"/>
      <c r="AB655" s="1346"/>
      <c r="AC655" s="1346"/>
      <c r="AD655" s="1346"/>
      <c r="AE655" s="1346"/>
      <c r="AH655" s="33" t="s">
        <v>206</v>
      </c>
      <c r="AI655" s="1437"/>
      <c r="AJ655" s="1437"/>
      <c r="AK655" s="1437"/>
      <c r="AZ655" s="34"/>
      <c r="BA655" s="34"/>
      <c r="BB655" s="34"/>
      <c r="BC655" s="34"/>
      <c r="BD655" s="34"/>
      <c r="BE655" s="34"/>
      <c r="BF655" s="34"/>
      <c r="BG655" s="34"/>
      <c r="BH655" s="34"/>
      <c r="BI655" s="34"/>
      <c r="BJ655" s="34"/>
      <c r="BK655" s="34"/>
      <c r="BL655" s="34"/>
      <c r="BM655" s="34"/>
      <c r="DX655" s="1457" t="e">
        <f t="shared" si="2"/>
        <v>#VALUE!</v>
      </c>
      <c r="DY655" s="1457"/>
      <c r="DZ655" s="1457"/>
      <c r="EA655" s="1457"/>
      <c r="EB655" s="1457"/>
      <c r="EC655" s="1457" t="e">
        <f t="shared" si="3"/>
        <v>#VALUE!</v>
      </c>
      <c r="ED655" s="1457"/>
      <c r="EE655" s="1457"/>
      <c r="EF655" s="1457"/>
      <c r="EG655" s="1457"/>
      <c r="EH655" s="1457" t="e">
        <f t="shared" si="4"/>
        <v>#VALUE!</v>
      </c>
      <c r="EI655" s="1457"/>
      <c r="EJ655" s="1457"/>
      <c r="EK655" s="1457"/>
      <c r="EL655" s="1457"/>
      <c r="EM655" s="1457" t="e">
        <f t="shared" si="5"/>
        <v>#VALUE!</v>
      </c>
      <c r="EN655" s="1457"/>
      <c r="EO655" s="1457"/>
      <c r="EP655" s="1457"/>
      <c r="EQ655" s="1457"/>
      <c r="ER655" s="1457" t="e">
        <f t="shared" si="6"/>
        <v>#VALUE!</v>
      </c>
      <c r="ES655" s="1457"/>
      <c r="ET655" s="1457"/>
      <c r="EU655" s="1457"/>
      <c r="EV655" s="1457"/>
      <c r="EW655" s="1457" t="e">
        <f t="shared" si="7"/>
        <v>#VALUE!</v>
      </c>
      <c r="EX655" s="1457"/>
      <c r="EY655" s="1457"/>
      <c r="EZ655" s="1457"/>
      <c r="FA655" s="1457"/>
    </row>
    <row r="656" spans="1:157" ht="12.95" customHeight="1">
      <c r="A656" s="22"/>
      <c r="B656" t="s">
        <v>18</v>
      </c>
      <c r="H656" s="1371"/>
      <c r="I656" s="1371"/>
      <c r="J656" s="1371"/>
      <c r="K656" s="1371"/>
      <c r="L656" s="1371"/>
      <c r="M656" s="1371"/>
      <c r="N656" s="1371"/>
      <c r="O656" s="1371"/>
      <c r="P656" s="1371"/>
      <c r="Q656" s="1371"/>
      <c r="R656" s="1371"/>
      <c r="T656" s="22"/>
      <c r="U656" t="s">
        <v>18</v>
      </c>
      <c r="AA656" s="1371"/>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57" t="e">
        <f t="shared" si="2"/>
        <v>#VALUE!</v>
      </c>
      <c r="DY656" s="1457"/>
      <c r="DZ656" s="1457"/>
      <c r="EA656" s="1457"/>
      <c r="EB656" s="1457"/>
      <c r="EC656" s="1457" t="e">
        <f t="shared" si="3"/>
        <v>#VALUE!</v>
      </c>
      <c r="ED656" s="1457"/>
      <c r="EE656" s="1457"/>
      <c r="EF656" s="1457"/>
      <c r="EG656" s="1457"/>
      <c r="EH656" s="1457" t="e">
        <f t="shared" si="4"/>
        <v>#VALUE!</v>
      </c>
      <c r="EI656" s="1457"/>
      <c r="EJ656" s="1457"/>
      <c r="EK656" s="1457"/>
      <c r="EL656" s="1457"/>
      <c r="EM656" s="1457" t="e">
        <f t="shared" si="5"/>
        <v>#VALUE!</v>
      </c>
      <c r="EN656" s="1457"/>
      <c r="EO656" s="1457"/>
      <c r="EP656" s="1457"/>
      <c r="EQ656" s="1457"/>
      <c r="ER656" s="1457" t="e">
        <f t="shared" si="6"/>
        <v>#VALUE!</v>
      </c>
      <c r="ES656" s="1457"/>
      <c r="ET656" s="1457"/>
      <c r="EU656" s="1457"/>
      <c r="EV656" s="1457"/>
      <c r="EW656" s="1457" t="e">
        <f t="shared" si="7"/>
        <v>#VALUE!</v>
      </c>
      <c r="EX656" s="1457"/>
      <c r="EY656" s="1457"/>
      <c r="EZ656" s="1457"/>
      <c r="FA656" s="1457"/>
    </row>
    <row r="657" spans="1:157" ht="12.95" customHeight="1">
      <c r="A657" s="22"/>
      <c r="B657" t="s">
        <v>20</v>
      </c>
      <c r="N657" s="1332" t="s">
        <v>670</v>
      </c>
      <c r="O657" s="1332"/>
      <c r="T657" s="22"/>
      <c r="U657" t="s">
        <v>20</v>
      </c>
      <c r="AG657" s="1332" t="s">
        <v>670</v>
      </c>
      <c r="AH657" s="1332"/>
      <c r="AZ657" s="34"/>
      <c r="BA657" s="34"/>
      <c r="BB657" s="34"/>
      <c r="BC657" s="34"/>
      <c r="BD657" s="34"/>
      <c r="BE657" s="34"/>
      <c r="BF657" s="34"/>
      <c r="BG657" s="34"/>
      <c r="BH657" s="34"/>
      <c r="BI657" s="34"/>
      <c r="BJ657" s="34"/>
      <c r="BK657" s="34"/>
      <c r="BL657" s="34"/>
      <c r="BM657" s="34"/>
      <c r="DX657" s="1457" t="e">
        <f t="shared" si="2"/>
        <v>#VALUE!</v>
      </c>
      <c r="DY657" s="1457"/>
      <c r="DZ657" s="1457"/>
      <c r="EA657" s="1457"/>
      <c r="EB657" s="1457"/>
      <c r="EC657" s="1457" t="e">
        <f t="shared" si="3"/>
        <v>#VALUE!</v>
      </c>
      <c r="ED657" s="1457"/>
      <c r="EE657" s="1457"/>
      <c r="EF657" s="1457"/>
      <c r="EG657" s="1457"/>
      <c r="EH657" s="1457" t="e">
        <f t="shared" si="4"/>
        <v>#VALUE!</v>
      </c>
      <c r="EI657" s="1457"/>
      <c r="EJ657" s="1457"/>
      <c r="EK657" s="1457"/>
      <c r="EL657" s="1457"/>
      <c r="EM657" s="1457" t="e">
        <f t="shared" si="5"/>
        <v>#VALUE!</v>
      </c>
      <c r="EN657" s="1457"/>
      <c r="EO657" s="1457"/>
      <c r="EP657" s="1457"/>
      <c r="EQ657" s="1457"/>
      <c r="ER657" s="1457" t="e">
        <f t="shared" si="6"/>
        <v>#VALUE!</v>
      </c>
      <c r="ES657" s="1457"/>
      <c r="ET657" s="1457"/>
      <c r="EU657" s="1457"/>
      <c r="EV657" s="1457"/>
      <c r="EW657" s="1457" t="e">
        <f t="shared" si="7"/>
        <v>#VALUE!</v>
      </c>
      <c r="EX657" s="1457"/>
      <c r="EY657" s="1457"/>
      <c r="EZ657" s="1457"/>
      <c r="FA657" s="1457"/>
    </row>
    <row r="658" spans="1:157" ht="12.95" customHeight="1">
      <c r="A658" s="22"/>
      <c r="T658" s="22"/>
      <c r="AZ658" s="34"/>
      <c r="BA658" s="34"/>
      <c r="BB658" s="34"/>
      <c r="BC658" s="34"/>
      <c r="BD658" s="34"/>
      <c r="BE658" s="34"/>
      <c r="BF658" s="34"/>
      <c r="BG658" s="34"/>
      <c r="BH658" s="34"/>
      <c r="BI658" s="34"/>
      <c r="BJ658" s="34"/>
      <c r="BK658" s="34"/>
      <c r="BL658" s="34"/>
      <c r="BM658" s="34"/>
      <c r="DX658" s="1457" t="e">
        <f t="shared" si="2"/>
        <v>#VALUE!</v>
      </c>
      <c r="DY658" s="1457"/>
      <c r="DZ658" s="1457"/>
      <c r="EA658" s="1457"/>
      <c r="EB658" s="1457"/>
      <c r="EC658" s="1457" t="e">
        <f t="shared" si="3"/>
        <v>#VALUE!</v>
      </c>
      <c r="ED658" s="1457"/>
      <c r="EE658" s="1457"/>
      <c r="EF658" s="1457"/>
      <c r="EG658" s="1457"/>
      <c r="EH658" s="1457" t="e">
        <f t="shared" si="4"/>
        <v>#VALUE!</v>
      </c>
      <c r="EI658" s="1457"/>
      <c r="EJ658" s="1457"/>
      <c r="EK658" s="1457"/>
      <c r="EL658" s="1457"/>
      <c r="EM658" s="1457" t="e">
        <f t="shared" si="5"/>
        <v>#VALUE!</v>
      </c>
      <c r="EN658" s="1457"/>
      <c r="EO658" s="1457"/>
      <c r="EP658" s="1457"/>
      <c r="EQ658" s="1457"/>
      <c r="ER658" s="1457" t="e">
        <f t="shared" si="6"/>
        <v>#VALUE!</v>
      </c>
      <c r="ES658" s="1457"/>
      <c r="ET658" s="1457"/>
      <c r="EU658" s="1457"/>
      <c r="EV658" s="1457"/>
      <c r="EW658" s="1457" t="e">
        <f t="shared" si="7"/>
        <v>#VALUE!</v>
      </c>
      <c r="EX658" s="1457"/>
      <c r="EY658" s="1457"/>
      <c r="EZ658" s="1457"/>
      <c r="FA658" s="1457"/>
    </row>
    <row r="659" spans="1:157" ht="12.95" customHeight="1">
      <c r="A659" s="55" t="s">
        <v>764</v>
      </c>
      <c r="B659" t="s">
        <v>464</v>
      </c>
      <c r="G659" s="1358">
        <f>C631</f>
        <v>0</v>
      </c>
      <c r="H659" s="1358"/>
      <c r="I659" s="1358"/>
      <c r="J659" s="1358"/>
      <c r="K659" s="1358"/>
      <c r="L659" s="1358"/>
      <c r="M659" s="1358"/>
      <c r="N659" s="1358"/>
      <c r="O659" s="1358"/>
      <c r="P659" s="1358"/>
      <c r="Q659" s="1358"/>
      <c r="R659" s="1358"/>
      <c r="T659" s="55" t="s">
        <v>585</v>
      </c>
      <c r="U659" t="s">
        <v>464</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57" t="e">
        <f t="shared" si="2"/>
        <v>#VALUE!</v>
      </c>
      <c r="DY659" s="1457"/>
      <c r="DZ659" s="1457"/>
      <c r="EA659" s="1457"/>
      <c r="EB659" s="1457"/>
      <c r="EC659" s="1457" t="e">
        <f t="shared" si="3"/>
        <v>#VALUE!</v>
      </c>
      <c r="ED659" s="1457"/>
      <c r="EE659" s="1457"/>
      <c r="EF659" s="1457"/>
      <c r="EG659" s="1457"/>
      <c r="EH659" s="1457" t="e">
        <f t="shared" si="4"/>
        <v>#VALUE!</v>
      </c>
      <c r="EI659" s="1457"/>
      <c r="EJ659" s="1457"/>
      <c r="EK659" s="1457"/>
      <c r="EL659" s="1457"/>
      <c r="EM659" s="1457" t="e">
        <f t="shared" si="5"/>
        <v>#VALUE!</v>
      </c>
      <c r="EN659" s="1457"/>
      <c r="EO659" s="1457"/>
      <c r="EP659" s="1457"/>
      <c r="EQ659" s="1457"/>
      <c r="ER659" s="1457" t="e">
        <f t="shared" si="6"/>
        <v>#VALUE!</v>
      </c>
      <c r="ES659" s="1457"/>
      <c r="ET659" s="1457"/>
      <c r="EU659" s="1457"/>
      <c r="EV659" s="1457"/>
      <c r="EW659" s="1457" t="e">
        <f t="shared" si="7"/>
        <v>#VALUE!</v>
      </c>
      <c r="EX659" s="1457"/>
      <c r="EY659" s="1457"/>
      <c r="EZ659" s="1457"/>
      <c r="FA659" s="1457"/>
    </row>
    <row r="660" spans="1:157" ht="12.95" customHeight="1">
      <c r="A660" s="22"/>
      <c r="B660" t="s">
        <v>85</v>
      </c>
      <c r="G660" s="1371"/>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57" t="e">
        <f t="shared" si="2"/>
        <v>#VALUE!</v>
      </c>
      <c r="DY660" s="1457"/>
      <c r="DZ660" s="1457"/>
      <c r="EA660" s="1457"/>
      <c r="EB660" s="1457"/>
      <c r="EC660" s="1457" t="e">
        <f t="shared" si="3"/>
        <v>#VALUE!</v>
      </c>
      <c r="ED660" s="1457"/>
      <c r="EE660" s="1457"/>
      <c r="EF660" s="1457"/>
      <c r="EG660" s="1457"/>
      <c r="EH660" s="1457" t="e">
        <f t="shared" si="4"/>
        <v>#VALUE!</v>
      </c>
      <c r="EI660" s="1457"/>
      <c r="EJ660" s="1457"/>
      <c r="EK660" s="1457"/>
      <c r="EL660" s="1457"/>
      <c r="EM660" s="1457" t="e">
        <f t="shared" si="5"/>
        <v>#VALUE!</v>
      </c>
      <c r="EN660" s="1457"/>
      <c r="EO660" s="1457"/>
      <c r="EP660" s="1457"/>
      <c r="EQ660" s="1457"/>
      <c r="ER660" s="1457" t="e">
        <f t="shared" si="6"/>
        <v>#VALUE!</v>
      </c>
      <c r="ES660" s="1457"/>
      <c r="ET660" s="1457"/>
      <c r="EU660" s="1457"/>
      <c r="EV660" s="1457"/>
      <c r="EW660" s="1457" t="e">
        <f t="shared" si="7"/>
        <v>#VALUE!</v>
      </c>
      <c r="EX660" s="1457"/>
      <c r="EY660" s="1457"/>
      <c r="EZ660" s="1457"/>
      <c r="FA660" s="1457"/>
    </row>
    <row r="661" spans="1:157" ht="12.95" customHeight="1">
      <c r="A661" s="22"/>
      <c r="B661" t="s">
        <v>581</v>
      </c>
      <c r="G661" s="1371"/>
      <c r="H661" s="1371"/>
      <c r="I661" s="1371"/>
      <c r="J661" s="1371"/>
      <c r="K661" s="1371"/>
      <c r="L661" s="1371"/>
      <c r="M661" s="1371"/>
      <c r="N661" s="1371"/>
      <c r="O661" s="1371"/>
      <c r="P661" s="1371"/>
      <c r="Q661" s="1371"/>
      <c r="R661" s="1371"/>
      <c r="T661" s="22"/>
      <c r="U661" t="s">
        <v>581</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57" t="e">
        <f t="shared" si="2"/>
        <v>#VALUE!</v>
      </c>
      <c r="DY661" s="1457"/>
      <c r="DZ661" s="1457"/>
      <c r="EA661" s="1457"/>
      <c r="EB661" s="1457"/>
      <c r="EC661" s="1457" t="e">
        <f t="shared" si="3"/>
        <v>#VALUE!</v>
      </c>
      <c r="ED661" s="1457"/>
      <c r="EE661" s="1457"/>
      <c r="EF661" s="1457"/>
      <c r="EG661" s="1457"/>
      <c r="EH661" s="1457" t="e">
        <f t="shared" si="4"/>
        <v>#VALUE!</v>
      </c>
      <c r="EI661" s="1457"/>
      <c r="EJ661" s="1457"/>
      <c r="EK661" s="1457"/>
      <c r="EL661" s="1457"/>
      <c r="EM661" s="1457" t="e">
        <f t="shared" si="5"/>
        <v>#VALUE!</v>
      </c>
      <c r="EN661" s="1457"/>
      <c r="EO661" s="1457"/>
      <c r="EP661" s="1457"/>
      <c r="EQ661" s="1457"/>
      <c r="ER661" s="1457" t="e">
        <f t="shared" si="6"/>
        <v>#VALUE!</v>
      </c>
      <c r="ES661" s="1457"/>
      <c r="ET661" s="1457"/>
      <c r="EU661" s="1457"/>
      <c r="EV661" s="1457"/>
      <c r="EW661" s="1457" t="e">
        <f t="shared" si="7"/>
        <v>#VALUE!</v>
      </c>
      <c r="EX661" s="1457"/>
      <c r="EY661" s="1457"/>
      <c r="EZ661" s="1457"/>
      <c r="FA661" s="1457"/>
    </row>
    <row r="662" spans="1:157" ht="12.95" customHeight="1">
      <c r="A662" s="22"/>
      <c r="B662" t="s">
        <v>17</v>
      </c>
      <c r="G662" s="1371"/>
      <c r="H662" s="1371"/>
      <c r="I662" s="1371"/>
      <c r="J662" s="1371"/>
      <c r="K662" s="1371"/>
      <c r="L662" s="1371"/>
      <c r="M662" s="1371"/>
      <c r="N662" s="1371"/>
      <c r="O662" s="1371"/>
      <c r="P662" s="1371"/>
      <c r="Q662" s="1371"/>
      <c r="R662" s="1371"/>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57" t="e">
        <f t="shared" si="2"/>
        <v>#VALUE!</v>
      </c>
      <c r="DY662" s="1457"/>
      <c r="DZ662" s="1457"/>
      <c r="EA662" s="1457"/>
      <c r="EB662" s="1457"/>
      <c r="EC662" s="1457" t="e">
        <f t="shared" si="3"/>
        <v>#VALUE!</v>
      </c>
      <c r="ED662" s="1457"/>
      <c r="EE662" s="1457"/>
      <c r="EF662" s="1457"/>
      <c r="EG662" s="1457"/>
      <c r="EH662" s="1457" t="e">
        <f t="shared" si="4"/>
        <v>#VALUE!</v>
      </c>
      <c r="EI662" s="1457"/>
      <c r="EJ662" s="1457"/>
      <c r="EK662" s="1457"/>
      <c r="EL662" s="1457"/>
      <c r="EM662" s="1457" t="e">
        <f t="shared" si="5"/>
        <v>#VALUE!</v>
      </c>
      <c r="EN662" s="1457"/>
      <c r="EO662" s="1457"/>
      <c r="EP662" s="1457"/>
      <c r="EQ662" s="1457"/>
      <c r="ER662" s="1457" t="e">
        <f t="shared" si="6"/>
        <v>#VALUE!</v>
      </c>
      <c r="ES662" s="1457"/>
      <c r="ET662" s="1457"/>
      <c r="EU662" s="1457"/>
      <c r="EV662" s="1457"/>
      <c r="EW662" s="1457" t="e">
        <f t="shared" si="7"/>
        <v>#VALUE!</v>
      </c>
      <c r="EX662" s="1457"/>
      <c r="EY662" s="1457"/>
      <c r="EZ662" s="1457"/>
      <c r="FA662" s="1457"/>
    </row>
    <row r="663" spans="1:157" ht="12.95" customHeight="1">
      <c r="A663" s="22"/>
      <c r="B663" t="s">
        <v>316</v>
      </c>
      <c r="G663" s="1346"/>
      <c r="H663" s="1346"/>
      <c r="I663" s="1346"/>
      <c r="J663" s="1346"/>
      <c r="K663" s="1346"/>
      <c r="L663" s="1346"/>
      <c r="O663" s="33" t="s">
        <v>206</v>
      </c>
      <c r="P663" s="1437"/>
      <c r="Q663" s="1437"/>
      <c r="R663" s="1437"/>
      <c r="T663" s="22"/>
      <c r="U663" t="s">
        <v>316</v>
      </c>
      <c r="Z663" s="1346"/>
      <c r="AA663" s="1346"/>
      <c r="AB663" s="1346"/>
      <c r="AC663" s="1346"/>
      <c r="AD663" s="1346"/>
      <c r="AE663" s="1346"/>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57" t="e">
        <f t="shared" si="2"/>
        <v>#VALUE!</v>
      </c>
      <c r="DY663" s="1457"/>
      <c r="DZ663" s="1457"/>
      <c r="EA663" s="1457"/>
      <c r="EB663" s="1457"/>
      <c r="EC663" s="1457" t="e">
        <f t="shared" si="3"/>
        <v>#VALUE!</v>
      </c>
      <c r="ED663" s="1457"/>
      <c r="EE663" s="1457"/>
      <c r="EF663" s="1457"/>
      <c r="EG663" s="1457"/>
      <c r="EH663" s="1457" t="e">
        <f t="shared" si="4"/>
        <v>#VALUE!</v>
      </c>
      <c r="EI663" s="1457"/>
      <c r="EJ663" s="1457"/>
      <c r="EK663" s="1457"/>
      <c r="EL663" s="1457"/>
      <c r="EM663" s="1457" t="e">
        <f t="shared" si="5"/>
        <v>#VALUE!</v>
      </c>
      <c r="EN663" s="1457"/>
      <c r="EO663" s="1457"/>
      <c r="EP663" s="1457"/>
      <c r="EQ663" s="1457"/>
      <c r="ER663" s="1457" t="e">
        <f t="shared" si="6"/>
        <v>#VALUE!</v>
      </c>
      <c r="ES663" s="1457"/>
      <c r="ET663" s="1457"/>
      <c r="EU663" s="1457"/>
      <c r="EV663" s="1457"/>
      <c r="EW663" s="1457" t="e">
        <f t="shared" si="7"/>
        <v>#VALUE!</v>
      </c>
      <c r="EX663" s="1457"/>
      <c r="EY663" s="1457"/>
      <c r="EZ663" s="1457"/>
      <c r="FA663" s="1457"/>
    </row>
    <row r="664" spans="1:157" ht="12.95" customHeight="1">
      <c r="A664" s="22"/>
      <c r="B664" t="s">
        <v>18</v>
      </c>
      <c r="H664" s="1371"/>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57" t="e">
        <f t="shared" si="2"/>
        <v>#VALUE!</v>
      </c>
      <c r="DY664" s="1457"/>
      <c r="DZ664" s="1457"/>
      <c r="EA664" s="1457"/>
      <c r="EB664" s="1457"/>
      <c r="EC664" s="1457" t="e">
        <f t="shared" si="3"/>
        <v>#VALUE!</v>
      </c>
      <c r="ED664" s="1457"/>
      <c r="EE664" s="1457"/>
      <c r="EF664" s="1457"/>
      <c r="EG664" s="1457"/>
      <c r="EH664" s="1457" t="e">
        <f t="shared" si="4"/>
        <v>#VALUE!</v>
      </c>
      <c r="EI664" s="1457"/>
      <c r="EJ664" s="1457"/>
      <c r="EK664" s="1457"/>
      <c r="EL664" s="1457"/>
      <c r="EM664" s="1457" t="e">
        <f t="shared" si="5"/>
        <v>#VALUE!</v>
      </c>
      <c r="EN664" s="1457"/>
      <c r="EO664" s="1457"/>
      <c r="EP664" s="1457"/>
      <c r="EQ664" s="1457"/>
      <c r="ER664" s="1457" t="e">
        <f t="shared" si="6"/>
        <v>#VALUE!</v>
      </c>
      <c r="ES664" s="1457"/>
      <c r="ET664" s="1457"/>
      <c r="EU664" s="1457"/>
      <c r="EV664" s="1457"/>
      <c r="EW664" s="1457" t="e">
        <f t="shared" si="7"/>
        <v>#VALUE!</v>
      </c>
      <c r="EX664" s="1457"/>
      <c r="EY664" s="1457"/>
      <c r="EZ664" s="1457"/>
      <c r="FA664" s="1457"/>
    </row>
    <row r="665" spans="1:157" ht="12.95" customHeight="1">
      <c r="A665" s="22"/>
      <c r="B665" t="s">
        <v>20</v>
      </c>
      <c r="N665" s="1332" t="s">
        <v>670</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57" t="e">
        <f t="shared" si="2"/>
        <v>#VALUE!</v>
      </c>
      <c r="DY665" s="1457"/>
      <c r="DZ665" s="1457"/>
      <c r="EA665" s="1457"/>
      <c r="EB665" s="1457"/>
      <c r="EC665" s="1457" t="e">
        <f t="shared" si="3"/>
        <v>#VALUE!</v>
      </c>
      <c r="ED665" s="1457"/>
      <c r="EE665" s="1457"/>
      <c r="EF665" s="1457"/>
      <c r="EG665" s="1457"/>
      <c r="EH665" s="1457" t="e">
        <f t="shared" si="4"/>
        <v>#VALUE!</v>
      </c>
      <c r="EI665" s="1457"/>
      <c r="EJ665" s="1457"/>
      <c r="EK665" s="1457"/>
      <c r="EL665" s="1457"/>
      <c r="EM665" s="1457" t="e">
        <f t="shared" si="5"/>
        <v>#VALUE!</v>
      </c>
      <c r="EN665" s="1457"/>
      <c r="EO665" s="1457"/>
      <c r="EP665" s="1457"/>
      <c r="EQ665" s="1457"/>
      <c r="ER665" s="1457" t="e">
        <f t="shared" si="6"/>
        <v>#VALUE!</v>
      </c>
      <c r="ES665" s="1457"/>
      <c r="ET665" s="1457"/>
      <c r="EU665" s="1457"/>
      <c r="EV665" s="1457"/>
      <c r="EW665" s="1457" t="e">
        <f t="shared" si="7"/>
        <v>#VALUE!</v>
      </c>
      <c r="EX665" s="1457"/>
      <c r="EY665" s="1457"/>
      <c r="EZ665" s="1457"/>
      <c r="FA665" s="1457"/>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57" t="e">
        <f t="shared" si="2"/>
        <v>#VALUE!</v>
      </c>
      <c r="DY666" s="1457"/>
      <c r="DZ666" s="1457"/>
      <c r="EA666" s="1457"/>
      <c r="EB666" s="1457"/>
      <c r="EC666" s="1457" t="e">
        <f t="shared" si="3"/>
        <v>#VALUE!</v>
      </c>
      <c r="ED666" s="1457"/>
      <c r="EE666" s="1457"/>
      <c r="EF666" s="1457"/>
      <c r="EG666" s="1457"/>
      <c r="EH666" s="1457" t="e">
        <f t="shared" si="4"/>
        <v>#VALUE!</v>
      </c>
      <c r="EI666" s="1457"/>
      <c r="EJ666" s="1457"/>
      <c r="EK666" s="1457"/>
      <c r="EL666" s="1457"/>
      <c r="EM666" s="1457" t="e">
        <f t="shared" si="5"/>
        <v>#VALUE!</v>
      </c>
      <c r="EN666" s="1457"/>
      <c r="EO666" s="1457"/>
      <c r="EP666" s="1457"/>
      <c r="EQ666" s="1457"/>
      <c r="ER666" s="1457" t="e">
        <f t="shared" si="6"/>
        <v>#VALUE!</v>
      </c>
      <c r="ES666" s="1457"/>
      <c r="ET666" s="1457"/>
      <c r="EU666" s="1457"/>
      <c r="EV666" s="1457"/>
      <c r="EW666" s="1457" t="e">
        <f t="shared" si="7"/>
        <v>#VALUE!</v>
      </c>
      <c r="EX666" s="1457"/>
      <c r="EY666" s="1457"/>
      <c r="EZ666" s="1457"/>
      <c r="FA666" s="1457"/>
    </row>
    <row r="667" spans="1:157" ht="12.95" customHeight="1">
      <c r="A667" s="55" t="s">
        <v>456</v>
      </c>
      <c r="B667" t="s">
        <v>464</v>
      </c>
      <c r="G667" s="1358">
        <f>C633</f>
        <v>0</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57" t="e">
        <f t="shared" si="2"/>
        <v>#VALUE!</v>
      </c>
      <c r="DY667" s="1457"/>
      <c r="DZ667" s="1457"/>
      <c r="EA667" s="1457"/>
      <c r="EB667" s="1457"/>
      <c r="EC667" s="1457" t="e">
        <f t="shared" si="3"/>
        <v>#VALUE!</v>
      </c>
      <c r="ED667" s="1457"/>
      <c r="EE667" s="1457"/>
      <c r="EF667" s="1457"/>
      <c r="EG667" s="1457"/>
      <c r="EH667" s="1457" t="e">
        <f t="shared" si="4"/>
        <v>#VALUE!</v>
      </c>
      <c r="EI667" s="1457"/>
      <c r="EJ667" s="1457"/>
      <c r="EK667" s="1457"/>
      <c r="EL667" s="1457"/>
      <c r="EM667" s="1457" t="e">
        <f t="shared" si="5"/>
        <v>#VALUE!</v>
      </c>
      <c r="EN667" s="1457"/>
      <c r="EO667" s="1457"/>
      <c r="EP667" s="1457"/>
      <c r="EQ667" s="1457"/>
      <c r="ER667" s="1457" t="e">
        <f t="shared" si="6"/>
        <v>#VALUE!</v>
      </c>
      <c r="ES667" s="1457"/>
      <c r="ET667" s="1457"/>
      <c r="EU667" s="1457"/>
      <c r="EV667" s="1457"/>
      <c r="EW667" s="1457" t="e">
        <f t="shared" si="7"/>
        <v>#VALUE!</v>
      </c>
      <c r="EX667" s="1457"/>
      <c r="EY667" s="1457"/>
      <c r="EZ667" s="1457"/>
      <c r="FA667" s="1457"/>
    </row>
    <row r="668" spans="1:157" ht="12.95"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57" t="e">
        <f t="shared" si="2"/>
        <v>#VALUE!</v>
      </c>
      <c r="DY668" s="1457"/>
      <c r="DZ668" s="1457"/>
      <c r="EA668" s="1457"/>
      <c r="EB668" s="1457"/>
      <c r="EC668" s="1457" t="e">
        <f t="shared" si="3"/>
        <v>#VALUE!</v>
      </c>
      <c r="ED668" s="1457"/>
      <c r="EE668" s="1457"/>
      <c r="EF668" s="1457"/>
      <c r="EG668" s="1457"/>
      <c r="EH668" s="1457" t="e">
        <f t="shared" si="4"/>
        <v>#VALUE!</v>
      </c>
      <c r="EI668" s="1457"/>
      <c r="EJ668" s="1457"/>
      <c r="EK668" s="1457"/>
      <c r="EL668" s="1457"/>
      <c r="EM668" s="1457" t="e">
        <f t="shared" si="5"/>
        <v>#VALUE!</v>
      </c>
      <c r="EN668" s="1457"/>
      <c r="EO668" s="1457"/>
      <c r="EP668" s="1457"/>
      <c r="EQ668" s="1457"/>
      <c r="ER668" s="1457" t="e">
        <f t="shared" si="6"/>
        <v>#VALUE!</v>
      </c>
      <c r="ES668" s="1457"/>
      <c r="ET668" s="1457"/>
      <c r="EU668" s="1457"/>
      <c r="EV668" s="1457"/>
      <c r="EW668" s="1457" t="e">
        <f t="shared" si="7"/>
        <v>#VALUE!</v>
      </c>
      <c r="EX668" s="1457"/>
      <c r="EY668" s="1457"/>
      <c r="EZ668" s="1457"/>
      <c r="FA668" s="1457"/>
    </row>
    <row r="669" spans="1:157" ht="12.95" customHeight="1">
      <c r="A669" s="22"/>
      <c r="B669" t="s">
        <v>581</v>
      </c>
      <c r="G669" s="1371"/>
      <c r="H669" s="1371"/>
      <c r="I669" s="1371"/>
      <c r="J669" s="1371"/>
      <c r="K669" s="1371"/>
      <c r="L669" s="1371"/>
      <c r="M669" s="1371"/>
      <c r="N669" s="1371"/>
      <c r="O669" s="1371"/>
      <c r="P669" s="1371"/>
      <c r="Q669" s="1371"/>
      <c r="R669" s="1371"/>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57" t="e">
        <f t="shared" si="2"/>
        <v>#VALUE!</v>
      </c>
      <c r="DY669" s="1457"/>
      <c r="DZ669" s="1457"/>
      <c r="EA669" s="1457"/>
      <c r="EB669" s="1457"/>
      <c r="EC669" s="1457" t="e">
        <f t="shared" si="3"/>
        <v>#VALUE!</v>
      </c>
      <c r="ED669" s="1457"/>
      <c r="EE669" s="1457"/>
      <c r="EF669" s="1457"/>
      <c r="EG669" s="1457"/>
      <c r="EH669" s="1457" t="e">
        <f t="shared" si="4"/>
        <v>#VALUE!</v>
      </c>
      <c r="EI669" s="1457"/>
      <c r="EJ669" s="1457"/>
      <c r="EK669" s="1457"/>
      <c r="EL669" s="1457"/>
      <c r="EM669" s="1457" t="e">
        <f t="shared" si="5"/>
        <v>#VALUE!</v>
      </c>
      <c r="EN669" s="1457"/>
      <c r="EO669" s="1457"/>
      <c r="EP669" s="1457"/>
      <c r="EQ669" s="1457"/>
      <c r="ER669" s="1457" t="e">
        <f t="shared" si="6"/>
        <v>#VALUE!</v>
      </c>
      <c r="ES669" s="1457"/>
      <c r="ET669" s="1457"/>
      <c r="EU669" s="1457"/>
      <c r="EV669" s="1457"/>
      <c r="EW669" s="1457" t="e">
        <f t="shared" si="7"/>
        <v>#VALUE!</v>
      </c>
      <c r="EX669" s="1457"/>
      <c r="EY669" s="1457"/>
      <c r="EZ669" s="1457"/>
      <c r="FA669" s="1457"/>
    </row>
    <row r="670" spans="1:157" ht="12.95" customHeight="1">
      <c r="A670" s="22"/>
      <c r="B670" t="s">
        <v>17</v>
      </c>
      <c r="G670" s="1371"/>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57">
        <f>SUMIF(DX635:EB669,"&gt;0")</f>
        <v>0</v>
      </c>
      <c r="DY670" s="1457"/>
      <c r="DZ670" s="1457"/>
      <c r="EA670" s="1457"/>
      <c r="EB670" s="1457"/>
      <c r="EC670" s="1457">
        <f>SUMIF(EC635:EG669,"&gt;0")</f>
        <v>1219.2222222222222</v>
      </c>
      <c r="ED670" s="1457"/>
      <c r="EE670" s="1457"/>
      <c r="EF670" s="1457"/>
      <c r="EG670" s="1457"/>
      <c r="EH670" s="1457">
        <f>SUMIF(EH635:EL669,"&gt;0")</f>
        <v>2387.9482758620688</v>
      </c>
      <c r="EI670" s="1457"/>
      <c r="EJ670" s="1457"/>
      <c r="EK670" s="1457"/>
      <c r="EL670" s="1457"/>
      <c r="EM670" s="1457">
        <f>SUMIF(EM635:EQ669,"&gt;0")</f>
        <v>2767.9</v>
      </c>
      <c r="EN670" s="1457"/>
      <c r="EO670" s="1457"/>
      <c r="EP670" s="1457"/>
      <c r="EQ670" s="1457"/>
      <c r="ER670" s="1457">
        <f>SUMIF(ER635:EV669,"&gt;0")</f>
        <v>0</v>
      </c>
      <c r="ES670" s="1457"/>
      <c r="ET670" s="1457"/>
      <c r="EU670" s="1457"/>
      <c r="EV670" s="1457"/>
      <c r="EW670" s="1457">
        <f>SUMIF(EW635:FA669,"&gt;0")</f>
        <v>0</v>
      </c>
      <c r="EX670" s="1457"/>
      <c r="EY670" s="1457"/>
      <c r="EZ670" s="1457"/>
      <c r="FA670" s="1457"/>
    </row>
    <row r="671" spans="1:157" ht="12.95" customHeight="1">
      <c r="A671" s="22"/>
      <c r="B671" t="s">
        <v>316</v>
      </c>
      <c r="G671" s="1346"/>
      <c r="H671" s="1346"/>
      <c r="I671" s="1346"/>
      <c r="J671" s="1346"/>
      <c r="K671" s="1346"/>
      <c r="L671" s="1346"/>
      <c r="O671" s="33" t="s">
        <v>206</v>
      </c>
      <c r="P671" s="1437"/>
      <c r="Q671" s="1437"/>
      <c r="R671" s="1437"/>
      <c r="T671" s="22"/>
      <c r="U671" t="s">
        <v>316</v>
      </c>
      <c r="Z671" s="1346"/>
      <c r="AA671" s="1346"/>
      <c r="AB671" s="1346"/>
      <c r="AC671" s="1346"/>
      <c r="AD671" s="1346"/>
      <c r="AE671" s="1346"/>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7"/>
      <c r="Q679" s="1437"/>
      <c r="R679" s="1437"/>
      <c r="T679" s="22"/>
      <c r="U679" t="s">
        <v>316</v>
      </c>
      <c r="Z679" s="1346"/>
      <c r="AA679" s="1346"/>
      <c r="AB679" s="1346"/>
      <c r="AC679" s="1346"/>
      <c r="AD679" s="1346"/>
      <c r="AE679" s="1346"/>
      <c r="AH679" s="33" t="s">
        <v>206</v>
      </c>
      <c r="AI679" s="1437"/>
      <c r="AJ679" s="1437"/>
      <c r="AK679" s="1437"/>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7"/>
      <c r="Q687" s="1437"/>
      <c r="R687" s="1437"/>
      <c r="U687" t="s">
        <v>316</v>
      </c>
      <c r="Z687" s="1346"/>
      <c r="AA687" s="1346"/>
      <c r="AB687" s="1346"/>
      <c r="AC687" s="1346"/>
      <c r="AD687" s="1346"/>
      <c r="AE687" s="1346"/>
      <c r="AH687" s="33" t="s">
        <v>206</v>
      </c>
      <c r="AI687" s="1437"/>
      <c r="AJ687" s="1437"/>
      <c r="AK687" s="1437"/>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546</v>
      </c>
      <c r="AF694" s="1332"/>
      <c r="AZ694" s="3"/>
    </row>
    <row r="695" spans="1:67" ht="12.95" customHeight="1">
      <c r="B695" s="135"/>
      <c r="C695" s="135"/>
      <c r="D695" s="136" t="s">
        <v>921</v>
      </c>
      <c r="E695" s="135"/>
      <c r="F695" s="135"/>
      <c r="G695" s="135"/>
      <c r="H695" s="135"/>
      <c r="AE695" s="1675">
        <v>45909</v>
      </c>
      <c r="AF695" s="1675"/>
      <c r="AG695" s="1675"/>
      <c r="AH695" s="1675"/>
      <c r="AI695" s="1675"/>
    </row>
    <row r="696" spans="1:67" ht="12.95" customHeight="1">
      <c r="B696" s="135"/>
      <c r="C696" s="135"/>
      <c r="D696" s="317" t="s">
        <v>984</v>
      </c>
      <c r="E696" s="135"/>
      <c r="F696" s="135"/>
      <c r="G696" s="135"/>
      <c r="H696" s="135"/>
      <c r="AE696" s="1701">
        <v>45980</v>
      </c>
      <c r="AF696" s="1701"/>
      <c r="AG696" s="1701"/>
      <c r="AH696" s="1701"/>
      <c r="AI696" s="1701"/>
    </row>
    <row r="697" spans="1:67" ht="12.95" customHeight="1">
      <c r="B697" s="135"/>
      <c r="C697" s="135"/>
    </row>
    <row r="698" spans="1:67" ht="12.95" customHeight="1">
      <c r="B698" s="135"/>
      <c r="C698" s="135"/>
      <c r="D698" s="136" t="s">
        <v>817</v>
      </c>
      <c r="E698" s="135"/>
      <c r="F698" s="135"/>
      <c r="G698" s="135"/>
      <c r="H698" s="135"/>
      <c r="AE698" s="1675">
        <v>45795</v>
      </c>
      <c r="AF698" s="1675"/>
      <c r="AG698" s="1675"/>
      <c r="AH698" s="1675"/>
      <c r="AI698" s="1675"/>
    </row>
    <row r="699" spans="1:67" ht="12.95" customHeight="1">
      <c r="B699" s="135"/>
      <c r="C699" s="135"/>
      <c r="D699" s="136" t="s">
        <v>436</v>
      </c>
      <c r="E699" s="135"/>
      <c r="F699" s="135"/>
      <c r="G699" s="135"/>
      <c r="H699" s="135"/>
      <c r="AE699" s="1652">
        <v>0.26250000000000001</v>
      </c>
      <c r="AF699" s="1652"/>
      <c r="AG699" s="1652"/>
      <c r="AH699" s="1652"/>
      <c r="AI699" s="1652"/>
    </row>
    <row r="700" spans="1:67" ht="12.95" customHeight="1">
      <c r="B700" s="135"/>
      <c r="C700" s="135"/>
      <c r="D700" s="136" t="s">
        <v>437</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2.95"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389</v>
      </c>
      <c r="C714" s="1363"/>
      <c r="D714" s="1363"/>
      <c r="E714" s="1363"/>
      <c r="F714" s="1364"/>
      <c r="G714" s="1362" t="s">
        <v>285</v>
      </c>
      <c r="H714" s="1363"/>
      <c r="I714" s="1363"/>
      <c r="J714" s="1364"/>
      <c r="K714" s="1717" t="s">
        <v>1680</v>
      </c>
      <c r="L714" s="1718"/>
      <c r="M714" s="1718"/>
      <c r="N714" s="1719"/>
      <c r="O714" s="1362" t="s">
        <v>448</v>
      </c>
      <c r="P714" s="1363"/>
      <c r="Q714" s="1363"/>
      <c r="R714" s="1363"/>
      <c r="S714" s="1364"/>
      <c r="T714" s="1650" t="s">
        <v>1950</v>
      </c>
      <c r="U714" s="1363"/>
      <c r="V714" s="1363"/>
      <c r="W714" s="1364"/>
      <c r="X714" s="1650" t="s">
        <v>1952</v>
      </c>
      <c r="Y714" s="1363"/>
      <c r="Z714" s="1363"/>
      <c r="AA714" s="1363"/>
      <c r="AB714" s="1364"/>
      <c r="AC714" s="1650" t="s">
        <v>1951</v>
      </c>
      <c r="AD714" s="1363"/>
      <c r="AE714" s="1363"/>
      <c r="AF714" s="1363"/>
      <c r="AG714" s="1364"/>
      <c r="AH714" s="1650" t="s">
        <v>1953</v>
      </c>
      <c r="AI714" s="1363"/>
      <c r="AJ714" s="1364"/>
      <c r="AK714" s="1650" t="s">
        <v>1980</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0"/>
      <c r="L715" s="1721"/>
      <c r="M715" s="1721"/>
      <c r="N715" s="1722"/>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0"/>
      <c r="L716" s="1721"/>
      <c r="M716" s="1721"/>
      <c r="N716" s="1722"/>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0"/>
      <c r="L717" s="1721"/>
      <c r="M717" s="1721"/>
      <c r="N717" s="1722"/>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59"/>
      <c r="CJ717" s="1460"/>
      <c r="CK717" s="121" t="s">
        <v>476</v>
      </c>
      <c r="CL717" s="122"/>
      <c r="CM717" s="1459"/>
      <c r="CN717" s="1460"/>
      <c r="CO717" s="3"/>
      <c r="CP717" s="1386" t="s">
        <v>634</v>
      </c>
      <c r="CQ717" s="1387"/>
      <c r="CR717" s="1387"/>
      <c r="CS717" s="1387"/>
      <c r="CT717" s="1388"/>
      <c r="CU717" s="1458" t="s">
        <v>325</v>
      </c>
      <c r="CV717" s="1458"/>
      <c r="CW717" s="1458"/>
      <c r="CX717" s="1458"/>
      <c r="CY717" s="1458"/>
      <c r="CZ717" s="1458" t="s">
        <v>163</v>
      </c>
      <c r="DA717" s="1458"/>
      <c r="DB717" s="1458"/>
      <c r="DC717" s="1458"/>
      <c r="DD717" s="1458"/>
      <c r="DE717" s="1458" t="s">
        <v>164</v>
      </c>
      <c r="DF717" s="1458"/>
      <c r="DG717" s="1458"/>
      <c r="DH717" s="1458"/>
      <c r="DI717" s="1458"/>
      <c r="DJ717" s="1458" t="s">
        <v>461</v>
      </c>
      <c r="DK717" s="1458"/>
      <c r="DL717" s="1458"/>
      <c r="DM717" s="1458"/>
      <c r="DN717" s="1458"/>
      <c r="DO717" s="1458" t="s">
        <v>30</v>
      </c>
      <c r="DP717" s="1458"/>
      <c r="DQ717" s="1458"/>
      <c r="DR717" s="1458"/>
      <c r="DS717" s="1458"/>
      <c r="DT717" s="89"/>
      <c r="DU717" s="1458" t="s">
        <v>634</v>
      </c>
      <c r="DV717" s="1458"/>
      <c r="DW717" s="1458"/>
      <c r="DX717" s="1458"/>
      <c r="DY717" s="1458"/>
      <c r="DZ717" s="1458" t="s">
        <v>325</v>
      </c>
      <c r="EA717" s="1458"/>
      <c r="EB717" s="1458"/>
      <c r="EC717" s="1458"/>
      <c r="ED717" s="1458"/>
      <c r="EE717" s="1458" t="s">
        <v>163</v>
      </c>
      <c r="EF717" s="1458"/>
      <c r="EG717" s="1458"/>
      <c r="EH717" s="1458"/>
      <c r="EI717" s="1458"/>
      <c r="EJ717" s="1458" t="s">
        <v>164</v>
      </c>
      <c r="EK717" s="1458"/>
      <c r="EL717" s="1458"/>
      <c r="EM717" s="1458"/>
      <c r="EN717" s="1458"/>
      <c r="EO717" s="1458" t="s">
        <v>461</v>
      </c>
      <c r="EP717" s="1458"/>
      <c r="EQ717" s="1458"/>
      <c r="ER717" s="1458"/>
      <c r="ES717" s="1458"/>
      <c r="ET717" s="1458" t="s">
        <v>30</v>
      </c>
      <c r="EU717" s="1458"/>
      <c r="EV717" s="1458"/>
      <c r="EW717" s="1458"/>
      <c r="EX717" s="1458"/>
      <c r="EY717" s="4"/>
      <c r="EZ717" s="1458" t="s">
        <v>634</v>
      </c>
      <c r="FA717" s="1458"/>
      <c r="FB717" s="1458"/>
      <c r="FC717" s="1458"/>
      <c r="FD717" s="1458"/>
      <c r="FE717" s="1458" t="s">
        <v>325</v>
      </c>
      <c r="FF717" s="1458"/>
      <c r="FG717" s="1458"/>
      <c r="FH717" s="1458"/>
      <c r="FI717" s="1458"/>
      <c r="FJ717" s="1458" t="s">
        <v>163</v>
      </c>
      <c r="FK717" s="1458"/>
      <c r="FL717" s="1458"/>
      <c r="FM717" s="1458"/>
      <c r="FN717" s="1458"/>
      <c r="FO717" s="1458" t="s">
        <v>164</v>
      </c>
      <c r="FP717" s="1458"/>
      <c r="FQ717" s="1458"/>
      <c r="FR717" s="1458"/>
      <c r="FS717" s="1458"/>
      <c r="FT717" s="1458" t="s">
        <v>461</v>
      </c>
      <c r="FU717" s="1458"/>
      <c r="FV717" s="1458"/>
      <c r="FW717" s="1458"/>
      <c r="FX717" s="1458"/>
      <c r="FY717" s="1458" t="s">
        <v>30</v>
      </c>
      <c r="FZ717" s="1458"/>
      <c r="GA717" s="1458"/>
      <c r="GB717" s="1458"/>
      <c r="GC717" s="1458"/>
    </row>
    <row r="718" spans="1:185" ht="12.95" customHeight="1">
      <c r="A718" s="4"/>
      <c r="B718" s="1337" t="s">
        <v>325</v>
      </c>
      <c r="C718" s="1338"/>
      <c r="D718" s="1338"/>
      <c r="E718" s="1338"/>
      <c r="F718" s="1339"/>
      <c r="G718" s="1349">
        <v>32</v>
      </c>
      <c r="H718" s="1350"/>
      <c r="I718" s="1350"/>
      <c r="J718" s="1351"/>
      <c r="K718" s="1343">
        <v>469</v>
      </c>
      <c r="L718" s="1344"/>
      <c r="M718" s="1344"/>
      <c r="N718" s="1345"/>
      <c r="O718" s="1340">
        <v>809</v>
      </c>
      <c r="P718" s="1341"/>
      <c r="Q718" s="1341"/>
      <c r="R718" s="1341"/>
      <c r="S718" s="1342"/>
      <c r="T718" s="1340">
        <v>43</v>
      </c>
      <c r="U718" s="1341"/>
      <c r="V718" s="1341"/>
      <c r="W718" s="1342"/>
      <c r="X718" s="1352">
        <f t="shared" ref="X718:X741" si="8">O718+T718</f>
        <v>852</v>
      </c>
      <c r="Y718" s="1353"/>
      <c r="Z718" s="1353"/>
      <c r="AA718" s="1353"/>
      <c r="AB718" s="1354"/>
      <c r="AC718" s="1359">
        <v>0.3</v>
      </c>
      <c r="AD718" s="1360"/>
      <c r="AE718" s="1360"/>
      <c r="AF718" s="1360"/>
      <c r="AG718" s="1361"/>
      <c r="AH718" s="1355">
        <f>IF($AC718&gt;0,($X718/$AZ718), "")</f>
        <v>0.3</v>
      </c>
      <c r="AI718" s="1356"/>
      <c r="AJ718" s="1357"/>
      <c r="AK718" s="1337" t="s">
        <v>592</v>
      </c>
      <c r="AL718" s="1338"/>
      <c r="AM718" s="1338"/>
      <c r="AN718" s="1338"/>
      <c r="AO718" s="1339"/>
      <c r="AP718" s="3"/>
      <c r="AQ718" s="3"/>
      <c r="AR718" s="3"/>
      <c r="AS718" s="3"/>
      <c r="AZ718" s="118">
        <f t="shared" ref="AZ718:AZ752" si="9">IF($G718=0,"N/A",VLOOKUP($T$189,TC_Rent,(MATCH($B718,bedrooms,FALSE)),FALSE))</f>
        <v>2840</v>
      </c>
      <c r="BA718" s="3"/>
      <c r="BB718" s="3"/>
      <c r="BC718" s="3"/>
      <c r="BD718" s="3"/>
      <c r="BE718" s="204"/>
      <c r="BF718" s="293">
        <f t="shared" ref="BF718:BF752" si="10">G718</f>
        <v>32</v>
      </c>
      <c r="BG718" s="297">
        <f t="shared" ref="BG718:BG752" si="11">IF($BF$753=0,0,BF718/$BF$753)</f>
        <v>0.30769230769230771</v>
      </c>
      <c r="BH718" s="298">
        <f t="shared" ref="BH718:BH752" si="12">IF(BG718=0,"",BG718*AC718)</f>
        <v>9.2307692307692313E-2</v>
      </c>
      <c r="BI718" s="3"/>
      <c r="BJ718" s="3"/>
      <c r="BK718" s="3"/>
      <c r="BL718" s="3"/>
      <c r="BM718" s="3"/>
      <c r="BN718" s="3"/>
      <c r="BS718" s="293">
        <f t="shared" ref="BS718:BS752" si="13">G718</f>
        <v>32</v>
      </c>
      <c r="BT718" s="297">
        <f t="shared" ref="BT718:BT752" si="14">IF($BS$753=0,0,BS718/$BS$753)</f>
        <v>0.30769230769230771</v>
      </c>
      <c r="BU718" s="298">
        <f t="shared" ref="BU718:BU752" si="15">IF(BT718=0,"",BT718*AH718)</f>
        <v>9.2307692307692313E-2</v>
      </c>
      <c r="CC718" s="3"/>
      <c r="CD718" s="3"/>
      <c r="CE718" s="3"/>
      <c r="CF718" s="3"/>
      <c r="CG718" s="1464">
        <f>IF(AND(AC718&lt;=0.5,AC718&gt;=0.36),1,0)</f>
        <v>0</v>
      </c>
      <c r="CH718" s="1466"/>
      <c r="CI718" s="1459">
        <f>IF(CG718=1,G718,0)</f>
        <v>0</v>
      </c>
      <c r="CJ718" s="1460"/>
      <c r="CK718" s="1464">
        <f t="shared" ref="CK718:CK752" si="16">IF(AND(AC718&lt;=0.35,AC718&gt;0),1,0)</f>
        <v>1</v>
      </c>
      <c r="CL718" s="1466"/>
      <c r="CM718" s="1459">
        <f t="shared" ref="CM718:CM752" si="17">IF(CK718=1,G718,0)</f>
        <v>32</v>
      </c>
      <c r="CN718" s="1460"/>
      <c r="CO718" s="3"/>
      <c r="CP718" s="1461">
        <f t="shared" ref="CP718:CP752" si="18">IF(B718="SRO/Studio",G718,0)</f>
        <v>0</v>
      </c>
      <c r="CQ718" s="1462"/>
      <c r="CR718" s="1462"/>
      <c r="CS718" s="1462"/>
      <c r="CT718" s="1463"/>
      <c r="CU718" s="1454">
        <f t="shared" ref="CU718:CU752" si="19">IF(B718="1 Bedroom",G718,0)</f>
        <v>32</v>
      </c>
      <c r="CV718" s="1454"/>
      <c r="CW718" s="1454"/>
      <c r="CX718" s="1454"/>
      <c r="CY718" s="1454"/>
      <c r="CZ718" s="1454">
        <f t="shared" ref="CZ718:CZ752" si="20">IF(B718="2 Bedrooms",G718,0)</f>
        <v>0</v>
      </c>
      <c r="DA718" s="1454"/>
      <c r="DB718" s="1454"/>
      <c r="DC718" s="1454"/>
      <c r="DD718" s="1454"/>
      <c r="DE718" s="1454">
        <f t="shared" ref="DE718:DE752" si="21">IF(B718="3 Bedrooms",G718,0)</f>
        <v>0</v>
      </c>
      <c r="DF718" s="1454"/>
      <c r="DG718" s="1454"/>
      <c r="DH718" s="1454"/>
      <c r="DI718" s="1454"/>
      <c r="DJ718" s="1454">
        <f t="shared" ref="DJ718:DJ752" si="22">IF(B718="4 Bedrooms",G718,0)</f>
        <v>0</v>
      </c>
      <c r="DK718" s="1454"/>
      <c r="DL718" s="1454"/>
      <c r="DM718" s="1454"/>
      <c r="DN718" s="1454"/>
      <c r="DO718" s="1454">
        <f t="shared" ref="DO718:DO752" si="23">IF(B718="5 Bedrooms",G718,0)</f>
        <v>0</v>
      </c>
      <c r="DP718" s="1454"/>
      <c r="DQ718" s="1454"/>
      <c r="DR718" s="1454"/>
      <c r="DS718" s="1454"/>
      <c r="DT718" s="6"/>
      <c r="DU718" s="1456">
        <f t="shared" ref="DU718:DU752" si="24">IF(AND(B718="SRO/Studio",AC718&lt;=0.3),G718,0)</f>
        <v>0</v>
      </c>
      <c r="DV718" s="1456"/>
      <c r="DW718" s="1456"/>
      <c r="DX718" s="1456"/>
      <c r="DY718" s="1456"/>
      <c r="DZ718" s="1456">
        <f t="shared" ref="DZ718:DZ752" si="25">IF(AND(B718="1 Bedroom",AC718&lt;=0.3),G718,0)</f>
        <v>32</v>
      </c>
      <c r="EA718" s="1456"/>
      <c r="EB718" s="1456"/>
      <c r="EC718" s="1456"/>
      <c r="ED718" s="1456"/>
      <c r="EE718" s="1456">
        <f t="shared" ref="EE718:EE752" si="26">IF(AND(B718="2 Bedrooms",AC718&lt;=0.3),G718,0)</f>
        <v>0</v>
      </c>
      <c r="EF718" s="1456"/>
      <c r="EG718" s="1456"/>
      <c r="EH718" s="1456"/>
      <c r="EI718" s="1456"/>
      <c r="EJ718" s="1456">
        <f t="shared" ref="EJ718:EJ752" si="27">IF(AND(B718="3 Bedrooms",AC718&lt;=0.3),G718,0)</f>
        <v>0</v>
      </c>
      <c r="EK718" s="1456"/>
      <c r="EL718" s="1456"/>
      <c r="EM718" s="1456"/>
      <c r="EN718" s="1456"/>
      <c r="EO718" s="1456">
        <f t="shared" ref="EO718:EO752" si="28">IF(AND(B718="4 Bedrooms",AC718&lt;=0.3),G718,0)</f>
        <v>0</v>
      </c>
      <c r="EP718" s="1456"/>
      <c r="EQ718" s="1456"/>
      <c r="ER718" s="1456"/>
      <c r="ES718" s="1456"/>
      <c r="ET718" s="1456">
        <f t="shared" ref="ET718:ET752" si="29">IF(AND(B718="5 Bedrooms",AC718&lt;=0.3),G718,0)</f>
        <v>0</v>
      </c>
      <c r="EU718" s="1456"/>
      <c r="EV718" s="1456"/>
      <c r="EW718" s="1456"/>
      <c r="EX718" s="1456"/>
      <c r="EY718" s="4"/>
      <c r="EZ718" s="1464" t="str">
        <f t="shared" ref="EZ718:EZ752" si="30">IF(CP718&gt;0,O718,"")</f>
        <v/>
      </c>
      <c r="FA718" s="1465"/>
      <c r="FB718" s="1465"/>
      <c r="FC718" s="1465"/>
      <c r="FD718" s="1466"/>
      <c r="FE718" s="1464">
        <f t="shared" ref="FE718:FE752" si="31">IF(CU718&gt;0,O718,"")</f>
        <v>809</v>
      </c>
      <c r="FF718" s="1465"/>
      <c r="FG718" s="1465"/>
      <c r="FH718" s="1465"/>
      <c r="FI718" s="1466"/>
      <c r="FJ718" s="1464" t="str">
        <f t="shared" ref="FJ718:FJ752" si="32">IF(CZ718&gt;0,O718,"")</f>
        <v/>
      </c>
      <c r="FK718" s="1465"/>
      <c r="FL718" s="1465"/>
      <c r="FM718" s="1465"/>
      <c r="FN718" s="1466"/>
      <c r="FO718" s="1464" t="str">
        <f t="shared" ref="FO718:FO752" si="33">IF(DE718&gt;0,O718,"")</f>
        <v/>
      </c>
      <c r="FP718" s="1465"/>
      <c r="FQ718" s="1465"/>
      <c r="FR718" s="1465"/>
      <c r="FS718" s="1466"/>
      <c r="FT718" s="1464" t="str">
        <f t="shared" ref="FT718:FT752" si="34">IF(DJ718&gt;0,O718,"")</f>
        <v/>
      </c>
      <c r="FU718" s="1465"/>
      <c r="FV718" s="1465"/>
      <c r="FW718" s="1465"/>
      <c r="FX718" s="1466"/>
      <c r="FY718" s="1464" t="str">
        <f t="shared" ref="FY718:FY752" si="35">IF(DO718&gt;0,O718,"")</f>
        <v/>
      </c>
      <c r="FZ718" s="1465"/>
      <c r="GA718" s="1465"/>
      <c r="GB718" s="1465"/>
      <c r="GC718" s="1466"/>
    </row>
    <row r="719" spans="1:185" ht="12.95" customHeight="1">
      <c r="A719" s="4"/>
      <c r="B719" s="1337" t="s">
        <v>325</v>
      </c>
      <c r="C719" s="1338"/>
      <c r="D719" s="1338"/>
      <c r="E719" s="1338"/>
      <c r="F719" s="1339"/>
      <c r="G719" s="1349">
        <v>13</v>
      </c>
      <c r="H719" s="1350"/>
      <c r="I719" s="1350"/>
      <c r="J719" s="1351"/>
      <c r="K719" s="1343">
        <v>469</v>
      </c>
      <c r="L719" s="1344"/>
      <c r="M719" s="1344"/>
      <c r="N719" s="1345"/>
      <c r="O719" s="1340">
        <v>2229</v>
      </c>
      <c r="P719" s="1341"/>
      <c r="Q719" s="1341"/>
      <c r="R719" s="1341"/>
      <c r="S719" s="1342"/>
      <c r="T719" s="1340">
        <v>43</v>
      </c>
      <c r="U719" s="1341"/>
      <c r="V719" s="1341"/>
      <c r="W719" s="1342"/>
      <c r="X719" s="1352">
        <f t="shared" si="8"/>
        <v>2272</v>
      </c>
      <c r="Y719" s="1353"/>
      <c r="Z719" s="1353"/>
      <c r="AA719" s="1353"/>
      <c r="AB719" s="1354"/>
      <c r="AC719" s="1359">
        <v>0.8</v>
      </c>
      <c r="AD719" s="1360"/>
      <c r="AE719" s="1360"/>
      <c r="AF719" s="1360"/>
      <c r="AG719" s="1361"/>
      <c r="AH719" s="1355">
        <f t="shared" ref="AH719:AH752" si="36">IF($AC719&gt;0,($X719/$AZ719), "")</f>
        <v>0.8</v>
      </c>
      <c r="AI719" s="1356"/>
      <c r="AJ719" s="1357"/>
      <c r="AK719" s="1337" t="s">
        <v>592</v>
      </c>
      <c r="AL719" s="1338"/>
      <c r="AM719" s="1338"/>
      <c r="AN719" s="1338"/>
      <c r="AO719" s="1339"/>
      <c r="AP719" s="3"/>
      <c r="AQ719" s="3"/>
      <c r="AR719" s="3"/>
      <c r="AS719" s="3"/>
      <c r="AZ719" s="118">
        <f t="shared" si="9"/>
        <v>2840</v>
      </c>
      <c r="BA719" s="3"/>
      <c r="BB719" s="3"/>
      <c r="BC719" s="3"/>
      <c r="BD719" s="3"/>
      <c r="BE719" s="204"/>
      <c r="BF719" s="294">
        <f t="shared" si="10"/>
        <v>13</v>
      </c>
      <c r="BG719" s="297">
        <f t="shared" si="11"/>
        <v>0.125</v>
      </c>
      <c r="BH719" s="298">
        <f t="shared" si="12"/>
        <v>0.1</v>
      </c>
      <c r="BI719" s="3"/>
      <c r="BJ719" s="3"/>
      <c r="BK719" s="3"/>
      <c r="BL719" s="3"/>
      <c r="BM719" s="3"/>
      <c r="BN719" s="3"/>
      <c r="BS719" s="294">
        <f t="shared" si="13"/>
        <v>13</v>
      </c>
      <c r="BT719" s="297">
        <f t="shared" si="14"/>
        <v>0.125</v>
      </c>
      <c r="BU719" s="298">
        <f t="shared" si="15"/>
        <v>0.1</v>
      </c>
      <c r="CC719" s="3"/>
      <c r="CD719" s="3"/>
      <c r="CE719" s="3"/>
      <c r="CF719" s="3"/>
      <c r="CG719" s="1464">
        <f t="shared" ref="CG719:CG752" si="37">IF(AND(AC719&lt;=0.5,AC719&gt;=0.36),1,0)</f>
        <v>0</v>
      </c>
      <c r="CH719" s="1466"/>
      <c r="CI719" s="1459">
        <f t="shared" ref="CI719:CI752" si="38">IF(CG719=1,G719,0)</f>
        <v>0</v>
      </c>
      <c r="CJ719" s="1460"/>
      <c r="CK719" s="1464">
        <f t="shared" si="16"/>
        <v>0</v>
      </c>
      <c r="CL719" s="1466"/>
      <c r="CM719" s="1459">
        <f t="shared" si="17"/>
        <v>0</v>
      </c>
      <c r="CN719" s="1460"/>
      <c r="CO719" s="3"/>
      <c r="CP719" s="1461">
        <f t="shared" si="18"/>
        <v>0</v>
      </c>
      <c r="CQ719" s="1462"/>
      <c r="CR719" s="1462"/>
      <c r="CS719" s="1462"/>
      <c r="CT719" s="1463"/>
      <c r="CU719" s="1454">
        <f t="shared" si="19"/>
        <v>13</v>
      </c>
      <c r="CV719" s="1454"/>
      <c r="CW719" s="1454"/>
      <c r="CX719" s="1454"/>
      <c r="CY719" s="1454"/>
      <c r="CZ719" s="1454">
        <f t="shared" si="20"/>
        <v>0</v>
      </c>
      <c r="DA719" s="1454"/>
      <c r="DB719" s="1454"/>
      <c r="DC719" s="1454"/>
      <c r="DD719" s="1454"/>
      <c r="DE719" s="1454">
        <f t="shared" si="21"/>
        <v>0</v>
      </c>
      <c r="DF719" s="1454"/>
      <c r="DG719" s="1454"/>
      <c r="DH719" s="1454"/>
      <c r="DI719" s="1454"/>
      <c r="DJ719" s="1454">
        <f t="shared" si="22"/>
        <v>0</v>
      </c>
      <c r="DK719" s="1454"/>
      <c r="DL719" s="1454"/>
      <c r="DM719" s="1454"/>
      <c r="DN719" s="1454"/>
      <c r="DO719" s="1454">
        <f t="shared" si="23"/>
        <v>0</v>
      </c>
      <c r="DP719" s="1454"/>
      <c r="DQ719" s="1454"/>
      <c r="DR719" s="1454"/>
      <c r="DS719" s="1454"/>
      <c r="DT719" s="6"/>
      <c r="DU719" s="1456">
        <f t="shared" si="24"/>
        <v>0</v>
      </c>
      <c r="DV719" s="1456"/>
      <c r="DW719" s="1456"/>
      <c r="DX719" s="1456"/>
      <c r="DY719" s="1456"/>
      <c r="DZ719" s="1456">
        <f t="shared" si="25"/>
        <v>0</v>
      </c>
      <c r="EA719" s="1456"/>
      <c r="EB719" s="1456"/>
      <c r="EC719" s="1456"/>
      <c r="ED719" s="1456"/>
      <c r="EE719" s="1456">
        <f t="shared" si="26"/>
        <v>0</v>
      </c>
      <c r="EF719" s="1456"/>
      <c r="EG719" s="1456"/>
      <c r="EH719" s="1456"/>
      <c r="EI719" s="1456"/>
      <c r="EJ719" s="1456">
        <f t="shared" si="27"/>
        <v>0</v>
      </c>
      <c r="EK719" s="1456"/>
      <c r="EL719" s="1456"/>
      <c r="EM719" s="1456"/>
      <c r="EN719" s="1456"/>
      <c r="EO719" s="1456">
        <f t="shared" si="28"/>
        <v>0</v>
      </c>
      <c r="EP719" s="1456"/>
      <c r="EQ719" s="1456"/>
      <c r="ER719" s="1456"/>
      <c r="ES719" s="1456"/>
      <c r="ET719" s="1456">
        <f t="shared" si="29"/>
        <v>0</v>
      </c>
      <c r="EU719" s="1456"/>
      <c r="EV719" s="1456"/>
      <c r="EW719" s="1456"/>
      <c r="EX719" s="1456"/>
      <c r="EY719" s="4"/>
      <c r="EZ719" s="1464" t="str">
        <f t="shared" si="30"/>
        <v/>
      </c>
      <c r="FA719" s="1465"/>
      <c r="FB719" s="1465"/>
      <c r="FC719" s="1465"/>
      <c r="FD719" s="1466"/>
      <c r="FE719" s="1464">
        <f t="shared" si="31"/>
        <v>2229</v>
      </c>
      <c r="FF719" s="1465"/>
      <c r="FG719" s="1465"/>
      <c r="FH719" s="1465"/>
      <c r="FI719" s="1466"/>
      <c r="FJ719" s="1464" t="str">
        <f t="shared" si="32"/>
        <v/>
      </c>
      <c r="FK719" s="1465"/>
      <c r="FL719" s="1465"/>
      <c r="FM719" s="1465"/>
      <c r="FN719" s="1466"/>
      <c r="FO719" s="1464" t="str">
        <f t="shared" si="33"/>
        <v/>
      </c>
      <c r="FP719" s="1465"/>
      <c r="FQ719" s="1465"/>
      <c r="FR719" s="1465"/>
      <c r="FS719" s="1466"/>
      <c r="FT719" s="1464" t="str">
        <f t="shared" si="34"/>
        <v/>
      </c>
      <c r="FU719" s="1465"/>
      <c r="FV719" s="1465"/>
      <c r="FW719" s="1465"/>
      <c r="FX719" s="1466"/>
      <c r="FY719" s="1464" t="str">
        <f t="shared" si="35"/>
        <v/>
      </c>
      <c r="FZ719" s="1465"/>
      <c r="GA719" s="1465"/>
      <c r="GB719" s="1465"/>
      <c r="GC719" s="1466"/>
    </row>
    <row r="720" spans="1:185" ht="12.95" customHeight="1">
      <c r="A720" s="4"/>
      <c r="B720" s="1337" t="s">
        <v>163</v>
      </c>
      <c r="C720" s="1338"/>
      <c r="D720" s="1338"/>
      <c r="E720" s="1338"/>
      <c r="F720" s="1339"/>
      <c r="G720" s="1349">
        <v>3</v>
      </c>
      <c r="H720" s="1350"/>
      <c r="I720" s="1350"/>
      <c r="J720" s="1351"/>
      <c r="K720" s="1343">
        <v>702</v>
      </c>
      <c r="L720" s="1344"/>
      <c r="M720" s="1344"/>
      <c r="N720" s="1345"/>
      <c r="O720" s="1340">
        <v>966</v>
      </c>
      <c r="P720" s="1341"/>
      <c r="Q720" s="1341"/>
      <c r="R720" s="1341"/>
      <c r="S720" s="1342"/>
      <c r="T720" s="1340">
        <v>56</v>
      </c>
      <c r="U720" s="1341"/>
      <c r="V720" s="1341"/>
      <c r="W720" s="1342"/>
      <c r="X720" s="1352">
        <f t="shared" si="8"/>
        <v>1022</v>
      </c>
      <c r="Y720" s="1353"/>
      <c r="Z720" s="1353"/>
      <c r="AA720" s="1353"/>
      <c r="AB720" s="1354"/>
      <c r="AC720" s="1359">
        <v>0.3</v>
      </c>
      <c r="AD720" s="1360"/>
      <c r="AE720" s="1360"/>
      <c r="AF720" s="1360"/>
      <c r="AG720" s="1361"/>
      <c r="AH720" s="1355">
        <f t="shared" si="36"/>
        <v>0.30005871990604815</v>
      </c>
      <c r="AI720" s="1356"/>
      <c r="AJ720" s="1357"/>
      <c r="AK720" s="1337" t="s">
        <v>592</v>
      </c>
      <c r="AL720" s="1338"/>
      <c r="AM720" s="1338"/>
      <c r="AN720" s="1338"/>
      <c r="AO720" s="1339"/>
      <c r="AP720" s="3"/>
      <c r="AQ720" s="3"/>
      <c r="AR720" s="3"/>
      <c r="AS720" s="3"/>
      <c r="AZ720" s="118">
        <f t="shared" si="9"/>
        <v>3406</v>
      </c>
      <c r="BA720" s="3"/>
      <c r="BB720" s="3"/>
      <c r="BC720" s="3"/>
      <c r="BD720" s="3"/>
      <c r="BE720" s="204"/>
      <c r="BF720" s="294">
        <f t="shared" si="10"/>
        <v>3</v>
      </c>
      <c r="BG720" s="297">
        <f t="shared" si="11"/>
        <v>2.8846153846153848E-2</v>
      </c>
      <c r="BH720" s="298">
        <f t="shared" si="12"/>
        <v>8.6538461538461543E-3</v>
      </c>
      <c r="BI720" s="3"/>
      <c r="BJ720" s="3"/>
      <c r="BK720" s="3"/>
      <c r="BL720" s="3"/>
      <c r="BM720" s="3"/>
      <c r="BN720" s="3"/>
      <c r="BS720" s="294">
        <f t="shared" si="13"/>
        <v>3</v>
      </c>
      <c r="BT720" s="297">
        <f t="shared" si="14"/>
        <v>2.8846153846153848E-2</v>
      </c>
      <c r="BU720" s="298">
        <f t="shared" si="15"/>
        <v>8.6555399972898517E-3</v>
      </c>
      <c r="CC720" s="3"/>
      <c r="CD720" s="3"/>
      <c r="CE720" s="3"/>
      <c r="CF720" s="3"/>
      <c r="CG720" s="1464">
        <f t="shared" si="37"/>
        <v>0</v>
      </c>
      <c r="CH720" s="1466"/>
      <c r="CI720" s="1459">
        <f t="shared" si="38"/>
        <v>0</v>
      </c>
      <c r="CJ720" s="1460"/>
      <c r="CK720" s="1464">
        <f t="shared" si="16"/>
        <v>1</v>
      </c>
      <c r="CL720" s="1466"/>
      <c r="CM720" s="1459">
        <f t="shared" si="17"/>
        <v>3</v>
      </c>
      <c r="CN720" s="1460"/>
      <c r="CO720" s="3"/>
      <c r="CP720" s="1461">
        <f t="shared" si="18"/>
        <v>0</v>
      </c>
      <c r="CQ720" s="1462"/>
      <c r="CR720" s="1462"/>
      <c r="CS720" s="1462"/>
      <c r="CT720" s="1463"/>
      <c r="CU720" s="1454">
        <f t="shared" si="19"/>
        <v>0</v>
      </c>
      <c r="CV720" s="1454"/>
      <c r="CW720" s="1454"/>
      <c r="CX720" s="1454"/>
      <c r="CY720" s="1454"/>
      <c r="CZ720" s="1454">
        <f t="shared" si="20"/>
        <v>3</v>
      </c>
      <c r="DA720" s="1454"/>
      <c r="DB720" s="1454"/>
      <c r="DC720" s="1454"/>
      <c r="DD720" s="1454"/>
      <c r="DE720" s="1454">
        <f t="shared" si="21"/>
        <v>0</v>
      </c>
      <c r="DF720" s="1454"/>
      <c r="DG720" s="1454"/>
      <c r="DH720" s="1454"/>
      <c r="DI720" s="1454"/>
      <c r="DJ720" s="1454">
        <f t="shared" si="22"/>
        <v>0</v>
      </c>
      <c r="DK720" s="1454"/>
      <c r="DL720" s="1454"/>
      <c r="DM720" s="1454"/>
      <c r="DN720" s="1454"/>
      <c r="DO720" s="1454">
        <f t="shared" si="23"/>
        <v>0</v>
      </c>
      <c r="DP720" s="1454"/>
      <c r="DQ720" s="1454"/>
      <c r="DR720" s="1454"/>
      <c r="DS720" s="1454"/>
      <c r="DT720" s="6"/>
      <c r="DU720" s="1456">
        <f t="shared" si="24"/>
        <v>0</v>
      </c>
      <c r="DV720" s="1456"/>
      <c r="DW720" s="1456"/>
      <c r="DX720" s="1456"/>
      <c r="DY720" s="1456"/>
      <c r="DZ720" s="1456">
        <f t="shared" si="25"/>
        <v>0</v>
      </c>
      <c r="EA720" s="1456"/>
      <c r="EB720" s="1456"/>
      <c r="EC720" s="1456"/>
      <c r="ED720" s="1456"/>
      <c r="EE720" s="1456">
        <f t="shared" si="26"/>
        <v>3</v>
      </c>
      <c r="EF720" s="1456"/>
      <c r="EG720" s="1456"/>
      <c r="EH720" s="1456"/>
      <c r="EI720" s="1456"/>
      <c r="EJ720" s="1456">
        <f t="shared" si="27"/>
        <v>0</v>
      </c>
      <c r="EK720" s="1456"/>
      <c r="EL720" s="1456"/>
      <c r="EM720" s="1456"/>
      <c r="EN720" s="1456"/>
      <c r="EO720" s="1456">
        <f t="shared" si="28"/>
        <v>0</v>
      </c>
      <c r="EP720" s="1456"/>
      <c r="EQ720" s="1456"/>
      <c r="ER720" s="1456"/>
      <c r="ES720" s="1456"/>
      <c r="ET720" s="1456">
        <f t="shared" si="29"/>
        <v>0</v>
      </c>
      <c r="EU720" s="1456"/>
      <c r="EV720" s="1456"/>
      <c r="EW720" s="1456"/>
      <c r="EX720" s="1456"/>
      <c r="EZ720" s="1464" t="str">
        <f t="shared" si="30"/>
        <v/>
      </c>
      <c r="FA720" s="1465"/>
      <c r="FB720" s="1465"/>
      <c r="FC720" s="1465"/>
      <c r="FD720" s="1466"/>
      <c r="FE720" s="1464" t="str">
        <f t="shared" si="31"/>
        <v/>
      </c>
      <c r="FF720" s="1465"/>
      <c r="FG720" s="1465"/>
      <c r="FH720" s="1465"/>
      <c r="FI720" s="1466"/>
      <c r="FJ720" s="1464">
        <f t="shared" si="32"/>
        <v>966</v>
      </c>
      <c r="FK720" s="1465"/>
      <c r="FL720" s="1465"/>
      <c r="FM720" s="1465"/>
      <c r="FN720" s="1466"/>
      <c r="FO720" s="1464" t="str">
        <f t="shared" si="33"/>
        <v/>
      </c>
      <c r="FP720" s="1465"/>
      <c r="FQ720" s="1465"/>
      <c r="FR720" s="1465"/>
      <c r="FS720" s="1466"/>
      <c r="FT720" s="1464" t="str">
        <f t="shared" si="34"/>
        <v/>
      </c>
      <c r="FU720" s="1465"/>
      <c r="FV720" s="1465"/>
      <c r="FW720" s="1465"/>
      <c r="FX720" s="1466"/>
      <c r="FY720" s="1464" t="str">
        <f t="shared" si="35"/>
        <v/>
      </c>
      <c r="FZ720" s="1465"/>
      <c r="GA720" s="1465"/>
      <c r="GB720" s="1465"/>
      <c r="GC720" s="1466"/>
    </row>
    <row r="721" spans="1:185" ht="12.95" customHeight="1">
      <c r="B721" s="1337" t="s">
        <v>163</v>
      </c>
      <c r="C721" s="1338"/>
      <c r="D721" s="1338"/>
      <c r="E721" s="1338"/>
      <c r="F721" s="1339"/>
      <c r="G721" s="1349">
        <v>3</v>
      </c>
      <c r="H721" s="1350"/>
      <c r="I721" s="1350"/>
      <c r="J721" s="1351"/>
      <c r="K721" s="1343">
        <v>702</v>
      </c>
      <c r="L721" s="1344"/>
      <c r="M721" s="1344"/>
      <c r="N721" s="1345"/>
      <c r="O721" s="1340">
        <v>1647.5</v>
      </c>
      <c r="P721" s="1341"/>
      <c r="Q721" s="1341"/>
      <c r="R721" s="1341"/>
      <c r="S721" s="1342"/>
      <c r="T721" s="1340">
        <v>56</v>
      </c>
      <c r="U721" s="1341"/>
      <c r="V721" s="1341"/>
      <c r="W721" s="1342"/>
      <c r="X721" s="1352">
        <f t="shared" si="8"/>
        <v>1703.5</v>
      </c>
      <c r="Y721" s="1353"/>
      <c r="Z721" s="1353"/>
      <c r="AA721" s="1353"/>
      <c r="AB721" s="1354"/>
      <c r="AC721" s="1359">
        <v>0.5</v>
      </c>
      <c r="AD721" s="1360"/>
      <c r="AE721" s="1360"/>
      <c r="AF721" s="1360"/>
      <c r="AG721" s="1361"/>
      <c r="AH721" s="1355">
        <f t="shared" si="36"/>
        <v>0.50014679976512033</v>
      </c>
      <c r="AI721" s="1356"/>
      <c r="AJ721" s="1357"/>
      <c r="AK721" s="1337" t="s">
        <v>592</v>
      </c>
      <c r="AL721" s="1338"/>
      <c r="AM721" s="1338"/>
      <c r="AN721" s="1338"/>
      <c r="AO721" s="1339"/>
      <c r="AP721" s="3"/>
      <c r="AQ721" s="3"/>
      <c r="AR721" s="3"/>
      <c r="AS721" s="3"/>
      <c r="AY721" s="116"/>
      <c r="AZ721" s="118">
        <f t="shared" si="9"/>
        <v>3406</v>
      </c>
      <c r="BA721" s="3"/>
      <c r="BB721" s="3"/>
      <c r="BC721" s="3"/>
      <c r="BD721" s="3"/>
      <c r="BE721" s="204"/>
      <c r="BF721" s="294">
        <f t="shared" si="10"/>
        <v>3</v>
      </c>
      <c r="BG721" s="297">
        <f t="shared" si="11"/>
        <v>2.8846153846153848E-2</v>
      </c>
      <c r="BH721" s="298">
        <f t="shared" si="12"/>
        <v>1.4423076923076924E-2</v>
      </c>
      <c r="BI721" s="3"/>
      <c r="BJ721" s="3"/>
      <c r="BK721" s="3"/>
      <c r="BL721" s="3"/>
      <c r="BM721" s="3"/>
      <c r="BN721" s="3"/>
      <c r="BS721" s="294">
        <f t="shared" si="13"/>
        <v>3</v>
      </c>
      <c r="BT721" s="297">
        <f t="shared" si="14"/>
        <v>2.8846153846153848E-2</v>
      </c>
      <c r="BU721" s="298">
        <f t="shared" si="15"/>
        <v>1.4427311531686164E-2</v>
      </c>
      <c r="CC721" s="3"/>
      <c r="CD721" s="3"/>
      <c r="CE721" s="3"/>
      <c r="CF721" s="3"/>
      <c r="CG721" s="1464">
        <f t="shared" si="37"/>
        <v>1</v>
      </c>
      <c r="CH721" s="1466"/>
      <c r="CI721" s="1459">
        <f t="shared" si="38"/>
        <v>3</v>
      </c>
      <c r="CJ721" s="1460"/>
      <c r="CK721" s="1464">
        <f t="shared" si="16"/>
        <v>0</v>
      </c>
      <c r="CL721" s="1466"/>
      <c r="CM721" s="1459">
        <f t="shared" si="17"/>
        <v>0</v>
      </c>
      <c r="CN721" s="1460"/>
      <c r="CO721" s="3"/>
      <c r="CP721" s="1461">
        <f t="shared" si="18"/>
        <v>0</v>
      </c>
      <c r="CQ721" s="1462"/>
      <c r="CR721" s="1462"/>
      <c r="CS721" s="1462"/>
      <c r="CT721" s="1463"/>
      <c r="CU721" s="1454">
        <f t="shared" si="19"/>
        <v>0</v>
      </c>
      <c r="CV721" s="1454"/>
      <c r="CW721" s="1454"/>
      <c r="CX721" s="1454"/>
      <c r="CY721" s="1454"/>
      <c r="CZ721" s="1454">
        <f t="shared" si="20"/>
        <v>3</v>
      </c>
      <c r="DA721" s="1454"/>
      <c r="DB721" s="1454"/>
      <c r="DC721" s="1454"/>
      <c r="DD721" s="1454"/>
      <c r="DE721" s="1454">
        <f t="shared" si="21"/>
        <v>0</v>
      </c>
      <c r="DF721" s="1454"/>
      <c r="DG721" s="1454"/>
      <c r="DH721" s="1454"/>
      <c r="DI721" s="1454"/>
      <c r="DJ721" s="1454">
        <f t="shared" si="22"/>
        <v>0</v>
      </c>
      <c r="DK721" s="1454"/>
      <c r="DL721" s="1454"/>
      <c r="DM721" s="1454"/>
      <c r="DN721" s="1454"/>
      <c r="DO721" s="1454">
        <f t="shared" si="23"/>
        <v>0</v>
      </c>
      <c r="DP721" s="1454"/>
      <c r="DQ721" s="1454"/>
      <c r="DR721" s="1454"/>
      <c r="DS721" s="1454"/>
      <c r="DT721" s="6"/>
      <c r="DU721" s="1456">
        <f t="shared" si="24"/>
        <v>0</v>
      </c>
      <c r="DV721" s="1456"/>
      <c r="DW721" s="1456"/>
      <c r="DX721" s="1456"/>
      <c r="DY721" s="1456"/>
      <c r="DZ721" s="1456">
        <f t="shared" si="25"/>
        <v>0</v>
      </c>
      <c r="EA721" s="1456"/>
      <c r="EB721" s="1456"/>
      <c r="EC721" s="1456"/>
      <c r="ED721" s="1456"/>
      <c r="EE721" s="1456">
        <f t="shared" si="26"/>
        <v>0</v>
      </c>
      <c r="EF721" s="1456"/>
      <c r="EG721" s="1456"/>
      <c r="EH721" s="1456"/>
      <c r="EI721" s="1456"/>
      <c r="EJ721" s="1456">
        <f t="shared" si="27"/>
        <v>0</v>
      </c>
      <c r="EK721" s="1456"/>
      <c r="EL721" s="1456"/>
      <c r="EM721" s="1456"/>
      <c r="EN721" s="1456"/>
      <c r="EO721" s="1456">
        <f t="shared" si="28"/>
        <v>0</v>
      </c>
      <c r="EP721" s="1456"/>
      <c r="EQ721" s="1456"/>
      <c r="ER721" s="1456"/>
      <c r="ES721" s="1456"/>
      <c r="ET721" s="1456">
        <f t="shared" si="29"/>
        <v>0</v>
      </c>
      <c r="EU721" s="1456"/>
      <c r="EV721" s="1456"/>
      <c r="EW721" s="1456"/>
      <c r="EX721" s="1456"/>
      <c r="EZ721" s="1464" t="str">
        <f t="shared" si="30"/>
        <v/>
      </c>
      <c r="FA721" s="1465"/>
      <c r="FB721" s="1465"/>
      <c r="FC721" s="1465"/>
      <c r="FD721" s="1466"/>
      <c r="FE721" s="1464" t="str">
        <f t="shared" si="31"/>
        <v/>
      </c>
      <c r="FF721" s="1465"/>
      <c r="FG721" s="1465"/>
      <c r="FH721" s="1465"/>
      <c r="FI721" s="1466"/>
      <c r="FJ721" s="1464">
        <f t="shared" si="32"/>
        <v>1647.5</v>
      </c>
      <c r="FK721" s="1465"/>
      <c r="FL721" s="1465"/>
      <c r="FM721" s="1465"/>
      <c r="FN721" s="1466"/>
      <c r="FO721" s="1464" t="str">
        <f t="shared" si="33"/>
        <v/>
      </c>
      <c r="FP721" s="1465"/>
      <c r="FQ721" s="1465"/>
      <c r="FR721" s="1465"/>
      <c r="FS721" s="1466"/>
      <c r="FT721" s="1464" t="str">
        <f t="shared" si="34"/>
        <v/>
      </c>
      <c r="FU721" s="1465"/>
      <c r="FV721" s="1465"/>
      <c r="FW721" s="1465"/>
      <c r="FX721" s="1466"/>
      <c r="FY721" s="1464" t="str">
        <f t="shared" si="35"/>
        <v/>
      </c>
      <c r="FZ721" s="1465"/>
      <c r="GA721" s="1465"/>
      <c r="GB721" s="1465"/>
      <c r="GC721" s="1466"/>
    </row>
    <row r="722" spans="1:185" ht="12.95" customHeight="1">
      <c r="B722" s="1337" t="s">
        <v>163</v>
      </c>
      <c r="C722" s="1338"/>
      <c r="D722" s="1338"/>
      <c r="E722" s="1338"/>
      <c r="F722" s="1339"/>
      <c r="G722" s="1349">
        <v>23</v>
      </c>
      <c r="H722" s="1350"/>
      <c r="I722" s="1350"/>
      <c r="J722" s="1351"/>
      <c r="K722" s="1343">
        <v>702</v>
      </c>
      <c r="L722" s="1344"/>
      <c r="M722" s="1344"/>
      <c r="N722" s="1345"/>
      <c r="O722" s="1340">
        <v>2670</v>
      </c>
      <c r="P722" s="1341"/>
      <c r="Q722" s="1341"/>
      <c r="R722" s="1341"/>
      <c r="S722" s="1342"/>
      <c r="T722" s="1340">
        <v>56</v>
      </c>
      <c r="U722" s="1341"/>
      <c r="V722" s="1341"/>
      <c r="W722" s="1342"/>
      <c r="X722" s="1352">
        <f t="shared" si="8"/>
        <v>2726</v>
      </c>
      <c r="Y722" s="1353"/>
      <c r="Z722" s="1353"/>
      <c r="AA722" s="1353"/>
      <c r="AB722" s="1354"/>
      <c r="AC722" s="1359">
        <v>0.8</v>
      </c>
      <c r="AD722" s="1360"/>
      <c r="AE722" s="1360"/>
      <c r="AF722" s="1360"/>
      <c r="AG722" s="1361"/>
      <c r="AH722" s="1355">
        <f t="shared" si="36"/>
        <v>0.80035231943628893</v>
      </c>
      <c r="AI722" s="1356"/>
      <c r="AJ722" s="1357"/>
      <c r="AK722" s="1337" t="s">
        <v>592</v>
      </c>
      <c r="AL722" s="1338"/>
      <c r="AM722" s="1338"/>
      <c r="AN722" s="1338"/>
      <c r="AO722" s="1339"/>
      <c r="AP722" s="3"/>
      <c r="AQ722" s="3"/>
      <c r="AR722" s="3"/>
      <c r="AS722" s="3"/>
      <c r="AY722" s="116"/>
      <c r="AZ722" s="118">
        <f t="shared" si="9"/>
        <v>3406</v>
      </c>
      <c r="BA722" s="3"/>
      <c r="BB722" s="3"/>
      <c r="BC722" s="3"/>
      <c r="BD722" s="3"/>
      <c r="BE722" s="204"/>
      <c r="BF722" s="294">
        <f t="shared" si="10"/>
        <v>23</v>
      </c>
      <c r="BG722" s="297">
        <f t="shared" si="11"/>
        <v>0.22115384615384615</v>
      </c>
      <c r="BH722" s="298">
        <f t="shared" si="12"/>
        <v>0.17692307692307693</v>
      </c>
      <c r="BI722" s="3"/>
      <c r="BJ722" s="3"/>
      <c r="BK722" s="3"/>
      <c r="BL722" s="3"/>
      <c r="BM722" s="3"/>
      <c r="BN722" s="3"/>
      <c r="BS722" s="294">
        <f t="shared" si="13"/>
        <v>23</v>
      </c>
      <c r="BT722" s="297">
        <f t="shared" si="14"/>
        <v>0.22115384615384615</v>
      </c>
      <c r="BU722" s="298">
        <f t="shared" si="15"/>
        <v>0.17700099372148698</v>
      </c>
      <c r="CC722" s="3"/>
      <c r="CD722" s="3"/>
      <c r="CE722" s="3"/>
      <c r="CF722" s="3"/>
      <c r="CG722" s="1464">
        <f t="shared" si="37"/>
        <v>0</v>
      </c>
      <c r="CH722" s="1466"/>
      <c r="CI722" s="1459">
        <f t="shared" si="38"/>
        <v>0</v>
      </c>
      <c r="CJ722" s="1460"/>
      <c r="CK722" s="1464">
        <f t="shared" si="16"/>
        <v>0</v>
      </c>
      <c r="CL722" s="1466"/>
      <c r="CM722" s="1459">
        <f t="shared" si="17"/>
        <v>0</v>
      </c>
      <c r="CN722" s="1460"/>
      <c r="CO722" s="3"/>
      <c r="CP722" s="1461">
        <f t="shared" si="18"/>
        <v>0</v>
      </c>
      <c r="CQ722" s="1462"/>
      <c r="CR722" s="1462"/>
      <c r="CS722" s="1462"/>
      <c r="CT722" s="1463"/>
      <c r="CU722" s="1454">
        <f t="shared" si="19"/>
        <v>0</v>
      </c>
      <c r="CV722" s="1454"/>
      <c r="CW722" s="1454"/>
      <c r="CX722" s="1454"/>
      <c r="CY722" s="1454"/>
      <c r="CZ722" s="1454">
        <f t="shared" si="20"/>
        <v>23</v>
      </c>
      <c r="DA722" s="1454"/>
      <c r="DB722" s="1454"/>
      <c r="DC722" s="1454"/>
      <c r="DD722" s="1454"/>
      <c r="DE722" s="1454">
        <f t="shared" si="21"/>
        <v>0</v>
      </c>
      <c r="DF722" s="1454"/>
      <c r="DG722" s="1454"/>
      <c r="DH722" s="1454"/>
      <c r="DI722" s="1454"/>
      <c r="DJ722" s="1454">
        <f t="shared" si="22"/>
        <v>0</v>
      </c>
      <c r="DK722" s="1454"/>
      <c r="DL722" s="1454"/>
      <c r="DM722" s="1454"/>
      <c r="DN722" s="1454"/>
      <c r="DO722" s="1454">
        <f t="shared" si="23"/>
        <v>0</v>
      </c>
      <c r="DP722" s="1454"/>
      <c r="DQ722" s="1454"/>
      <c r="DR722" s="1454"/>
      <c r="DS722" s="1454"/>
      <c r="DT722" s="6"/>
      <c r="DU722" s="1456">
        <f t="shared" si="24"/>
        <v>0</v>
      </c>
      <c r="DV722" s="1456"/>
      <c r="DW722" s="1456"/>
      <c r="DX722" s="1456"/>
      <c r="DY722" s="1456"/>
      <c r="DZ722" s="1456">
        <f t="shared" si="25"/>
        <v>0</v>
      </c>
      <c r="EA722" s="1456"/>
      <c r="EB722" s="1456"/>
      <c r="EC722" s="1456"/>
      <c r="ED722" s="1456"/>
      <c r="EE722" s="1456">
        <f t="shared" si="26"/>
        <v>0</v>
      </c>
      <c r="EF722" s="1456"/>
      <c r="EG722" s="1456"/>
      <c r="EH722" s="1456"/>
      <c r="EI722" s="1456"/>
      <c r="EJ722" s="1456">
        <f t="shared" si="27"/>
        <v>0</v>
      </c>
      <c r="EK722" s="1456"/>
      <c r="EL722" s="1456"/>
      <c r="EM722" s="1456"/>
      <c r="EN722" s="1456"/>
      <c r="EO722" s="1456">
        <f t="shared" si="28"/>
        <v>0</v>
      </c>
      <c r="EP722" s="1456"/>
      <c r="EQ722" s="1456"/>
      <c r="ER722" s="1456"/>
      <c r="ES722" s="1456"/>
      <c r="ET722" s="1456">
        <f t="shared" si="29"/>
        <v>0</v>
      </c>
      <c r="EU722" s="1456"/>
      <c r="EV722" s="1456"/>
      <c r="EW722" s="1456"/>
      <c r="EX722" s="1456"/>
      <c r="EZ722" s="1464" t="str">
        <f t="shared" si="30"/>
        <v/>
      </c>
      <c r="FA722" s="1465"/>
      <c r="FB722" s="1465"/>
      <c r="FC722" s="1465"/>
      <c r="FD722" s="1466"/>
      <c r="FE722" s="1464" t="str">
        <f t="shared" si="31"/>
        <v/>
      </c>
      <c r="FF722" s="1465"/>
      <c r="FG722" s="1465"/>
      <c r="FH722" s="1465"/>
      <c r="FI722" s="1466"/>
      <c r="FJ722" s="1464">
        <f t="shared" si="32"/>
        <v>2670</v>
      </c>
      <c r="FK722" s="1465"/>
      <c r="FL722" s="1465"/>
      <c r="FM722" s="1465"/>
      <c r="FN722" s="1466"/>
      <c r="FO722" s="1464" t="str">
        <f t="shared" si="33"/>
        <v/>
      </c>
      <c r="FP722" s="1465"/>
      <c r="FQ722" s="1465"/>
      <c r="FR722" s="1465"/>
      <c r="FS722" s="1466"/>
      <c r="FT722" s="1464" t="str">
        <f t="shared" si="34"/>
        <v/>
      </c>
      <c r="FU722" s="1465"/>
      <c r="FV722" s="1465"/>
      <c r="FW722" s="1465"/>
      <c r="FX722" s="1466"/>
      <c r="FY722" s="1464" t="str">
        <f t="shared" si="35"/>
        <v/>
      </c>
      <c r="FZ722" s="1465"/>
      <c r="GA722" s="1465"/>
      <c r="GB722" s="1465"/>
      <c r="GC722" s="1466"/>
    </row>
    <row r="723" spans="1:185" ht="12.95" customHeight="1">
      <c r="B723" s="1337" t="s">
        <v>164</v>
      </c>
      <c r="C723" s="1338"/>
      <c r="D723" s="1338"/>
      <c r="E723" s="1338"/>
      <c r="F723" s="1339"/>
      <c r="G723" s="1349">
        <v>3</v>
      </c>
      <c r="H723" s="1350"/>
      <c r="I723" s="1350"/>
      <c r="J723" s="1351"/>
      <c r="K723" s="1343">
        <v>905</v>
      </c>
      <c r="L723" s="1344"/>
      <c r="M723" s="1344"/>
      <c r="N723" s="1345"/>
      <c r="O723" s="1340">
        <v>1113.5</v>
      </c>
      <c r="P723" s="1341"/>
      <c r="Q723" s="1341"/>
      <c r="R723" s="1341"/>
      <c r="S723" s="1342"/>
      <c r="T723" s="1340">
        <v>68</v>
      </c>
      <c r="U723" s="1341"/>
      <c r="V723" s="1341"/>
      <c r="W723" s="1342"/>
      <c r="X723" s="1352">
        <f t="shared" si="8"/>
        <v>1181.5</v>
      </c>
      <c r="Y723" s="1353"/>
      <c r="Z723" s="1353"/>
      <c r="AA723" s="1353"/>
      <c r="AB723" s="1354"/>
      <c r="AC723" s="1359">
        <v>0.3</v>
      </c>
      <c r="AD723" s="1360"/>
      <c r="AE723" s="1360"/>
      <c r="AF723" s="1360"/>
      <c r="AG723" s="1361"/>
      <c r="AH723" s="1355">
        <f t="shared" si="36"/>
        <v>0.3000253936008126</v>
      </c>
      <c r="AI723" s="1356"/>
      <c r="AJ723" s="1357"/>
      <c r="AK723" s="1337" t="s">
        <v>592</v>
      </c>
      <c r="AL723" s="1338"/>
      <c r="AM723" s="1338"/>
      <c r="AN723" s="1338"/>
      <c r="AO723" s="1339"/>
      <c r="AP723" s="3"/>
      <c r="AQ723" s="3"/>
      <c r="AR723" s="3"/>
      <c r="AS723" s="3"/>
      <c r="AY723" s="116"/>
      <c r="AZ723" s="118">
        <f t="shared" si="9"/>
        <v>3938</v>
      </c>
      <c r="BA723" s="3"/>
      <c r="BB723" s="3"/>
      <c r="BC723" s="3"/>
      <c r="BD723" s="3"/>
      <c r="BE723" s="204"/>
      <c r="BF723" s="294">
        <f t="shared" si="10"/>
        <v>3</v>
      </c>
      <c r="BG723" s="297">
        <f t="shared" si="11"/>
        <v>2.8846153846153848E-2</v>
      </c>
      <c r="BH723" s="298">
        <f t="shared" si="12"/>
        <v>8.6538461538461543E-3</v>
      </c>
      <c r="BI723" s="3"/>
      <c r="BJ723" s="3"/>
      <c r="BK723" s="3"/>
      <c r="BL723" s="3"/>
      <c r="BM723" s="3"/>
      <c r="BN723" s="3"/>
      <c r="BS723" s="294">
        <f t="shared" si="13"/>
        <v>3</v>
      </c>
      <c r="BT723" s="297">
        <f t="shared" si="14"/>
        <v>2.8846153846153848E-2</v>
      </c>
      <c r="BU723" s="298">
        <f t="shared" si="15"/>
        <v>8.6545786615619021E-3</v>
      </c>
      <c r="CC723" s="3"/>
      <c r="CD723" s="3"/>
      <c r="CE723" s="3"/>
      <c r="CF723" s="3"/>
      <c r="CG723" s="1464">
        <f t="shared" si="37"/>
        <v>0</v>
      </c>
      <c r="CH723" s="1466"/>
      <c r="CI723" s="1459">
        <f t="shared" si="38"/>
        <v>0</v>
      </c>
      <c r="CJ723" s="1460"/>
      <c r="CK723" s="1464">
        <f t="shared" si="16"/>
        <v>1</v>
      </c>
      <c r="CL723" s="1466"/>
      <c r="CM723" s="1459">
        <f t="shared" si="17"/>
        <v>3</v>
      </c>
      <c r="CN723" s="1460"/>
      <c r="CO723" s="3"/>
      <c r="CP723" s="1461">
        <f t="shared" si="18"/>
        <v>0</v>
      </c>
      <c r="CQ723" s="1462"/>
      <c r="CR723" s="1462"/>
      <c r="CS723" s="1462"/>
      <c r="CT723" s="1463"/>
      <c r="CU723" s="1454">
        <f t="shared" si="19"/>
        <v>0</v>
      </c>
      <c r="CV723" s="1454"/>
      <c r="CW723" s="1454"/>
      <c r="CX723" s="1454"/>
      <c r="CY723" s="1454"/>
      <c r="CZ723" s="1454">
        <f t="shared" si="20"/>
        <v>0</v>
      </c>
      <c r="DA723" s="1454"/>
      <c r="DB723" s="1454"/>
      <c r="DC723" s="1454"/>
      <c r="DD723" s="1454"/>
      <c r="DE723" s="1454">
        <f t="shared" si="21"/>
        <v>3</v>
      </c>
      <c r="DF723" s="1454"/>
      <c r="DG723" s="1454"/>
      <c r="DH723" s="1454"/>
      <c r="DI723" s="1454"/>
      <c r="DJ723" s="1454">
        <f t="shared" si="22"/>
        <v>0</v>
      </c>
      <c r="DK723" s="1454"/>
      <c r="DL723" s="1454"/>
      <c r="DM723" s="1454"/>
      <c r="DN723" s="1454"/>
      <c r="DO723" s="1454">
        <f t="shared" si="23"/>
        <v>0</v>
      </c>
      <c r="DP723" s="1454"/>
      <c r="DQ723" s="1454"/>
      <c r="DR723" s="1454"/>
      <c r="DS723" s="1454"/>
      <c r="DT723" s="6"/>
      <c r="DU723" s="1456">
        <f t="shared" si="24"/>
        <v>0</v>
      </c>
      <c r="DV723" s="1456"/>
      <c r="DW723" s="1456"/>
      <c r="DX723" s="1456"/>
      <c r="DY723" s="1456"/>
      <c r="DZ723" s="1456">
        <f t="shared" si="25"/>
        <v>0</v>
      </c>
      <c r="EA723" s="1456"/>
      <c r="EB723" s="1456"/>
      <c r="EC723" s="1456"/>
      <c r="ED723" s="1456"/>
      <c r="EE723" s="1456">
        <f t="shared" si="26"/>
        <v>0</v>
      </c>
      <c r="EF723" s="1456"/>
      <c r="EG723" s="1456"/>
      <c r="EH723" s="1456"/>
      <c r="EI723" s="1456"/>
      <c r="EJ723" s="1456">
        <f t="shared" si="27"/>
        <v>3</v>
      </c>
      <c r="EK723" s="1456"/>
      <c r="EL723" s="1456"/>
      <c r="EM723" s="1456"/>
      <c r="EN723" s="1456"/>
      <c r="EO723" s="1456">
        <f t="shared" si="28"/>
        <v>0</v>
      </c>
      <c r="EP723" s="1456"/>
      <c r="EQ723" s="1456"/>
      <c r="ER723" s="1456"/>
      <c r="ES723" s="1456"/>
      <c r="ET723" s="1456">
        <f t="shared" si="29"/>
        <v>0</v>
      </c>
      <c r="EU723" s="1456"/>
      <c r="EV723" s="1456"/>
      <c r="EW723" s="1456"/>
      <c r="EX723" s="1456"/>
      <c r="EZ723" s="1464" t="str">
        <f t="shared" si="30"/>
        <v/>
      </c>
      <c r="FA723" s="1465"/>
      <c r="FB723" s="1465"/>
      <c r="FC723" s="1465"/>
      <c r="FD723" s="1466"/>
      <c r="FE723" s="1464" t="str">
        <f t="shared" si="31"/>
        <v/>
      </c>
      <c r="FF723" s="1465"/>
      <c r="FG723" s="1465"/>
      <c r="FH723" s="1465"/>
      <c r="FI723" s="1466"/>
      <c r="FJ723" s="1464" t="str">
        <f t="shared" si="32"/>
        <v/>
      </c>
      <c r="FK723" s="1465"/>
      <c r="FL723" s="1465"/>
      <c r="FM723" s="1465"/>
      <c r="FN723" s="1466"/>
      <c r="FO723" s="1464">
        <f t="shared" si="33"/>
        <v>1113.5</v>
      </c>
      <c r="FP723" s="1465"/>
      <c r="FQ723" s="1465"/>
      <c r="FR723" s="1465"/>
      <c r="FS723" s="1466"/>
      <c r="FT723" s="1464" t="str">
        <f t="shared" si="34"/>
        <v/>
      </c>
      <c r="FU723" s="1465"/>
      <c r="FV723" s="1465"/>
      <c r="FW723" s="1465"/>
      <c r="FX723" s="1466"/>
      <c r="FY723" s="1464" t="str">
        <f t="shared" si="35"/>
        <v/>
      </c>
      <c r="FZ723" s="1465"/>
      <c r="GA723" s="1465"/>
      <c r="GB723" s="1465"/>
      <c r="GC723" s="1466"/>
    </row>
    <row r="724" spans="1:185" ht="12.95" customHeight="1">
      <c r="B724" s="1337" t="s">
        <v>164</v>
      </c>
      <c r="C724" s="1338"/>
      <c r="D724" s="1338"/>
      <c r="E724" s="1338"/>
      <c r="F724" s="1339"/>
      <c r="G724" s="1349">
        <v>3</v>
      </c>
      <c r="H724" s="1350"/>
      <c r="I724" s="1350"/>
      <c r="J724" s="1351"/>
      <c r="K724" s="1343">
        <v>905</v>
      </c>
      <c r="L724" s="1344"/>
      <c r="M724" s="1344"/>
      <c r="N724" s="1345"/>
      <c r="O724" s="1340">
        <v>1901.5</v>
      </c>
      <c r="P724" s="1341"/>
      <c r="Q724" s="1341"/>
      <c r="R724" s="1341"/>
      <c r="S724" s="1342"/>
      <c r="T724" s="1340">
        <v>68</v>
      </c>
      <c r="U724" s="1341"/>
      <c r="V724" s="1341"/>
      <c r="W724" s="1342"/>
      <c r="X724" s="1352">
        <f t="shared" si="8"/>
        <v>1969.5</v>
      </c>
      <c r="Y724" s="1353"/>
      <c r="Z724" s="1353"/>
      <c r="AA724" s="1353"/>
      <c r="AB724" s="1354"/>
      <c r="AC724" s="1359">
        <v>0.5</v>
      </c>
      <c r="AD724" s="1360"/>
      <c r="AE724" s="1360"/>
      <c r="AF724" s="1360"/>
      <c r="AG724" s="1361"/>
      <c r="AH724" s="1355">
        <f t="shared" si="36"/>
        <v>0.50012696800406298</v>
      </c>
      <c r="AI724" s="1356"/>
      <c r="AJ724" s="1357"/>
      <c r="AK724" s="1337" t="s">
        <v>592</v>
      </c>
      <c r="AL724" s="1338"/>
      <c r="AM724" s="1338"/>
      <c r="AN724" s="1338"/>
      <c r="AO724" s="1339"/>
      <c r="AP724" s="3"/>
      <c r="AQ724" s="3"/>
      <c r="AR724" s="3"/>
      <c r="AS724" s="3"/>
      <c r="AY724" s="116"/>
      <c r="AZ724" s="118">
        <f t="shared" si="9"/>
        <v>3938</v>
      </c>
      <c r="BA724" s="3"/>
      <c r="BB724" s="3"/>
      <c r="BC724" s="3"/>
      <c r="BD724" s="3"/>
      <c r="BE724" s="204"/>
      <c r="BF724" s="294">
        <f t="shared" si="10"/>
        <v>3</v>
      </c>
      <c r="BG724" s="297">
        <f t="shared" si="11"/>
        <v>2.8846153846153848E-2</v>
      </c>
      <c r="BH724" s="298">
        <f t="shared" si="12"/>
        <v>1.4423076923076924E-2</v>
      </c>
      <c r="BI724" s="3"/>
      <c r="BJ724" s="3"/>
      <c r="BK724" s="3"/>
      <c r="BL724" s="3"/>
      <c r="BM724" s="3"/>
      <c r="BN724" s="3"/>
      <c r="BS724" s="294">
        <f t="shared" si="13"/>
        <v>3</v>
      </c>
      <c r="BT724" s="297">
        <f t="shared" si="14"/>
        <v>2.8846153846153848E-2</v>
      </c>
      <c r="BU724" s="298">
        <f t="shared" si="15"/>
        <v>1.4426739461655664E-2</v>
      </c>
      <c r="CC724" s="3"/>
      <c r="CE724" s="3"/>
      <c r="CF724" s="3"/>
      <c r="CG724" s="1464">
        <f t="shared" si="37"/>
        <v>1</v>
      </c>
      <c r="CH724" s="1466"/>
      <c r="CI724" s="1459">
        <f t="shared" si="38"/>
        <v>3</v>
      </c>
      <c r="CJ724" s="1460"/>
      <c r="CK724" s="1464">
        <f t="shared" si="16"/>
        <v>0</v>
      </c>
      <c r="CL724" s="1466"/>
      <c r="CM724" s="1459">
        <f t="shared" si="17"/>
        <v>0</v>
      </c>
      <c r="CN724" s="1460"/>
      <c r="CO724" s="3"/>
      <c r="CP724" s="1461">
        <f t="shared" si="18"/>
        <v>0</v>
      </c>
      <c r="CQ724" s="1462"/>
      <c r="CR724" s="1462"/>
      <c r="CS724" s="1462"/>
      <c r="CT724" s="1463"/>
      <c r="CU724" s="1454">
        <f t="shared" si="19"/>
        <v>0</v>
      </c>
      <c r="CV724" s="1454"/>
      <c r="CW724" s="1454"/>
      <c r="CX724" s="1454"/>
      <c r="CY724" s="1454"/>
      <c r="CZ724" s="1454">
        <f t="shared" si="20"/>
        <v>0</v>
      </c>
      <c r="DA724" s="1454"/>
      <c r="DB724" s="1454"/>
      <c r="DC724" s="1454"/>
      <c r="DD724" s="1454"/>
      <c r="DE724" s="1454">
        <f t="shared" si="21"/>
        <v>3</v>
      </c>
      <c r="DF724" s="1454"/>
      <c r="DG724" s="1454"/>
      <c r="DH724" s="1454"/>
      <c r="DI724" s="1454"/>
      <c r="DJ724" s="1454">
        <f t="shared" si="22"/>
        <v>0</v>
      </c>
      <c r="DK724" s="1454"/>
      <c r="DL724" s="1454"/>
      <c r="DM724" s="1454"/>
      <c r="DN724" s="1454"/>
      <c r="DO724" s="1454">
        <f t="shared" si="23"/>
        <v>0</v>
      </c>
      <c r="DP724" s="1454"/>
      <c r="DQ724" s="1454"/>
      <c r="DR724" s="1454"/>
      <c r="DS724" s="1454"/>
      <c r="DT724" s="6"/>
      <c r="DU724" s="1456">
        <f t="shared" si="24"/>
        <v>0</v>
      </c>
      <c r="DV724" s="1456"/>
      <c r="DW724" s="1456"/>
      <c r="DX724" s="1456"/>
      <c r="DY724" s="1456"/>
      <c r="DZ724" s="1456">
        <f t="shared" si="25"/>
        <v>0</v>
      </c>
      <c r="EA724" s="1456"/>
      <c r="EB724" s="1456"/>
      <c r="EC724" s="1456"/>
      <c r="ED724" s="1456"/>
      <c r="EE724" s="1456">
        <f t="shared" si="26"/>
        <v>0</v>
      </c>
      <c r="EF724" s="1456"/>
      <c r="EG724" s="1456"/>
      <c r="EH724" s="1456"/>
      <c r="EI724" s="1456"/>
      <c r="EJ724" s="1456">
        <f t="shared" si="27"/>
        <v>0</v>
      </c>
      <c r="EK724" s="1456"/>
      <c r="EL724" s="1456"/>
      <c r="EM724" s="1456"/>
      <c r="EN724" s="1456"/>
      <c r="EO724" s="1456">
        <f t="shared" si="28"/>
        <v>0</v>
      </c>
      <c r="EP724" s="1456"/>
      <c r="EQ724" s="1456"/>
      <c r="ER724" s="1456"/>
      <c r="ES724" s="1456"/>
      <c r="ET724" s="1456">
        <f t="shared" si="29"/>
        <v>0</v>
      </c>
      <c r="EU724" s="1456"/>
      <c r="EV724" s="1456"/>
      <c r="EW724" s="1456"/>
      <c r="EX724" s="1456"/>
      <c r="EZ724" s="1464" t="str">
        <f t="shared" si="30"/>
        <v/>
      </c>
      <c r="FA724" s="1465"/>
      <c r="FB724" s="1465"/>
      <c r="FC724" s="1465"/>
      <c r="FD724" s="1466"/>
      <c r="FE724" s="1464" t="str">
        <f t="shared" si="31"/>
        <v/>
      </c>
      <c r="FF724" s="1465"/>
      <c r="FG724" s="1465"/>
      <c r="FH724" s="1465"/>
      <c r="FI724" s="1466"/>
      <c r="FJ724" s="1464" t="str">
        <f t="shared" si="32"/>
        <v/>
      </c>
      <c r="FK724" s="1465"/>
      <c r="FL724" s="1465"/>
      <c r="FM724" s="1465"/>
      <c r="FN724" s="1466"/>
      <c r="FO724" s="1464">
        <f t="shared" si="33"/>
        <v>1901.5</v>
      </c>
      <c r="FP724" s="1465"/>
      <c r="FQ724" s="1465"/>
      <c r="FR724" s="1465"/>
      <c r="FS724" s="1466"/>
      <c r="FT724" s="1464" t="str">
        <f t="shared" si="34"/>
        <v/>
      </c>
      <c r="FU724" s="1465"/>
      <c r="FV724" s="1465"/>
      <c r="FW724" s="1465"/>
      <c r="FX724" s="1466"/>
      <c r="FY724" s="1464" t="str">
        <f t="shared" si="35"/>
        <v/>
      </c>
      <c r="FZ724" s="1465"/>
      <c r="GA724" s="1465"/>
      <c r="GB724" s="1465"/>
      <c r="GC724" s="1466"/>
    </row>
    <row r="725" spans="1:185" ht="12.95" customHeight="1">
      <c r="B725" s="1337" t="s">
        <v>164</v>
      </c>
      <c r="C725" s="1338"/>
      <c r="D725" s="1338"/>
      <c r="E725" s="1338"/>
      <c r="F725" s="1339"/>
      <c r="G725" s="1349">
        <v>24</v>
      </c>
      <c r="H725" s="1350"/>
      <c r="I725" s="1350"/>
      <c r="J725" s="1351"/>
      <c r="K725" s="1343">
        <v>905</v>
      </c>
      <c r="L725" s="1344"/>
      <c r="M725" s="1344"/>
      <c r="N725" s="1345"/>
      <c r="O725" s="1340">
        <v>3083</v>
      </c>
      <c r="P725" s="1341"/>
      <c r="Q725" s="1341"/>
      <c r="R725" s="1341"/>
      <c r="S725" s="1342"/>
      <c r="T725" s="1340">
        <v>68</v>
      </c>
      <c r="U725" s="1341"/>
      <c r="V725" s="1341"/>
      <c r="W725" s="1342"/>
      <c r="X725" s="1352">
        <f t="shared" si="8"/>
        <v>3151</v>
      </c>
      <c r="Y725" s="1353"/>
      <c r="Z725" s="1353"/>
      <c r="AA725" s="1353"/>
      <c r="AB725" s="1354"/>
      <c r="AC725" s="1359">
        <v>0.8</v>
      </c>
      <c r="AD725" s="1360"/>
      <c r="AE725" s="1360"/>
      <c r="AF725" s="1360"/>
      <c r="AG725" s="1361"/>
      <c r="AH725" s="1355">
        <f t="shared" si="36"/>
        <v>0.80015236160487557</v>
      </c>
      <c r="AI725" s="1356"/>
      <c r="AJ725" s="1357"/>
      <c r="AK725" s="1337" t="s">
        <v>592</v>
      </c>
      <c r="AL725" s="1338"/>
      <c r="AM725" s="1338"/>
      <c r="AN725" s="1338"/>
      <c r="AO725" s="1339"/>
      <c r="AP725" s="3"/>
      <c r="AQ725" s="3"/>
      <c r="AR725" s="3"/>
      <c r="AS725" s="3"/>
      <c r="AY725" s="1085"/>
      <c r="AZ725" s="118">
        <f t="shared" si="9"/>
        <v>3938</v>
      </c>
      <c r="BA725" s="3"/>
      <c r="BB725" s="3"/>
      <c r="BC725" s="3"/>
      <c r="BD725" s="3"/>
      <c r="BE725" s="204"/>
      <c r="BF725" s="294">
        <f t="shared" si="10"/>
        <v>24</v>
      </c>
      <c r="BG725" s="297">
        <f t="shared" si="11"/>
        <v>0.23076923076923078</v>
      </c>
      <c r="BH725" s="298">
        <f t="shared" si="12"/>
        <v>0.18461538461538463</v>
      </c>
      <c r="BI725" s="3"/>
      <c r="BJ725" s="3"/>
      <c r="BK725" s="3"/>
      <c r="BL725" s="3"/>
      <c r="BM725" s="3"/>
      <c r="BN725" s="3"/>
      <c r="BS725" s="294">
        <f t="shared" si="13"/>
        <v>24</v>
      </c>
      <c r="BT725" s="297">
        <f t="shared" si="14"/>
        <v>0.23076923076923078</v>
      </c>
      <c r="BU725" s="298">
        <f t="shared" si="15"/>
        <v>0.18465054498574052</v>
      </c>
      <c r="BV725" s="292"/>
      <c r="BW725" s="3"/>
      <c r="BX725" s="3"/>
      <c r="BY725" s="3"/>
      <c r="BZ725" s="3"/>
      <c r="CA725" s="3"/>
      <c r="CB725" s="3"/>
      <c r="CC725" s="3"/>
      <c r="CE725" s="3"/>
      <c r="CF725" s="3"/>
      <c r="CG725" s="1464">
        <f t="shared" si="37"/>
        <v>0</v>
      </c>
      <c r="CH725" s="1466"/>
      <c r="CI725" s="1459">
        <f t="shared" si="38"/>
        <v>0</v>
      </c>
      <c r="CJ725" s="1460"/>
      <c r="CK725" s="1464">
        <f t="shared" si="16"/>
        <v>0</v>
      </c>
      <c r="CL725" s="1466"/>
      <c r="CM725" s="1459">
        <f t="shared" si="17"/>
        <v>0</v>
      </c>
      <c r="CN725" s="1460"/>
      <c r="CO725" s="3"/>
      <c r="CP725" s="1461">
        <f t="shared" si="18"/>
        <v>0</v>
      </c>
      <c r="CQ725" s="1462"/>
      <c r="CR725" s="1462"/>
      <c r="CS725" s="1462"/>
      <c r="CT725" s="1463"/>
      <c r="CU725" s="1454">
        <f t="shared" si="19"/>
        <v>0</v>
      </c>
      <c r="CV725" s="1454"/>
      <c r="CW725" s="1454"/>
      <c r="CX725" s="1454"/>
      <c r="CY725" s="1454"/>
      <c r="CZ725" s="1454">
        <f t="shared" si="20"/>
        <v>0</v>
      </c>
      <c r="DA725" s="1454"/>
      <c r="DB725" s="1454"/>
      <c r="DC725" s="1454"/>
      <c r="DD725" s="1454"/>
      <c r="DE725" s="1454">
        <f t="shared" si="21"/>
        <v>24</v>
      </c>
      <c r="DF725" s="1454"/>
      <c r="DG725" s="1454"/>
      <c r="DH725" s="1454"/>
      <c r="DI725" s="1454"/>
      <c r="DJ725" s="1454">
        <f t="shared" si="22"/>
        <v>0</v>
      </c>
      <c r="DK725" s="1454"/>
      <c r="DL725" s="1454"/>
      <c r="DM725" s="1454"/>
      <c r="DN725" s="1454"/>
      <c r="DO725" s="1454">
        <f t="shared" si="23"/>
        <v>0</v>
      </c>
      <c r="DP725" s="1454"/>
      <c r="DQ725" s="1454"/>
      <c r="DR725" s="1454"/>
      <c r="DS725" s="1454"/>
      <c r="DT725" s="6"/>
      <c r="DU725" s="1456">
        <f t="shared" si="24"/>
        <v>0</v>
      </c>
      <c r="DV725" s="1456"/>
      <c r="DW725" s="1456"/>
      <c r="DX725" s="1456"/>
      <c r="DY725" s="1456"/>
      <c r="DZ725" s="1456">
        <f t="shared" si="25"/>
        <v>0</v>
      </c>
      <c r="EA725" s="1456"/>
      <c r="EB725" s="1456"/>
      <c r="EC725" s="1456"/>
      <c r="ED725" s="1456"/>
      <c r="EE725" s="1456">
        <f t="shared" si="26"/>
        <v>0</v>
      </c>
      <c r="EF725" s="1456"/>
      <c r="EG725" s="1456"/>
      <c r="EH725" s="1456"/>
      <c r="EI725" s="1456"/>
      <c r="EJ725" s="1456">
        <f t="shared" si="27"/>
        <v>0</v>
      </c>
      <c r="EK725" s="1456"/>
      <c r="EL725" s="1456"/>
      <c r="EM725" s="1456"/>
      <c r="EN725" s="1456"/>
      <c r="EO725" s="1456">
        <f t="shared" si="28"/>
        <v>0</v>
      </c>
      <c r="EP725" s="1456"/>
      <c r="EQ725" s="1456"/>
      <c r="ER725" s="1456"/>
      <c r="ES725" s="1456"/>
      <c r="ET725" s="1456">
        <f t="shared" si="29"/>
        <v>0</v>
      </c>
      <c r="EU725" s="1456"/>
      <c r="EV725" s="1456"/>
      <c r="EW725" s="1456"/>
      <c r="EX725" s="1456"/>
      <c r="EZ725" s="1464" t="str">
        <f t="shared" si="30"/>
        <v/>
      </c>
      <c r="FA725" s="1465"/>
      <c r="FB725" s="1465"/>
      <c r="FC725" s="1465"/>
      <c r="FD725" s="1466"/>
      <c r="FE725" s="1464" t="str">
        <f t="shared" si="31"/>
        <v/>
      </c>
      <c r="FF725" s="1465"/>
      <c r="FG725" s="1465"/>
      <c r="FH725" s="1465"/>
      <c r="FI725" s="1466"/>
      <c r="FJ725" s="1464" t="str">
        <f t="shared" si="32"/>
        <v/>
      </c>
      <c r="FK725" s="1465"/>
      <c r="FL725" s="1465"/>
      <c r="FM725" s="1465"/>
      <c r="FN725" s="1466"/>
      <c r="FO725" s="1464">
        <f t="shared" si="33"/>
        <v>3083</v>
      </c>
      <c r="FP725" s="1465"/>
      <c r="FQ725" s="1465"/>
      <c r="FR725" s="1465"/>
      <c r="FS725" s="1466"/>
      <c r="FT725" s="1464" t="str">
        <f t="shared" si="34"/>
        <v/>
      </c>
      <c r="FU725" s="1465"/>
      <c r="FV725" s="1465"/>
      <c r="FW725" s="1465"/>
      <c r="FX725" s="1466"/>
      <c r="FY725" s="1464" t="str">
        <f t="shared" si="35"/>
        <v/>
      </c>
      <c r="FZ725" s="1465"/>
      <c r="GA725" s="1465"/>
      <c r="GB725" s="1465"/>
      <c r="GC725" s="1466"/>
    </row>
    <row r="726" spans="1:185" ht="12.95" customHeight="1">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8"/>
        <v>0</v>
      </c>
      <c r="Y726" s="1353"/>
      <c r="Z726" s="1353"/>
      <c r="AA726" s="1353"/>
      <c r="AB726" s="1354"/>
      <c r="AC726" s="1359"/>
      <c r="AD726" s="1360"/>
      <c r="AE726" s="1360"/>
      <c r="AF726" s="1360"/>
      <c r="AG726" s="1361"/>
      <c r="AH726" s="1355" t="str">
        <f t="shared" si="36"/>
        <v/>
      </c>
      <c r="AI726" s="1356"/>
      <c r="AJ726" s="1357"/>
      <c r="AK726" s="1337" t="s">
        <v>592</v>
      </c>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4">
        <f t="shared" si="37"/>
        <v>0</v>
      </c>
      <c r="CH726" s="1466"/>
      <c r="CI726" s="1459">
        <f t="shared" si="38"/>
        <v>0</v>
      </c>
      <c r="CJ726" s="1460"/>
      <c r="CK726" s="1464">
        <f t="shared" si="16"/>
        <v>0</v>
      </c>
      <c r="CL726" s="1466"/>
      <c r="CM726" s="1459">
        <f t="shared" si="17"/>
        <v>0</v>
      </c>
      <c r="CN726" s="1460"/>
      <c r="CO726" s="3"/>
      <c r="CP726" s="1461">
        <f t="shared" si="18"/>
        <v>0</v>
      </c>
      <c r="CQ726" s="1462"/>
      <c r="CR726" s="1462"/>
      <c r="CS726" s="1462"/>
      <c r="CT726" s="1463"/>
      <c r="CU726" s="1454">
        <f t="shared" si="19"/>
        <v>0</v>
      </c>
      <c r="CV726" s="1454"/>
      <c r="CW726" s="1454"/>
      <c r="CX726" s="1454"/>
      <c r="CY726" s="1454"/>
      <c r="CZ726" s="1454">
        <f t="shared" si="20"/>
        <v>0</v>
      </c>
      <c r="DA726" s="1454"/>
      <c r="DB726" s="1454"/>
      <c r="DC726" s="1454"/>
      <c r="DD726" s="1454"/>
      <c r="DE726" s="1454">
        <f t="shared" si="21"/>
        <v>0</v>
      </c>
      <c r="DF726" s="1454"/>
      <c r="DG726" s="1454"/>
      <c r="DH726" s="1454"/>
      <c r="DI726" s="1454"/>
      <c r="DJ726" s="1454">
        <f t="shared" si="22"/>
        <v>0</v>
      </c>
      <c r="DK726" s="1454"/>
      <c r="DL726" s="1454"/>
      <c r="DM726" s="1454"/>
      <c r="DN726" s="1454"/>
      <c r="DO726" s="1454">
        <f t="shared" si="23"/>
        <v>0</v>
      </c>
      <c r="DP726" s="1454"/>
      <c r="DQ726" s="1454"/>
      <c r="DR726" s="1454"/>
      <c r="DS726" s="1454"/>
      <c r="DT726" s="6"/>
      <c r="DU726" s="1456">
        <f t="shared" si="24"/>
        <v>0</v>
      </c>
      <c r="DV726" s="1456"/>
      <c r="DW726" s="1456"/>
      <c r="DX726" s="1456"/>
      <c r="DY726" s="1456"/>
      <c r="DZ726" s="1456">
        <f t="shared" si="25"/>
        <v>0</v>
      </c>
      <c r="EA726" s="1456"/>
      <c r="EB726" s="1456"/>
      <c r="EC726" s="1456"/>
      <c r="ED726" s="1456"/>
      <c r="EE726" s="1456">
        <f t="shared" si="26"/>
        <v>0</v>
      </c>
      <c r="EF726" s="1456"/>
      <c r="EG726" s="1456"/>
      <c r="EH726" s="1456"/>
      <c r="EI726" s="1456"/>
      <c r="EJ726" s="1456">
        <f t="shared" si="27"/>
        <v>0</v>
      </c>
      <c r="EK726" s="1456"/>
      <c r="EL726" s="1456"/>
      <c r="EM726" s="1456"/>
      <c r="EN726" s="1456"/>
      <c r="EO726" s="1456">
        <f t="shared" si="28"/>
        <v>0</v>
      </c>
      <c r="EP726" s="1456"/>
      <c r="EQ726" s="1456"/>
      <c r="ER726" s="1456"/>
      <c r="ES726" s="1456"/>
      <c r="ET726" s="1456">
        <f t="shared" si="29"/>
        <v>0</v>
      </c>
      <c r="EU726" s="1456"/>
      <c r="EV726" s="1456"/>
      <c r="EW726" s="1456"/>
      <c r="EX726" s="1456"/>
      <c r="EY726" s="4"/>
      <c r="EZ726" s="1464" t="str">
        <f t="shared" si="30"/>
        <v/>
      </c>
      <c r="FA726" s="1465"/>
      <c r="FB726" s="1465"/>
      <c r="FC726" s="1465"/>
      <c r="FD726" s="1466"/>
      <c r="FE726" s="1464" t="str">
        <f t="shared" si="31"/>
        <v/>
      </c>
      <c r="FF726" s="1465"/>
      <c r="FG726" s="1465"/>
      <c r="FH726" s="1465"/>
      <c r="FI726" s="1466"/>
      <c r="FJ726" s="1464" t="str">
        <f t="shared" si="32"/>
        <v/>
      </c>
      <c r="FK726" s="1465"/>
      <c r="FL726" s="1465"/>
      <c r="FM726" s="1465"/>
      <c r="FN726" s="1466"/>
      <c r="FO726" s="1464" t="str">
        <f t="shared" si="33"/>
        <v/>
      </c>
      <c r="FP726" s="1465"/>
      <c r="FQ726" s="1465"/>
      <c r="FR726" s="1465"/>
      <c r="FS726" s="1466"/>
      <c r="FT726" s="1464" t="str">
        <f t="shared" si="34"/>
        <v/>
      </c>
      <c r="FU726" s="1465"/>
      <c r="FV726" s="1465"/>
      <c r="FW726" s="1465"/>
      <c r="FX726" s="1466"/>
      <c r="FY726" s="1464" t="str">
        <f t="shared" si="35"/>
        <v/>
      </c>
      <c r="FZ726" s="1465"/>
      <c r="GA726" s="1465"/>
      <c r="GB726" s="1465"/>
      <c r="GC726" s="1466"/>
    </row>
    <row r="727" spans="1:185" ht="12.95"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8"/>
        <v>0</v>
      </c>
      <c r="Y727" s="1353"/>
      <c r="Z727" s="1353"/>
      <c r="AA727" s="1353"/>
      <c r="AB727" s="1354"/>
      <c r="AC727" s="1359"/>
      <c r="AD727" s="1360"/>
      <c r="AE727" s="1360"/>
      <c r="AF727" s="1360"/>
      <c r="AG727" s="1361"/>
      <c r="AH727" s="1355" t="str">
        <f t="shared" si="36"/>
        <v/>
      </c>
      <c r="AI727" s="1356"/>
      <c r="AJ727" s="1357"/>
      <c r="AK727" s="1337" t="s">
        <v>592</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4">
        <f t="shared" si="37"/>
        <v>0</v>
      </c>
      <c r="CH727" s="1466"/>
      <c r="CI727" s="1459">
        <f t="shared" si="38"/>
        <v>0</v>
      </c>
      <c r="CJ727" s="1460"/>
      <c r="CK727" s="1464">
        <f t="shared" si="16"/>
        <v>0</v>
      </c>
      <c r="CL727" s="1466"/>
      <c r="CM727" s="1459">
        <f t="shared" si="17"/>
        <v>0</v>
      </c>
      <c r="CN727" s="1460"/>
      <c r="CO727" s="3"/>
      <c r="CP727" s="1461">
        <f t="shared" si="18"/>
        <v>0</v>
      </c>
      <c r="CQ727" s="1462"/>
      <c r="CR727" s="1462"/>
      <c r="CS727" s="1462"/>
      <c r="CT727" s="1463"/>
      <c r="CU727" s="1454">
        <f t="shared" si="19"/>
        <v>0</v>
      </c>
      <c r="CV727" s="1454"/>
      <c r="CW727" s="1454"/>
      <c r="CX727" s="1454"/>
      <c r="CY727" s="1454"/>
      <c r="CZ727" s="1454">
        <f t="shared" si="20"/>
        <v>0</v>
      </c>
      <c r="DA727" s="1454"/>
      <c r="DB727" s="1454"/>
      <c r="DC727" s="1454"/>
      <c r="DD727" s="1454"/>
      <c r="DE727" s="1454">
        <f t="shared" si="21"/>
        <v>0</v>
      </c>
      <c r="DF727" s="1454"/>
      <c r="DG727" s="1454"/>
      <c r="DH727" s="1454"/>
      <c r="DI727" s="1454"/>
      <c r="DJ727" s="1454">
        <f t="shared" si="22"/>
        <v>0</v>
      </c>
      <c r="DK727" s="1454"/>
      <c r="DL727" s="1454"/>
      <c r="DM727" s="1454"/>
      <c r="DN727" s="1454"/>
      <c r="DO727" s="1454">
        <f t="shared" si="23"/>
        <v>0</v>
      </c>
      <c r="DP727" s="1454"/>
      <c r="DQ727" s="1454"/>
      <c r="DR727" s="1454"/>
      <c r="DS727" s="1454"/>
      <c r="DT727" s="6"/>
      <c r="DU727" s="1456">
        <f t="shared" si="24"/>
        <v>0</v>
      </c>
      <c r="DV727" s="1456"/>
      <c r="DW727" s="1456"/>
      <c r="DX727" s="1456"/>
      <c r="DY727" s="1456"/>
      <c r="DZ727" s="1456">
        <f t="shared" si="25"/>
        <v>0</v>
      </c>
      <c r="EA727" s="1456"/>
      <c r="EB727" s="1456"/>
      <c r="EC727" s="1456"/>
      <c r="ED727" s="1456"/>
      <c r="EE727" s="1456">
        <f t="shared" si="26"/>
        <v>0</v>
      </c>
      <c r="EF727" s="1456"/>
      <c r="EG727" s="1456"/>
      <c r="EH727" s="1456"/>
      <c r="EI727" s="1456"/>
      <c r="EJ727" s="1456">
        <f t="shared" si="27"/>
        <v>0</v>
      </c>
      <c r="EK727" s="1456"/>
      <c r="EL727" s="1456"/>
      <c r="EM727" s="1456"/>
      <c r="EN727" s="1456"/>
      <c r="EO727" s="1456">
        <f t="shared" si="28"/>
        <v>0</v>
      </c>
      <c r="EP727" s="1456"/>
      <c r="EQ727" s="1456"/>
      <c r="ER727" s="1456"/>
      <c r="ES727" s="1456"/>
      <c r="ET727" s="1456">
        <f t="shared" si="29"/>
        <v>0</v>
      </c>
      <c r="EU727" s="1456"/>
      <c r="EV727" s="1456"/>
      <c r="EW727" s="1456"/>
      <c r="EX727" s="1456"/>
      <c r="EY727" s="4"/>
      <c r="EZ727" s="1464" t="str">
        <f t="shared" si="30"/>
        <v/>
      </c>
      <c r="FA727" s="1465"/>
      <c r="FB727" s="1465"/>
      <c r="FC727" s="1465"/>
      <c r="FD727" s="1466"/>
      <c r="FE727" s="1464" t="str">
        <f t="shared" si="31"/>
        <v/>
      </c>
      <c r="FF727" s="1465"/>
      <c r="FG727" s="1465"/>
      <c r="FH727" s="1465"/>
      <c r="FI727" s="1466"/>
      <c r="FJ727" s="1464" t="str">
        <f t="shared" si="32"/>
        <v/>
      </c>
      <c r="FK727" s="1465"/>
      <c r="FL727" s="1465"/>
      <c r="FM727" s="1465"/>
      <c r="FN727" s="1466"/>
      <c r="FO727" s="1464" t="str">
        <f t="shared" si="33"/>
        <v/>
      </c>
      <c r="FP727" s="1465"/>
      <c r="FQ727" s="1465"/>
      <c r="FR727" s="1465"/>
      <c r="FS727" s="1466"/>
      <c r="FT727" s="1464" t="str">
        <f t="shared" si="34"/>
        <v/>
      </c>
      <c r="FU727" s="1465"/>
      <c r="FV727" s="1465"/>
      <c r="FW727" s="1465"/>
      <c r="FX727" s="1466"/>
      <c r="FY727" s="1464" t="str">
        <f t="shared" si="35"/>
        <v/>
      </c>
      <c r="FZ727" s="1465"/>
      <c r="GA727" s="1465"/>
      <c r="GB727" s="1465"/>
      <c r="GC727" s="1466"/>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8"/>
        <v>0</v>
      </c>
      <c r="Y728" s="1353"/>
      <c r="Z728" s="1353"/>
      <c r="AA728" s="1353"/>
      <c r="AB728" s="1354"/>
      <c r="AC728" s="1359"/>
      <c r="AD728" s="1360"/>
      <c r="AE728" s="1360"/>
      <c r="AF728" s="1360"/>
      <c r="AG728" s="1361"/>
      <c r="AH728" s="1355" t="str">
        <f t="shared" si="36"/>
        <v/>
      </c>
      <c r="AI728" s="1356"/>
      <c r="AJ728" s="1357"/>
      <c r="AK728" s="1337" t="s">
        <v>592</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4">
        <f t="shared" si="37"/>
        <v>0</v>
      </c>
      <c r="CH728" s="1466"/>
      <c r="CI728" s="1459">
        <f t="shared" si="38"/>
        <v>0</v>
      </c>
      <c r="CJ728" s="1460"/>
      <c r="CK728" s="1464">
        <f t="shared" si="16"/>
        <v>0</v>
      </c>
      <c r="CL728" s="1466"/>
      <c r="CM728" s="1459">
        <f t="shared" si="17"/>
        <v>0</v>
      </c>
      <c r="CN728" s="1460"/>
      <c r="CO728" s="3"/>
      <c r="CP728" s="1461">
        <f t="shared" si="18"/>
        <v>0</v>
      </c>
      <c r="CQ728" s="1462"/>
      <c r="CR728" s="1462"/>
      <c r="CS728" s="1462"/>
      <c r="CT728" s="1463"/>
      <c r="CU728" s="1454">
        <f t="shared" si="19"/>
        <v>0</v>
      </c>
      <c r="CV728" s="1454"/>
      <c r="CW728" s="1454"/>
      <c r="CX728" s="1454"/>
      <c r="CY728" s="1454"/>
      <c r="CZ728" s="1454">
        <f t="shared" si="20"/>
        <v>0</v>
      </c>
      <c r="DA728" s="1454"/>
      <c r="DB728" s="1454"/>
      <c r="DC728" s="1454"/>
      <c r="DD728" s="1454"/>
      <c r="DE728" s="1454">
        <f t="shared" si="21"/>
        <v>0</v>
      </c>
      <c r="DF728" s="1454"/>
      <c r="DG728" s="1454"/>
      <c r="DH728" s="1454"/>
      <c r="DI728" s="1454"/>
      <c r="DJ728" s="1454">
        <f t="shared" si="22"/>
        <v>0</v>
      </c>
      <c r="DK728" s="1454"/>
      <c r="DL728" s="1454"/>
      <c r="DM728" s="1454"/>
      <c r="DN728" s="1454"/>
      <c r="DO728" s="1454">
        <f t="shared" si="23"/>
        <v>0</v>
      </c>
      <c r="DP728" s="1454"/>
      <c r="DQ728" s="1454"/>
      <c r="DR728" s="1454"/>
      <c r="DS728" s="1454"/>
      <c r="DT728" s="6"/>
      <c r="DU728" s="1456">
        <f t="shared" si="24"/>
        <v>0</v>
      </c>
      <c r="DV728" s="1456"/>
      <c r="DW728" s="1456"/>
      <c r="DX728" s="1456"/>
      <c r="DY728" s="1456"/>
      <c r="DZ728" s="1456">
        <f t="shared" si="25"/>
        <v>0</v>
      </c>
      <c r="EA728" s="1456"/>
      <c r="EB728" s="1456"/>
      <c r="EC728" s="1456"/>
      <c r="ED728" s="1456"/>
      <c r="EE728" s="1456">
        <f t="shared" si="26"/>
        <v>0</v>
      </c>
      <c r="EF728" s="1456"/>
      <c r="EG728" s="1456"/>
      <c r="EH728" s="1456"/>
      <c r="EI728" s="1456"/>
      <c r="EJ728" s="1456">
        <f t="shared" si="27"/>
        <v>0</v>
      </c>
      <c r="EK728" s="1456"/>
      <c r="EL728" s="1456"/>
      <c r="EM728" s="1456"/>
      <c r="EN728" s="1456"/>
      <c r="EO728" s="1456">
        <f t="shared" si="28"/>
        <v>0</v>
      </c>
      <c r="EP728" s="1456"/>
      <c r="EQ728" s="1456"/>
      <c r="ER728" s="1456"/>
      <c r="ES728" s="1456"/>
      <c r="ET728" s="1456">
        <f t="shared" si="29"/>
        <v>0</v>
      </c>
      <c r="EU728" s="1456"/>
      <c r="EV728" s="1456"/>
      <c r="EW728" s="1456"/>
      <c r="EX728" s="1456"/>
      <c r="EY728" s="4"/>
      <c r="EZ728" s="1464" t="str">
        <f t="shared" si="30"/>
        <v/>
      </c>
      <c r="FA728" s="1465"/>
      <c r="FB728" s="1465"/>
      <c r="FC728" s="1465"/>
      <c r="FD728" s="1466"/>
      <c r="FE728" s="1464" t="str">
        <f t="shared" si="31"/>
        <v/>
      </c>
      <c r="FF728" s="1465"/>
      <c r="FG728" s="1465"/>
      <c r="FH728" s="1465"/>
      <c r="FI728" s="1466"/>
      <c r="FJ728" s="1464" t="str">
        <f t="shared" si="32"/>
        <v/>
      </c>
      <c r="FK728" s="1465"/>
      <c r="FL728" s="1465"/>
      <c r="FM728" s="1465"/>
      <c r="FN728" s="1466"/>
      <c r="FO728" s="1464" t="str">
        <f t="shared" si="33"/>
        <v/>
      </c>
      <c r="FP728" s="1465"/>
      <c r="FQ728" s="1465"/>
      <c r="FR728" s="1465"/>
      <c r="FS728" s="1466"/>
      <c r="FT728" s="1464" t="str">
        <f t="shared" si="34"/>
        <v/>
      </c>
      <c r="FU728" s="1465"/>
      <c r="FV728" s="1465"/>
      <c r="FW728" s="1465"/>
      <c r="FX728" s="1466"/>
      <c r="FY728" s="1464" t="str">
        <f t="shared" si="35"/>
        <v/>
      </c>
      <c r="FZ728" s="1465"/>
      <c r="GA728" s="1465"/>
      <c r="GB728" s="1465"/>
      <c r="GC728" s="1466"/>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8"/>
        <v>0</v>
      </c>
      <c r="Y729" s="1353"/>
      <c r="Z729" s="1353"/>
      <c r="AA729" s="1353"/>
      <c r="AB729" s="1354"/>
      <c r="AC729" s="1359"/>
      <c r="AD729" s="1360"/>
      <c r="AE729" s="1360"/>
      <c r="AF729" s="1360"/>
      <c r="AG729" s="1361"/>
      <c r="AH729" s="1355" t="str">
        <f t="shared" si="36"/>
        <v/>
      </c>
      <c r="AI729" s="1356"/>
      <c r="AJ729" s="1357"/>
      <c r="AK729" s="1337" t="s">
        <v>592</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4">
        <f t="shared" si="37"/>
        <v>0</v>
      </c>
      <c r="CH729" s="1466"/>
      <c r="CI729" s="1459">
        <f t="shared" si="38"/>
        <v>0</v>
      </c>
      <c r="CJ729" s="1460"/>
      <c r="CK729" s="1464">
        <f t="shared" si="16"/>
        <v>0</v>
      </c>
      <c r="CL729" s="1466"/>
      <c r="CM729" s="1459">
        <f t="shared" si="17"/>
        <v>0</v>
      </c>
      <c r="CN729" s="1460"/>
      <c r="CO729" s="3"/>
      <c r="CP729" s="1461">
        <f t="shared" si="18"/>
        <v>0</v>
      </c>
      <c r="CQ729" s="1462"/>
      <c r="CR729" s="1462"/>
      <c r="CS729" s="1462"/>
      <c r="CT729" s="1463"/>
      <c r="CU729" s="1454">
        <f t="shared" si="19"/>
        <v>0</v>
      </c>
      <c r="CV729" s="1454"/>
      <c r="CW729" s="1454"/>
      <c r="CX729" s="1454"/>
      <c r="CY729" s="1454"/>
      <c r="CZ729" s="1454">
        <f t="shared" si="20"/>
        <v>0</v>
      </c>
      <c r="DA729" s="1454"/>
      <c r="DB729" s="1454"/>
      <c r="DC729" s="1454"/>
      <c r="DD729" s="1454"/>
      <c r="DE729" s="1454">
        <f t="shared" si="21"/>
        <v>0</v>
      </c>
      <c r="DF729" s="1454"/>
      <c r="DG729" s="1454"/>
      <c r="DH729" s="1454"/>
      <c r="DI729" s="1454"/>
      <c r="DJ729" s="1454">
        <f t="shared" si="22"/>
        <v>0</v>
      </c>
      <c r="DK729" s="1454"/>
      <c r="DL729" s="1454"/>
      <c r="DM729" s="1454"/>
      <c r="DN729" s="1454"/>
      <c r="DO729" s="1454">
        <f t="shared" si="23"/>
        <v>0</v>
      </c>
      <c r="DP729" s="1454"/>
      <c r="DQ729" s="1454"/>
      <c r="DR729" s="1454"/>
      <c r="DS729" s="1454"/>
      <c r="DT729" s="6"/>
      <c r="DU729" s="1456">
        <f t="shared" si="24"/>
        <v>0</v>
      </c>
      <c r="DV729" s="1456"/>
      <c r="DW729" s="1456"/>
      <c r="DX729" s="1456"/>
      <c r="DY729" s="1456"/>
      <c r="DZ729" s="1456">
        <f t="shared" si="25"/>
        <v>0</v>
      </c>
      <c r="EA729" s="1456"/>
      <c r="EB729" s="1456"/>
      <c r="EC729" s="1456"/>
      <c r="ED729" s="1456"/>
      <c r="EE729" s="1456">
        <f t="shared" si="26"/>
        <v>0</v>
      </c>
      <c r="EF729" s="1456"/>
      <c r="EG729" s="1456"/>
      <c r="EH729" s="1456"/>
      <c r="EI729" s="1456"/>
      <c r="EJ729" s="1456">
        <f t="shared" si="27"/>
        <v>0</v>
      </c>
      <c r="EK729" s="1456"/>
      <c r="EL729" s="1456"/>
      <c r="EM729" s="1456"/>
      <c r="EN729" s="1456"/>
      <c r="EO729" s="1456">
        <f t="shared" si="28"/>
        <v>0</v>
      </c>
      <c r="EP729" s="1456"/>
      <c r="EQ729" s="1456"/>
      <c r="ER729" s="1456"/>
      <c r="ES729" s="1456"/>
      <c r="ET729" s="1456">
        <f t="shared" si="29"/>
        <v>0</v>
      </c>
      <c r="EU729" s="1456"/>
      <c r="EV729" s="1456"/>
      <c r="EW729" s="1456"/>
      <c r="EX729" s="1456"/>
      <c r="EZ729" s="1464" t="str">
        <f t="shared" si="30"/>
        <v/>
      </c>
      <c r="FA729" s="1465"/>
      <c r="FB729" s="1465"/>
      <c r="FC729" s="1465"/>
      <c r="FD729" s="1466"/>
      <c r="FE729" s="1464" t="str">
        <f t="shared" si="31"/>
        <v/>
      </c>
      <c r="FF729" s="1465"/>
      <c r="FG729" s="1465"/>
      <c r="FH729" s="1465"/>
      <c r="FI729" s="1466"/>
      <c r="FJ729" s="1464" t="str">
        <f t="shared" si="32"/>
        <v/>
      </c>
      <c r="FK729" s="1465"/>
      <c r="FL729" s="1465"/>
      <c r="FM729" s="1465"/>
      <c r="FN729" s="1466"/>
      <c r="FO729" s="1464" t="str">
        <f t="shared" si="33"/>
        <v/>
      </c>
      <c r="FP729" s="1465"/>
      <c r="FQ729" s="1465"/>
      <c r="FR729" s="1465"/>
      <c r="FS729" s="1466"/>
      <c r="FT729" s="1464" t="str">
        <f t="shared" si="34"/>
        <v/>
      </c>
      <c r="FU729" s="1465"/>
      <c r="FV729" s="1465"/>
      <c r="FW729" s="1465"/>
      <c r="FX729" s="1466"/>
      <c r="FY729" s="1464" t="str">
        <f t="shared" si="35"/>
        <v/>
      </c>
      <c r="FZ729" s="1465"/>
      <c r="GA729" s="1465"/>
      <c r="GB729" s="1465"/>
      <c r="GC729" s="1466"/>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6"/>
        <v/>
      </c>
      <c r="AI730" s="1356"/>
      <c r="AJ730" s="1357"/>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4">
        <f t="shared" si="37"/>
        <v>0</v>
      </c>
      <c r="CH730" s="1466"/>
      <c r="CI730" s="1459">
        <f t="shared" si="38"/>
        <v>0</v>
      </c>
      <c r="CJ730" s="1460"/>
      <c r="CK730" s="1464">
        <f t="shared" si="16"/>
        <v>0</v>
      </c>
      <c r="CL730" s="1466"/>
      <c r="CM730" s="1459">
        <f t="shared" si="17"/>
        <v>0</v>
      </c>
      <c r="CN730" s="1460"/>
      <c r="CO730" s="3"/>
      <c r="CP730" s="1461">
        <f t="shared" si="18"/>
        <v>0</v>
      </c>
      <c r="CQ730" s="1462"/>
      <c r="CR730" s="1462"/>
      <c r="CS730" s="1462"/>
      <c r="CT730" s="1463"/>
      <c r="CU730" s="1454">
        <f t="shared" si="19"/>
        <v>0</v>
      </c>
      <c r="CV730" s="1454"/>
      <c r="CW730" s="1454"/>
      <c r="CX730" s="1454"/>
      <c r="CY730" s="1454"/>
      <c r="CZ730" s="1454">
        <f t="shared" si="20"/>
        <v>0</v>
      </c>
      <c r="DA730" s="1454"/>
      <c r="DB730" s="1454"/>
      <c r="DC730" s="1454"/>
      <c r="DD730" s="1454"/>
      <c r="DE730" s="1454">
        <f t="shared" si="21"/>
        <v>0</v>
      </c>
      <c r="DF730" s="1454"/>
      <c r="DG730" s="1454"/>
      <c r="DH730" s="1454"/>
      <c r="DI730" s="1454"/>
      <c r="DJ730" s="1454">
        <f t="shared" si="22"/>
        <v>0</v>
      </c>
      <c r="DK730" s="1454"/>
      <c r="DL730" s="1454"/>
      <c r="DM730" s="1454"/>
      <c r="DN730" s="1454"/>
      <c r="DO730" s="1454">
        <f t="shared" si="23"/>
        <v>0</v>
      </c>
      <c r="DP730" s="1454"/>
      <c r="DQ730" s="1454"/>
      <c r="DR730" s="1454"/>
      <c r="DS730" s="1454"/>
      <c r="DT730" s="6"/>
      <c r="DU730" s="1456">
        <f t="shared" si="24"/>
        <v>0</v>
      </c>
      <c r="DV730" s="1456"/>
      <c r="DW730" s="1456"/>
      <c r="DX730" s="1456"/>
      <c r="DY730" s="1456"/>
      <c r="DZ730" s="1456">
        <f t="shared" si="25"/>
        <v>0</v>
      </c>
      <c r="EA730" s="1456"/>
      <c r="EB730" s="1456"/>
      <c r="EC730" s="1456"/>
      <c r="ED730" s="1456"/>
      <c r="EE730" s="1456">
        <f t="shared" si="26"/>
        <v>0</v>
      </c>
      <c r="EF730" s="1456"/>
      <c r="EG730" s="1456"/>
      <c r="EH730" s="1456"/>
      <c r="EI730" s="1456"/>
      <c r="EJ730" s="1456">
        <f t="shared" si="27"/>
        <v>0</v>
      </c>
      <c r="EK730" s="1456"/>
      <c r="EL730" s="1456"/>
      <c r="EM730" s="1456"/>
      <c r="EN730" s="1456"/>
      <c r="EO730" s="1456">
        <f t="shared" si="28"/>
        <v>0</v>
      </c>
      <c r="EP730" s="1456"/>
      <c r="EQ730" s="1456"/>
      <c r="ER730" s="1456"/>
      <c r="ES730" s="1456"/>
      <c r="ET730" s="1456">
        <f t="shared" si="29"/>
        <v>0</v>
      </c>
      <c r="EU730" s="1456"/>
      <c r="EV730" s="1456"/>
      <c r="EW730" s="1456"/>
      <c r="EX730" s="1456"/>
      <c r="EZ730" s="1464" t="str">
        <f t="shared" si="30"/>
        <v/>
      </c>
      <c r="FA730" s="1465"/>
      <c r="FB730" s="1465"/>
      <c r="FC730" s="1465"/>
      <c r="FD730" s="1466"/>
      <c r="FE730" s="1464" t="str">
        <f t="shared" si="31"/>
        <v/>
      </c>
      <c r="FF730" s="1465"/>
      <c r="FG730" s="1465"/>
      <c r="FH730" s="1465"/>
      <c r="FI730" s="1466"/>
      <c r="FJ730" s="1464" t="str">
        <f t="shared" si="32"/>
        <v/>
      </c>
      <c r="FK730" s="1465"/>
      <c r="FL730" s="1465"/>
      <c r="FM730" s="1465"/>
      <c r="FN730" s="1466"/>
      <c r="FO730" s="1464" t="str">
        <f t="shared" si="33"/>
        <v/>
      </c>
      <c r="FP730" s="1465"/>
      <c r="FQ730" s="1465"/>
      <c r="FR730" s="1465"/>
      <c r="FS730" s="1466"/>
      <c r="FT730" s="1464" t="str">
        <f t="shared" si="34"/>
        <v/>
      </c>
      <c r="FU730" s="1465"/>
      <c r="FV730" s="1465"/>
      <c r="FW730" s="1465"/>
      <c r="FX730" s="1466"/>
      <c r="FY730" s="1464" t="str">
        <f t="shared" si="35"/>
        <v/>
      </c>
      <c r="FZ730" s="1465"/>
      <c r="GA730" s="1465"/>
      <c r="GB730" s="1465"/>
      <c r="GC730" s="1466"/>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6"/>
        <v/>
      </c>
      <c r="AI731" s="1356"/>
      <c r="AJ731" s="1357"/>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4">
        <f t="shared" si="37"/>
        <v>0</v>
      </c>
      <c r="CH731" s="1466"/>
      <c r="CI731" s="1459">
        <f t="shared" si="38"/>
        <v>0</v>
      </c>
      <c r="CJ731" s="1460"/>
      <c r="CK731" s="1464">
        <f t="shared" si="16"/>
        <v>0</v>
      </c>
      <c r="CL731" s="1466"/>
      <c r="CM731" s="1459">
        <f t="shared" si="17"/>
        <v>0</v>
      </c>
      <c r="CN731" s="1460"/>
      <c r="CO731" s="3"/>
      <c r="CP731" s="1461">
        <f t="shared" si="18"/>
        <v>0</v>
      </c>
      <c r="CQ731" s="1462"/>
      <c r="CR731" s="1462"/>
      <c r="CS731" s="1462"/>
      <c r="CT731" s="1463"/>
      <c r="CU731" s="1454">
        <f t="shared" si="19"/>
        <v>0</v>
      </c>
      <c r="CV731" s="1454"/>
      <c r="CW731" s="1454"/>
      <c r="CX731" s="1454"/>
      <c r="CY731" s="1454"/>
      <c r="CZ731" s="1454">
        <f t="shared" si="20"/>
        <v>0</v>
      </c>
      <c r="DA731" s="1454"/>
      <c r="DB731" s="1454"/>
      <c r="DC731" s="1454"/>
      <c r="DD731" s="1454"/>
      <c r="DE731" s="1454">
        <f t="shared" si="21"/>
        <v>0</v>
      </c>
      <c r="DF731" s="1454"/>
      <c r="DG731" s="1454"/>
      <c r="DH731" s="1454"/>
      <c r="DI731" s="1454"/>
      <c r="DJ731" s="1454">
        <f t="shared" si="22"/>
        <v>0</v>
      </c>
      <c r="DK731" s="1454"/>
      <c r="DL731" s="1454"/>
      <c r="DM731" s="1454"/>
      <c r="DN731" s="1454"/>
      <c r="DO731" s="1454">
        <f t="shared" si="23"/>
        <v>0</v>
      </c>
      <c r="DP731" s="1454"/>
      <c r="DQ731" s="1454"/>
      <c r="DR731" s="1454"/>
      <c r="DS731" s="1454"/>
      <c r="DT731" s="6"/>
      <c r="DU731" s="1456">
        <f t="shared" si="24"/>
        <v>0</v>
      </c>
      <c r="DV731" s="1456"/>
      <c r="DW731" s="1456"/>
      <c r="DX731" s="1456"/>
      <c r="DY731" s="1456"/>
      <c r="DZ731" s="1456">
        <f t="shared" si="25"/>
        <v>0</v>
      </c>
      <c r="EA731" s="1456"/>
      <c r="EB731" s="1456"/>
      <c r="EC731" s="1456"/>
      <c r="ED731" s="1456"/>
      <c r="EE731" s="1456">
        <f t="shared" si="26"/>
        <v>0</v>
      </c>
      <c r="EF731" s="1456"/>
      <c r="EG731" s="1456"/>
      <c r="EH731" s="1456"/>
      <c r="EI731" s="1456"/>
      <c r="EJ731" s="1456">
        <f t="shared" si="27"/>
        <v>0</v>
      </c>
      <c r="EK731" s="1456"/>
      <c r="EL731" s="1456"/>
      <c r="EM731" s="1456"/>
      <c r="EN731" s="1456"/>
      <c r="EO731" s="1456">
        <f t="shared" si="28"/>
        <v>0</v>
      </c>
      <c r="EP731" s="1456"/>
      <c r="EQ731" s="1456"/>
      <c r="ER731" s="1456"/>
      <c r="ES731" s="1456"/>
      <c r="ET731" s="1456">
        <f t="shared" si="29"/>
        <v>0</v>
      </c>
      <c r="EU731" s="1456"/>
      <c r="EV731" s="1456"/>
      <c r="EW731" s="1456"/>
      <c r="EX731" s="1456"/>
      <c r="EZ731" s="1464" t="str">
        <f t="shared" si="30"/>
        <v/>
      </c>
      <c r="FA731" s="1465"/>
      <c r="FB731" s="1465"/>
      <c r="FC731" s="1465"/>
      <c r="FD731" s="1466"/>
      <c r="FE731" s="1464" t="str">
        <f t="shared" si="31"/>
        <v/>
      </c>
      <c r="FF731" s="1465"/>
      <c r="FG731" s="1465"/>
      <c r="FH731" s="1465"/>
      <c r="FI731" s="1466"/>
      <c r="FJ731" s="1464" t="str">
        <f t="shared" si="32"/>
        <v/>
      </c>
      <c r="FK731" s="1465"/>
      <c r="FL731" s="1465"/>
      <c r="FM731" s="1465"/>
      <c r="FN731" s="1466"/>
      <c r="FO731" s="1464" t="str">
        <f t="shared" si="33"/>
        <v/>
      </c>
      <c r="FP731" s="1465"/>
      <c r="FQ731" s="1465"/>
      <c r="FR731" s="1465"/>
      <c r="FS731" s="1466"/>
      <c r="FT731" s="1464" t="str">
        <f t="shared" si="34"/>
        <v/>
      </c>
      <c r="FU731" s="1465"/>
      <c r="FV731" s="1465"/>
      <c r="FW731" s="1465"/>
      <c r="FX731" s="1466"/>
      <c r="FY731" s="1464" t="str">
        <f t="shared" si="35"/>
        <v/>
      </c>
      <c r="FZ731" s="1465"/>
      <c r="GA731" s="1465"/>
      <c r="GB731" s="1465"/>
      <c r="GC731" s="1466"/>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6"/>
        <v/>
      </c>
      <c r="AI732" s="1356"/>
      <c r="AJ732" s="1357"/>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4">
        <f t="shared" si="37"/>
        <v>0</v>
      </c>
      <c r="CH732" s="1466"/>
      <c r="CI732" s="1459">
        <f t="shared" si="38"/>
        <v>0</v>
      </c>
      <c r="CJ732" s="1460"/>
      <c r="CK732" s="1464">
        <f t="shared" si="16"/>
        <v>0</v>
      </c>
      <c r="CL732" s="1466"/>
      <c r="CM732" s="1459">
        <f t="shared" si="17"/>
        <v>0</v>
      </c>
      <c r="CN732" s="1460"/>
      <c r="CO732" s="3"/>
      <c r="CP732" s="1461">
        <f t="shared" si="18"/>
        <v>0</v>
      </c>
      <c r="CQ732" s="1462"/>
      <c r="CR732" s="1462"/>
      <c r="CS732" s="1462"/>
      <c r="CT732" s="1463"/>
      <c r="CU732" s="1454">
        <f t="shared" si="19"/>
        <v>0</v>
      </c>
      <c r="CV732" s="1454"/>
      <c r="CW732" s="1454"/>
      <c r="CX732" s="1454"/>
      <c r="CY732" s="1454"/>
      <c r="CZ732" s="1454">
        <f t="shared" si="20"/>
        <v>0</v>
      </c>
      <c r="DA732" s="1454"/>
      <c r="DB732" s="1454"/>
      <c r="DC732" s="1454"/>
      <c r="DD732" s="1454"/>
      <c r="DE732" s="1454">
        <f t="shared" si="21"/>
        <v>0</v>
      </c>
      <c r="DF732" s="1454"/>
      <c r="DG732" s="1454"/>
      <c r="DH732" s="1454"/>
      <c r="DI732" s="1454"/>
      <c r="DJ732" s="1454">
        <f t="shared" si="22"/>
        <v>0</v>
      </c>
      <c r="DK732" s="1454"/>
      <c r="DL732" s="1454"/>
      <c r="DM732" s="1454"/>
      <c r="DN732" s="1454"/>
      <c r="DO732" s="1454">
        <f t="shared" si="23"/>
        <v>0</v>
      </c>
      <c r="DP732" s="1454"/>
      <c r="DQ732" s="1454"/>
      <c r="DR732" s="1454"/>
      <c r="DS732" s="1454"/>
      <c r="DT732" s="6"/>
      <c r="DU732" s="1456">
        <f t="shared" si="24"/>
        <v>0</v>
      </c>
      <c r="DV732" s="1456"/>
      <c r="DW732" s="1456"/>
      <c r="DX732" s="1456"/>
      <c r="DY732" s="1456"/>
      <c r="DZ732" s="1456">
        <f t="shared" si="25"/>
        <v>0</v>
      </c>
      <c r="EA732" s="1456"/>
      <c r="EB732" s="1456"/>
      <c r="EC732" s="1456"/>
      <c r="ED732" s="1456"/>
      <c r="EE732" s="1456">
        <f t="shared" si="26"/>
        <v>0</v>
      </c>
      <c r="EF732" s="1456"/>
      <c r="EG732" s="1456"/>
      <c r="EH732" s="1456"/>
      <c r="EI732" s="1456"/>
      <c r="EJ732" s="1456">
        <f t="shared" si="27"/>
        <v>0</v>
      </c>
      <c r="EK732" s="1456"/>
      <c r="EL732" s="1456"/>
      <c r="EM732" s="1456"/>
      <c r="EN732" s="1456"/>
      <c r="EO732" s="1456">
        <f t="shared" si="28"/>
        <v>0</v>
      </c>
      <c r="EP732" s="1456"/>
      <c r="EQ732" s="1456"/>
      <c r="ER732" s="1456"/>
      <c r="ES732" s="1456"/>
      <c r="ET732" s="1456">
        <f t="shared" si="29"/>
        <v>0</v>
      </c>
      <c r="EU732" s="1456"/>
      <c r="EV732" s="1456"/>
      <c r="EW732" s="1456"/>
      <c r="EX732" s="1456"/>
      <c r="EZ732" s="1464" t="str">
        <f t="shared" si="30"/>
        <v/>
      </c>
      <c r="FA732" s="1465"/>
      <c r="FB732" s="1465"/>
      <c r="FC732" s="1465"/>
      <c r="FD732" s="1466"/>
      <c r="FE732" s="1464" t="str">
        <f t="shared" si="31"/>
        <v/>
      </c>
      <c r="FF732" s="1465"/>
      <c r="FG732" s="1465"/>
      <c r="FH732" s="1465"/>
      <c r="FI732" s="1466"/>
      <c r="FJ732" s="1464" t="str">
        <f t="shared" si="32"/>
        <v/>
      </c>
      <c r="FK732" s="1465"/>
      <c r="FL732" s="1465"/>
      <c r="FM732" s="1465"/>
      <c r="FN732" s="1466"/>
      <c r="FO732" s="1464" t="str">
        <f t="shared" si="33"/>
        <v/>
      </c>
      <c r="FP732" s="1465"/>
      <c r="FQ732" s="1465"/>
      <c r="FR732" s="1465"/>
      <c r="FS732" s="1466"/>
      <c r="FT732" s="1464" t="str">
        <f t="shared" si="34"/>
        <v/>
      </c>
      <c r="FU732" s="1465"/>
      <c r="FV732" s="1465"/>
      <c r="FW732" s="1465"/>
      <c r="FX732" s="1466"/>
      <c r="FY732" s="1464" t="str">
        <f t="shared" si="35"/>
        <v/>
      </c>
      <c r="FZ732" s="1465"/>
      <c r="GA732" s="1465"/>
      <c r="GB732" s="1465"/>
      <c r="GC732" s="1466"/>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4">
        <f t="shared" si="37"/>
        <v>0</v>
      </c>
      <c r="CH733" s="1466"/>
      <c r="CI733" s="1459">
        <f t="shared" si="38"/>
        <v>0</v>
      </c>
      <c r="CJ733" s="1460"/>
      <c r="CK733" s="1464">
        <f t="shared" si="16"/>
        <v>0</v>
      </c>
      <c r="CL733" s="1466"/>
      <c r="CM733" s="1459">
        <f t="shared" si="17"/>
        <v>0</v>
      </c>
      <c r="CN733" s="1460"/>
      <c r="CO733" s="3"/>
      <c r="CP733" s="1461">
        <f t="shared" si="18"/>
        <v>0</v>
      </c>
      <c r="CQ733" s="1462"/>
      <c r="CR733" s="1462"/>
      <c r="CS733" s="1462"/>
      <c r="CT733" s="1463"/>
      <c r="CU733" s="1454">
        <f t="shared" si="19"/>
        <v>0</v>
      </c>
      <c r="CV733" s="1454"/>
      <c r="CW733" s="1454"/>
      <c r="CX733" s="1454"/>
      <c r="CY733" s="1454"/>
      <c r="CZ733" s="1454">
        <f t="shared" si="20"/>
        <v>0</v>
      </c>
      <c r="DA733" s="1454"/>
      <c r="DB733" s="1454"/>
      <c r="DC733" s="1454"/>
      <c r="DD733" s="1454"/>
      <c r="DE733" s="1454">
        <f t="shared" si="21"/>
        <v>0</v>
      </c>
      <c r="DF733" s="1454"/>
      <c r="DG733" s="1454"/>
      <c r="DH733" s="1454"/>
      <c r="DI733" s="1454"/>
      <c r="DJ733" s="1454">
        <f t="shared" si="22"/>
        <v>0</v>
      </c>
      <c r="DK733" s="1454"/>
      <c r="DL733" s="1454"/>
      <c r="DM733" s="1454"/>
      <c r="DN733" s="1454"/>
      <c r="DO733" s="1454">
        <f t="shared" si="23"/>
        <v>0</v>
      </c>
      <c r="DP733" s="1454"/>
      <c r="DQ733" s="1454"/>
      <c r="DR733" s="1454"/>
      <c r="DS733" s="1454"/>
      <c r="DT733" s="6"/>
      <c r="DU733" s="1456">
        <f t="shared" si="24"/>
        <v>0</v>
      </c>
      <c r="DV733" s="1456"/>
      <c r="DW733" s="1456"/>
      <c r="DX733" s="1456"/>
      <c r="DY733" s="1456"/>
      <c r="DZ733" s="1456">
        <f t="shared" si="25"/>
        <v>0</v>
      </c>
      <c r="EA733" s="1456"/>
      <c r="EB733" s="1456"/>
      <c r="EC733" s="1456"/>
      <c r="ED733" s="1456"/>
      <c r="EE733" s="1456">
        <f t="shared" si="26"/>
        <v>0</v>
      </c>
      <c r="EF733" s="1456"/>
      <c r="EG733" s="1456"/>
      <c r="EH733" s="1456"/>
      <c r="EI733" s="1456"/>
      <c r="EJ733" s="1456">
        <f t="shared" si="27"/>
        <v>0</v>
      </c>
      <c r="EK733" s="1456"/>
      <c r="EL733" s="1456"/>
      <c r="EM733" s="1456"/>
      <c r="EN733" s="1456"/>
      <c r="EO733" s="1456">
        <f t="shared" si="28"/>
        <v>0</v>
      </c>
      <c r="EP733" s="1456"/>
      <c r="EQ733" s="1456"/>
      <c r="ER733" s="1456"/>
      <c r="ES733" s="1456"/>
      <c r="ET733" s="1456">
        <f t="shared" si="29"/>
        <v>0</v>
      </c>
      <c r="EU733" s="1456"/>
      <c r="EV733" s="1456"/>
      <c r="EW733" s="1456"/>
      <c r="EX733" s="1456"/>
      <c r="EZ733" s="1464" t="str">
        <f t="shared" si="30"/>
        <v/>
      </c>
      <c r="FA733" s="1465"/>
      <c r="FB733" s="1465"/>
      <c r="FC733" s="1465"/>
      <c r="FD733" s="1466"/>
      <c r="FE733" s="1464" t="str">
        <f t="shared" si="31"/>
        <v/>
      </c>
      <c r="FF733" s="1465"/>
      <c r="FG733" s="1465"/>
      <c r="FH733" s="1465"/>
      <c r="FI733" s="1466"/>
      <c r="FJ733" s="1464" t="str">
        <f t="shared" si="32"/>
        <v/>
      </c>
      <c r="FK733" s="1465"/>
      <c r="FL733" s="1465"/>
      <c r="FM733" s="1465"/>
      <c r="FN733" s="1466"/>
      <c r="FO733" s="1464" t="str">
        <f t="shared" si="33"/>
        <v/>
      </c>
      <c r="FP733" s="1465"/>
      <c r="FQ733" s="1465"/>
      <c r="FR733" s="1465"/>
      <c r="FS733" s="1466"/>
      <c r="FT733" s="1464" t="str">
        <f t="shared" si="34"/>
        <v/>
      </c>
      <c r="FU733" s="1465"/>
      <c r="FV733" s="1465"/>
      <c r="FW733" s="1465"/>
      <c r="FX733" s="1466"/>
      <c r="FY733" s="1464" t="str">
        <f t="shared" si="35"/>
        <v/>
      </c>
      <c r="FZ733" s="1465"/>
      <c r="GA733" s="1465"/>
      <c r="GB733" s="1465"/>
      <c r="GC733" s="1466"/>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4">
        <f t="shared" si="37"/>
        <v>0</v>
      </c>
      <c r="CH734" s="1466"/>
      <c r="CI734" s="1459">
        <f t="shared" si="38"/>
        <v>0</v>
      </c>
      <c r="CJ734" s="1460"/>
      <c r="CK734" s="1464">
        <f t="shared" si="16"/>
        <v>0</v>
      </c>
      <c r="CL734" s="1466"/>
      <c r="CM734" s="1459">
        <f t="shared" si="17"/>
        <v>0</v>
      </c>
      <c r="CN734" s="1460"/>
      <c r="CO734" s="3"/>
      <c r="CP734" s="1461">
        <f t="shared" si="18"/>
        <v>0</v>
      </c>
      <c r="CQ734" s="1462"/>
      <c r="CR734" s="1462"/>
      <c r="CS734" s="1462"/>
      <c r="CT734" s="1463"/>
      <c r="CU734" s="1454">
        <f t="shared" si="19"/>
        <v>0</v>
      </c>
      <c r="CV734" s="1454"/>
      <c r="CW734" s="1454"/>
      <c r="CX734" s="1454"/>
      <c r="CY734" s="1454"/>
      <c r="CZ734" s="1454">
        <f t="shared" si="20"/>
        <v>0</v>
      </c>
      <c r="DA734" s="1454"/>
      <c r="DB734" s="1454"/>
      <c r="DC734" s="1454"/>
      <c r="DD734" s="1454"/>
      <c r="DE734" s="1454">
        <f t="shared" si="21"/>
        <v>0</v>
      </c>
      <c r="DF734" s="1454"/>
      <c r="DG734" s="1454"/>
      <c r="DH734" s="1454"/>
      <c r="DI734" s="1454"/>
      <c r="DJ734" s="1454">
        <f t="shared" si="22"/>
        <v>0</v>
      </c>
      <c r="DK734" s="1454"/>
      <c r="DL734" s="1454"/>
      <c r="DM734" s="1454"/>
      <c r="DN734" s="1454"/>
      <c r="DO734" s="1454">
        <f t="shared" si="23"/>
        <v>0</v>
      </c>
      <c r="DP734" s="1454"/>
      <c r="DQ734" s="1454"/>
      <c r="DR734" s="1454"/>
      <c r="DS734" s="1454"/>
      <c r="DT734" s="6"/>
      <c r="DU734" s="1456">
        <f t="shared" si="24"/>
        <v>0</v>
      </c>
      <c r="DV734" s="1456"/>
      <c r="DW734" s="1456"/>
      <c r="DX734" s="1456"/>
      <c r="DY734" s="1456"/>
      <c r="DZ734" s="1456">
        <f t="shared" si="25"/>
        <v>0</v>
      </c>
      <c r="EA734" s="1456"/>
      <c r="EB734" s="1456"/>
      <c r="EC734" s="1456"/>
      <c r="ED734" s="1456"/>
      <c r="EE734" s="1456">
        <f t="shared" si="26"/>
        <v>0</v>
      </c>
      <c r="EF734" s="1456"/>
      <c r="EG734" s="1456"/>
      <c r="EH734" s="1456"/>
      <c r="EI734" s="1456"/>
      <c r="EJ734" s="1456">
        <f t="shared" si="27"/>
        <v>0</v>
      </c>
      <c r="EK734" s="1456"/>
      <c r="EL734" s="1456"/>
      <c r="EM734" s="1456"/>
      <c r="EN734" s="1456"/>
      <c r="EO734" s="1456">
        <f t="shared" si="28"/>
        <v>0</v>
      </c>
      <c r="EP734" s="1456"/>
      <c r="EQ734" s="1456"/>
      <c r="ER734" s="1456"/>
      <c r="ES734" s="1456"/>
      <c r="ET734" s="1456">
        <f t="shared" si="29"/>
        <v>0</v>
      </c>
      <c r="EU734" s="1456"/>
      <c r="EV734" s="1456"/>
      <c r="EW734" s="1456"/>
      <c r="EX734" s="1456"/>
      <c r="EZ734" s="1464" t="str">
        <f t="shared" si="30"/>
        <v/>
      </c>
      <c r="FA734" s="1465"/>
      <c r="FB734" s="1465"/>
      <c r="FC734" s="1465"/>
      <c r="FD734" s="1466"/>
      <c r="FE734" s="1464" t="str">
        <f t="shared" si="31"/>
        <v/>
      </c>
      <c r="FF734" s="1465"/>
      <c r="FG734" s="1465"/>
      <c r="FH734" s="1465"/>
      <c r="FI734" s="1466"/>
      <c r="FJ734" s="1464" t="str">
        <f t="shared" si="32"/>
        <v/>
      </c>
      <c r="FK734" s="1465"/>
      <c r="FL734" s="1465"/>
      <c r="FM734" s="1465"/>
      <c r="FN734" s="1466"/>
      <c r="FO734" s="1464" t="str">
        <f t="shared" si="33"/>
        <v/>
      </c>
      <c r="FP734" s="1465"/>
      <c r="FQ734" s="1465"/>
      <c r="FR734" s="1465"/>
      <c r="FS734" s="1466"/>
      <c r="FT734" s="1464" t="str">
        <f t="shared" si="34"/>
        <v/>
      </c>
      <c r="FU734" s="1465"/>
      <c r="FV734" s="1465"/>
      <c r="FW734" s="1465"/>
      <c r="FX734" s="1466"/>
      <c r="FY734" s="1464" t="str">
        <f t="shared" si="35"/>
        <v/>
      </c>
      <c r="FZ734" s="1465"/>
      <c r="GA734" s="1465"/>
      <c r="GB734" s="1465"/>
      <c r="GC734" s="1466"/>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6"/>
      <c r="CI735" s="1459">
        <f t="shared" si="38"/>
        <v>0</v>
      </c>
      <c r="CJ735" s="1460"/>
      <c r="CK735" s="1464">
        <f t="shared" si="16"/>
        <v>0</v>
      </c>
      <c r="CL735" s="1466"/>
      <c r="CM735" s="1459">
        <f t="shared" si="17"/>
        <v>0</v>
      </c>
      <c r="CN735" s="1460"/>
      <c r="CO735" s="3"/>
      <c r="CP735" s="1461">
        <f t="shared" si="18"/>
        <v>0</v>
      </c>
      <c r="CQ735" s="1462"/>
      <c r="CR735" s="1462"/>
      <c r="CS735" s="1462"/>
      <c r="CT735" s="1463"/>
      <c r="CU735" s="1454">
        <f t="shared" si="19"/>
        <v>0</v>
      </c>
      <c r="CV735" s="1454"/>
      <c r="CW735" s="1454"/>
      <c r="CX735" s="1454"/>
      <c r="CY735" s="1454"/>
      <c r="CZ735" s="1454">
        <f t="shared" si="20"/>
        <v>0</v>
      </c>
      <c r="DA735" s="1454"/>
      <c r="DB735" s="1454"/>
      <c r="DC735" s="1454"/>
      <c r="DD735" s="1454"/>
      <c r="DE735" s="1454">
        <f t="shared" si="21"/>
        <v>0</v>
      </c>
      <c r="DF735" s="1454"/>
      <c r="DG735" s="1454"/>
      <c r="DH735" s="1454"/>
      <c r="DI735" s="1454"/>
      <c r="DJ735" s="1454">
        <f t="shared" si="22"/>
        <v>0</v>
      </c>
      <c r="DK735" s="1454"/>
      <c r="DL735" s="1454"/>
      <c r="DM735" s="1454"/>
      <c r="DN735" s="1454"/>
      <c r="DO735" s="1454">
        <f t="shared" si="23"/>
        <v>0</v>
      </c>
      <c r="DP735" s="1454"/>
      <c r="DQ735" s="1454"/>
      <c r="DR735" s="1454"/>
      <c r="DS735" s="1454"/>
      <c r="DT735" s="6"/>
      <c r="DU735" s="1456">
        <f t="shared" si="24"/>
        <v>0</v>
      </c>
      <c r="DV735" s="1456"/>
      <c r="DW735" s="1456"/>
      <c r="DX735" s="1456"/>
      <c r="DY735" s="1456"/>
      <c r="DZ735" s="1456">
        <f t="shared" si="25"/>
        <v>0</v>
      </c>
      <c r="EA735" s="1456"/>
      <c r="EB735" s="1456"/>
      <c r="EC735" s="1456"/>
      <c r="ED735" s="1456"/>
      <c r="EE735" s="1456">
        <f t="shared" si="26"/>
        <v>0</v>
      </c>
      <c r="EF735" s="1456"/>
      <c r="EG735" s="1456"/>
      <c r="EH735" s="1456"/>
      <c r="EI735" s="1456"/>
      <c r="EJ735" s="1456">
        <f t="shared" si="27"/>
        <v>0</v>
      </c>
      <c r="EK735" s="1456"/>
      <c r="EL735" s="1456"/>
      <c r="EM735" s="1456"/>
      <c r="EN735" s="1456"/>
      <c r="EO735" s="1456">
        <f t="shared" si="28"/>
        <v>0</v>
      </c>
      <c r="EP735" s="1456"/>
      <c r="EQ735" s="1456"/>
      <c r="ER735" s="1456"/>
      <c r="ES735" s="1456"/>
      <c r="ET735" s="1456">
        <f t="shared" si="29"/>
        <v>0</v>
      </c>
      <c r="EU735" s="1456"/>
      <c r="EV735" s="1456"/>
      <c r="EW735" s="1456"/>
      <c r="EX735" s="1456"/>
      <c r="EZ735" s="1464" t="str">
        <f t="shared" si="30"/>
        <v/>
      </c>
      <c r="FA735" s="1465"/>
      <c r="FB735" s="1465"/>
      <c r="FC735" s="1465"/>
      <c r="FD735" s="1466"/>
      <c r="FE735" s="1464" t="str">
        <f t="shared" si="31"/>
        <v/>
      </c>
      <c r="FF735" s="1465"/>
      <c r="FG735" s="1465"/>
      <c r="FH735" s="1465"/>
      <c r="FI735" s="1466"/>
      <c r="FJ735" s="1464" t="str">
        <f t="shared" si="32"/>
        <v/>
      </c>
      <c r="FK735" s="1465"/>
      <c r="FL735" s="1465"/>
      <c r="FM735" s="1465"/>
      <c r="FN735" s="1466"/>
      <c r="FO735" s="1464" t="str">
        <f t="shared" si="33"/>
        <v/>
      </c>
      <c r="FP735" s="1465"/>
      <c r="FQ735" s="1465"/>
      <c r="FR735" s="1465"/>
      <c r="FS735" s="1466"/>
      <c r="FT735" s="1464" t="str">
        <f t="shared" si="34"/>
        <v/>
      </c>
      <c r="FU735" s="1465"/>
      <c r="FV735" s="1465"/>
      <c r="FW735" s="1465"/>
      <c r="FX735" s="1466"/>
      <c r="FY735" s="1464" t="str">
        <f t="shared" si="35"/>
        <v/>
      </c>
      <c r="FZ735" s="1465"/>
      <c r="GA735" s="1465"/>
      <c r="GB735" s="1465"/>
      <c r="GC735" s="1466"/>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6"/>
      <c r="CI736" s="1459">
        <f t="shared" si="38"/>
        <v>0</v>
      </c>
      <c r="CJ736" s="1460"/>
      <c r="CK736" s="1464">
        <f t="shared" si="16"/>
        <v>0</v>
      </c>
      <c r="CL736" s="1466"/>
      <c r="CM736" s="1459">
        <f t="shared" si="17"/>
        <v>0</v>
      </c>
      <c r="CN736" s="1460"/>
      <c r="CO736" s="3"/>
      <c r="CP736" s="1461">
        <f t="shared" si="18"/>
        <v>0</v>
      </c>
      <c r="CQ736" s="1462"/>
      <c r="CR736" s="1462"/>
      <c r="CS736" s="1462"/>
      <c r="CT736" s="1463"/>
      <c r="CU736" s="1454">
        <f t="shared" si="19"/>
        <v>0</v>
      </c>
      <c r="CV736" s="1454"/>
      <c r="CW736" s="1454"/>
      <c r="CX736" s="1454"/>
      <c r="CY736" s="1454"/>
      <c r="CZ736" s="1454">
        <f t="shared" si="20"/>
        <v>0</v>
      </c>
      <c r="DA736" s="1454"/>
      <c r="DB736" s="1454"/>
      <c r="DC736" s="1454"/>
      <c r="DD736" s="1454"/>
      <c r="DE736" s="1454">
        <f t="shared" si="21"/>
        <v>0</v>
      </c>
      <c r="DF736" s="1454"/>
      <c r="DG736" s="1454"/>
      <c r="DH736" s="1454"/>
      <c r="DI736" s="1454"/>
      <c r="DJ736" s="1454">
        <f t="shared" si="22"/>
        <v>0</v>
      </c>
      <c r="DK736" s="1454"/>
      <c r="DL736" s="1454"/>
      <c r="DM736" s="1454"/>
      <c r="DN736" s="1454"/>
      <c r="DO736" s="1454">
        <f t="shared" si="23"/>
        <v>0</v>
      </c>
      <c r="DP736" s="1454"/>
      <c r="DQ736" s="1454"/>
      <c r="DR736" s="1454"/>
      <c r="DS736" s="1454"/>
      <c r="DT736" s="6"/>
      <c r="DU736" s="1456">
        <f t="shared" si="24"/>
        <v>0</v>
      </c>
      <c r="DV736" s="1456"/>
      <c r="DW736" s="1456"/>
      <c r="DX736" s="1456"/>
      <c r="DY736" s="1456"/>
      <c r="DZ736" s="1456">
        <f t="shared" si="25"/>
        <v>0</v>
      </c>
      <c r="EA736" s="1456"/>
      <c r="EB736" s="1456"/>
      <c r="EC736" s="1456"/>
      <c r="ED736" s="1456"/>
      <c r="EE736" s="1456">
        <f t="shared" si="26"/>
        <v>0</v>
      </c>
      <c r="EF736" s="1456"/>
      <c r="EG736" s="1456"/>
      <c r="EH736" s="1456"/>
      <c r="EI736" s="1456"/>
      <c r="EJ736" s="1456">
        <f t="shared" si="27"/>
        <v>0</v>
      </c>
      <c r="EK736" s="1456"/>
      <c r="EL736" s="1456"/>
      <c r="EM736" s="1456"/>
      <c r="EN736" s="1456"/>
      <c r="EO736" s="1456">
        <f t="shared" si="28"/>
        <v>0</v>
      </c>
      <c r="EP736" s="1456"/>
      <c r="EQ736" s="1456"/>
      <c r="ER736" s="1456"/>
      <c r="ES736" s="1456"/>
      <c r="ET736" s="1456">
        <f t="shared" si="29"/>
        <v>0</v>
      </c>
      <c r="EU736" s="1456"/>
      <c r="EV736" s="1456"/>
      <c r="EW736" s="1456"/>
      <c r="EX736" s="1456"/>
      <c r="EZ736" s="1464" t="str">
        <f t="shared" si="30"/>
        <v/>
      </c>
      <c r="FA736" s="1465"/>
      <c r="FB736" s="1465"/>
      <c r="FC736" s="1465"/>
      <c r="FD736" s="1466"/>
      <c r="FE736" s="1464" t="str">
        <f t="shared" si="31"/>
        <v/>
      </c>
      <c r="FF736" s="1465"/>
      <c r="FG736" s="1465"/>
      <c r="FH736" s="1465"/>
      <c r="FI736" s="1466"/>
      <c r="FJ736" s="1464" t="str">
        <f t="shared" si="32"/>
        <v/>
      </c>
      <c r="FK736" s="1465"/>
      <c r="FL736" s="1465"/>
      <c r="FM736" s="1465"/>
      <c r="FN736" s="1466"/>
      <c r="FO736" s="1464" t="str">
        <f t="shared" si="33"/>
        <v/>
      </c>
      <c r="FP736" s="1465"/>
      <c r="FQ736" s="1465"/>
      <c r="FR736" s="1465"/>
      <c r="FS736" s="1466"/>
      <c r="FT736" s="1464" t="str">
        <f t="shared" si="34"/>
        <v/>
      </c>
      <c r="FU736" s="1465"/>
      <c r="FV736" s="1465"/>
      <c r="FW736" s="1465"/>
      <c r="FX736" s="1466"/>
      <c r="FY736" s="1464" t="str">
        <f t="shared" si="35"/>
        <v/>
      </c>
      <c r="FZ736" s="1465"/>
      <c r="GA736" s="1465"/>
      <c r="GB736" s="1465"/>
      <c r="GC736" s="1466"/>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6"/>
      <c r="CI737" s="1459">
        <f t="shared" si="38"/>
        <v>0</v>
      </c>
      <c r="CJ737" s="1460"/>
      <c r="CK737" s="1464">
        <f t="shared" si="16"/>
        <v>0</v>
      </c>
      <c r="CL737" s="1466"/>
      <c r="CM737" s="1459">
        <f t="shared" si="17"/>
        <v>0</v>
      </c>
      <c r="CN737" s="1460"/>
      <c r="CO737" s="3"/>
      <c r="CP737" s="1461">
        <f t="shared" si="18"/>
        <v>0</v>
      </c>
      <c r="CQ737" s="1462"/>
      <c r="CR737" s="1462"/>
      <c r="CS737" s="1462"/>
      <c r="CT737" s="1463"/>
      <c r="CU737" s="1454">
        <f t="shared" si="19"/>
        <v>0</v>
      </c>
      <c r="CV737" s="1454"/>
      <c r="CW737" s="1454"/>
      <c r="CX737" s="1454"/>
      <c r="CY737" s="1454"/>
      <c r="CZ737" s="1454">
        <f t="shared" si="20"/>
        <v>0</v>
      </c>
      <c r="DA737" s="1454"/>
      <c r="DB737" s="1454"/>
      <c r="DC737" s="1454"/>
      <c r="DD737" s="1454"/>
      <c r="DE737" s="1454">
        <f t="shared" si="21"/>
        <v>0</v>
      </c>
      <c r="DF737" s="1454"/>
      <c r="DG737" s="1454"/>
      <c r="DH737" s="1454"/>
      <c r="DI737" s="1454"/>
      <c r="DJ737" s="1454">
        <f t="shared" si="22"/>
        <v>0</v>
      </c>
      <c r="DK737" s="1454"/>
      <c r="DL737" s="1454"/>
      <c r="DM737" s="1454"/>
      <c r="DN737" s="1454"/>
      <c r="DO737" s="1454">
        <f t="shared" si="23"/>
        <v>0</v>
      </c>
      <c r="DP737" s="1454"/>
      <c r="DQ737" s="1454"/>
      <c r="DR737" s="1454"/>
      <c r="DS737" s="1454"/>
      <c r="DT737" s="6"/>
      <c r="DU737" s="1456">
        <f t="shared" si="24"/>
        <v>0</v>
      </c>
      <c r="DV737" s="1456"/>
      <c r="DW737" s="1456"/>
      <c r="DX737" s="1456"/>
      <c r="DY737" s="1456"/>
      <c r="DZ737" s="1456">
        <f t="shared" si="25"/>
        <v>0</v>
      </c>
      <c r="EA737" s="1456"/>
      <c r="EB737" s="1456"/>
      <c r="EC737" s="1456"/>
      <c r="ED737" s="1456"/>
      <c r="EE737" s="1456">
        <f t="shared" si="26"/>
        <v>0</v>
      </c>
      <c r="EF737" s="1456"/>
      <c r="EG737" s="1456"/>
      <c r="EH737" s="1456"/>
      <c r="EI737" s="1456"/>
      <c r="EJ737" s="1456">
        <f t="shared" si="27"/>
        <v>0</v>
      </c>
      <c r="EK737" s="1456"/>
      <c r="EL737" s="1456"/>
      <c r="EM737" s="1456"/>
      <c r="EN737" s="1456"/>
      <c r="EO737" s="1456">
        <f t="shared" si="28"/>
        <v>0</v>
      </c>
      <c r="EP737" s="1456"/>
      <c r="EQ737" s="1456"/>
      <c r="ER737" s="1456"/>
      <c r="ES737" s="1456"/>
      <c r="ET737" s="1456">
        <f t="shared" si="29"/>
        <v>0</v>
      </c>
      <c r="EU737" s="1456"/>
      <c r="EV737" s="1456"/>
      <c r="EW737" s="1456"/>
      <c r="EX737" s="1456"/>
      <c r="EZ737" s="1464" t="str">
        <f t="shared" si="30"/>
        <v/>
      </c>
      <c r="FA737" s="1465"/>
      <c r="FB737" s="1465"/>
      <c r="FC737" s="1465"/>
      <c r="FD737" s="1466"/>
      <c r="FE737" s="1464" t="str">
        <f t="shared" si="31"/>
        <v/>
      </c>
      <c r="FF737" s="1465"/>
      <c r="FG737" s="1465"/>
      <c r="FH737" s="1465"/>
      <c r="FI737" s="1466"/>
      <c r="FJ737" s="1464" t="str">
        <f t="shared" si="32"/>
        <v/>
      </c>
      <c r="FK737" s="1465"/>
      <c r="FL737" s="1465"/>
      <c r="FM737" s="1465"/>
      <c r="FN737" s="1466"/>
      <c r="FO737" s="1464" t="str">
        <f t="shared" si="33"/>
        <v/>
      </c>
      <c r="FP737" s="1465"/>
      <c r="FQ737" s="1465"/>
      <c r="FR737" s="1465"/>
      <c r="FS737" s="1466"/>
      <c r="FT737" s="1464" t="str">
        <f t="shared" si="34"/>
        <v/>
      </c>
      <c r="FU737" s="1465"/>
      <c r="FV737" s="1465"/>
      <c r="FW737" s="1465"/>
      <c r="FX737" s="1466"/>
      <c r="FY737" s="1464" t="str">
        <f t="shared" si="35"/>
        <v/>
      </c>
      <c r="FZ737" s="1465"/>
      <c r="GA737" s="1465"/>
      <c r="GB737" s="1465"/>
      <c r="GC737" s="1466"/>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6"/>
      <c r="CI738" s="1459">
        <f t="shared" si="38"/>
        <v>0</v>
      </c>
      <c r="CJ738" s="1460"/>
      <c r="CK738" s="1464">
        <f t="shared" si="16"/>
        <v>0</v>
      </c>
      <c r="CL738" s="1466"/>
      <c r="CM738" s="1459">
        <f t="shared" si="17"/>
        <v>0</v>
      </c>
      <c r="CN738" s="1460"/>
      <c r="CO738" s="3"/>
      <c r="CP738" s="1461">
        <f t="shared" si="18"/>
        <v>0</v>
      </c>
      <c r="CQ738" s="1462"/>
      <c r="CR738" s="1462"/>
      <c r="CS738" s="1462"/>
      <c r="CT738" s="1463"/>
      <c r="CU738" s="1454">
        <f t="shared" si="19"/>
        <v>0</v>
      </c>
      <c r="CV738" s="1454"/>
      <c r="CW738" s="1454"/>
      <c r="CX738" s="1454"/>
      <c r="CY738" s="1454"/>
      <c r="CZ738" s="1454">
        <f t="shared" si="20"/>
        <v>0</v>
      </c>
      <c r="DA738" s="1454"/>
      <c r="DB738" s="1454"/>
      <c r="DC738" s="1454"/>
      <c r="DD738" s="1454"/>
      <c r="DE738" s="1454">
        <f t="shared" si="21"/>
        <v>0</v>
      </c>
      <c r="DF738" s="1454"/>
      <c r="DG738" s="1454"/>
      <c r="DH738" s="1454"/>
      <c r="DI738" s="1454"/>
      <c r="DJ738" s="1454">
        <f t="shared" si="22"/>
        <v>0</v>
      </c>
      <c r="DK738" s="1454"/>
      <c r="DL738" s="1454"/>
      <c r="DM738" s="1454"/>
      <c r="DN738" s="1454"/>
      <c r="DO738" s="1454">
        <f t="shared" si="23"/>
        <v>0</v>
      </c>
      <c r="DP738" s="1454"/>
      <c r="DQ738" s="1454"/>
      <c r="DR738" s="1454"/>
      <c r="DS738" s="1454"/>
      <c r="DT738" s="6"/>
      <c r="DU738" s="1456">
        <f t="shared" si="24"/>
        <v>0</v>
      </c>
      <c r="DV738" s="1456"/>
      <c r="DW738" s="1456"/>
      <c r="DX738" s="1456"/>
      <c r="DY738" s="1456"/>
      <c r="DZ738" s="1456">
        <f t="shared" si="25"/>
        <v>0</v>
      </c>
      <c r="EA738" s="1456"/>
      <c r="EB738" s="1456"/>
      <c r="EC738" s="1456"/>
      <c r="ED738" s="1456"/>
      <c r="EE738" s="1456">
        <f t="shared" si="26"/>
        <v>0</v>
      </c>
      <c r="EF738" s="1456"/>
      <c r="EG738" s="1456"/>
      <c r="EH738" s="1456"/>
      <c r="EI738" s="1456"/>
      <c r="EJ738" s="1456">
        <f t="shared" si="27"/>
        <v>0</v>
      </c>
      <c r="EK738" s="1456"/>
      <c r="EL738" s="1456"/>
      <c r="EM738" s="1456"/>
      <c r="EN738" s="1456"/>
      <c r="EO738" s="1456">
        <f t="shared" si="28"/>
        <v>0</v>
      </c>
      <c r="EP738" s="1456"/>
      <c r="EQ738" s="1456"/>
      <c r="ER738" s="1456"/>
      <c r="ES738" s="1456"/>
      <c r="ET738" s="1456">
        <f t="shared" si="29"/>
        <v>0</v>
      </c>
      <c r="EU738" s="1456"/>
      <c r="EV738" s="1456"/>
      <c r="EW738" s="1456"/>
      <c r="EX738" s="1456"/>
      <c r="EZ738" s="1464" t="str">
        <f t="shared" si="30"/>
        <v/>
      </c>
      <c r="FA738" s="1465"/>
      <c r="FB738" s="1465"/>
      <c r="FC738" s="1465"/>
      <c r="FD738" s="1466"/>
      <c r="FE738" s="1464" t="str">
        <f t="shared" si="31"/>
        <v/>
      </c>
      <c r="FF738" s="1465"/>
      <c r="FG738" s="1465"/>
      <c r="FH738" s="1465"/>
      <c r="FI738" s="1466"/>
      <c r="FJ738" s="1464" t="str">
        <f t="shared" si="32"/>
        <v/>
      </c>
      <c r="FK738" s="1465"/>
      <c r="FL738" s="1465"/>
      <c r="FM738" s="1465"/>
      <c r="FN738" s="1466"/>
      <c r="FO738" s="1464" t="str">
        <f t="shared" si="33"/>
        <v/>
      </c>
      <c r="FP738" s="1465"/>
      <c r="FQ738" s="1465"/>
      <c r="FR738" s="1465"/>
      <c r="FS738" s="1466"/>
      <c r="FT738" s="1464" t="str">
        <f t="shared" si="34"/>
        <v/>
      </c>
      <c r="FU738" s="1465"/>
      <c r="FV738" s="1465"/>
      <c r="FW738" s="1465"/>
      <c r="FX738" s="1466"/>
      <c r="FY738" s="1464" t="str">
        <f t="shared" si="35"/>
        <v/>
      </c>
      <c r="FZ738" s="1465"/>
      <c r="GA738" s="1465"/>
      <c r="GB738" s="1465"/>
      <c r="GC738" s="1466"/>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6"/>
      <c r="CI739" s="1459">
        <f t="shared" si="38"/>
        <v>0</v>
      </c>
      <c r="CJ739" s="1460"/>
      <c r="CK739" s="1464">
        <f t="shared" si="16"/>
        <v>0</v>
      </c>
      <c r="CL739" s="1466"/>
      <c r="CM739" s="1459">
        <f t="shared" si="17"/>
        <v>0</v>
      </c>
      <c r="CN739" s="1460"/>
      <c r="CO739" s="3"/>
      <c r="CP739" s="1461">
        <f t="shared" si="18"/>
        <v>0</v>
      </c>
      <c r="CQ739" s="1462"/>
      <c r="CR739" s="1462"/>
      <c r="CS739" s="1462"/>
      <c r="CT739" s="1463"/>
      <c r="CU739" s="1454">
        <f t="shared" si="19"/>
        <v>0</v>
      </c>
      <c r="CV739" s="1454"/>
      <c r="CW739" s="1454"/>
      <c r="CX739" s="1454"/>
      <c r="CY739" s="1454"/>
      <c r="CZ739" s="1454">
        <f t="shared" si="20"/>
        <v>0</v>
      </c>
      <c r="DA739" s="1454"/>
      <c r="DB739" s="1454"/>
      <c r="DC739" s="1454"/>
      <c r="DD739" s="1454"/>
      <c r="DE739" s="1454">
        <f t="shared" si="21"/>
        <v>0</v>
      </c>
      <c r="DF739" s="1454"/>
      <c r="DG739" s="1454"/>
      <c r="DH739" s="1454"/>
      <c r="DI739" s="1454"/>
      <c r="DJ739" s="1454">
        <f t="shared" si="22"/>
        <v>0</v>
      </c>
      <c r="DK739" s="1454"/>
      <c r="DL739" s="1454"/>
      <c r="DM739" s="1454"/>
      <c r="DN739" s="1454"/>
      <c r="DO739" s="1454">
        <f t="shared" si="23"/>
        <v>0</v>
      </c>
      <c r="DP739" s="1454"/>
      <c r="DQ739" s="1454"/>
      <c r="DR739" s="1454"/>
      <c r="DS739" s="1454"/>
      <c r="DT739" s="6"/>
      <c r="DU739" s="1456">
        <f t="shared" si="24"/>
        <v>0</v>
      </c>
      <c r="DV739" s="1456"/>
      <c r="DW739" s="1456"/>
      <c r="DX739" s="1456"/>
      <c r="DY739" s="1456"/>
      <c r="DZ739" s="1456">
        <f t="shared" si="25"/>
        <v>0</v>
      </c>
      <c r="EA739" s="1456"/>
      <c r="EB739" s="1456"/>
      <c r="EC739" s="1456"/>
      <c r="ED739" s="1456"/>
      <c r="EE739" s="1456">
        <f t="shared" si="26"/>
        <v>0</v>
      </c>
      <c r="EF739" s="1456"/>
      <c r="EG739" s="1456"/>
      <c r="EH739" s="1456"/>
      <c r="EI739" s="1456"/>
      <c r="EJ739" s="1456">
        <f t="shared" si="27"/>
        <v>0</v>
      </c>
      <c r="EK739" s="1456"/>
      <c r="EL739" s="1456"/>
      <c r="EM739" s="1456"/>
      <c r="EN739" s="1456"/>
      <c r="EO739" s="1456">
        <f t="shared" si="28"/>
        <v>0</v>
      </c>
      <c r="EP739" s="1456"/>
      <c r="EQ739" s="1456"/>
      <c r="ER739" s="1456"/>
      <c r="ES739" s="1456"/>
      <c r="ET739" s="1456">
        <f t="shared" si="29"/>
        <v>0</v>
      </c>
      <c r="EU739" s="1456"/>
      <c r="EV739" s="1456"/>
      <c r="EW739" s="1456"/>
      <c r="EX739" s="1456"/>
      <c r="EZ739" s="1464" t="str">
        <f t="shared" si="30"/>
        <v/>
      </c>
      <c r="FA739" s="1465"/>
      <c r="FB739" s="1465"/>
      <c r="FC739" s="1465"/>
      <c r="FD739" s="1466"/>
      <c r="FE739" s="1464" t="str">
        <f t="shared" si="31"/>
        <v/>
      </c>
      <c r="FF739" s="1465"/>
      <c r="FG739" s="1465"/>
      <c r="FH739" s="1465"/>
      <c r="FI739" s="1466"/>
      <c r="FJ739" s="1464" t="str">
        <f t="shared" si="32"/>
        <v/>
      </c>
      <c r="FK739" s="1465"/>
      <c r="FL739" s="1465"/>
      <c r="FM739" s="1465"/>
      <c r="FN739" s="1466"/>
      <c r="FO739" s="1464" t="str">
        <f t="shared" si="33"/>
        <v/>
      </c>
      <c r="FP739" s="1465"/>
      <c r="FQ739" s="1465"/>
      <c r="FR739" s="1465"/>
      <c r="FS739" s="1466"/>
      <c r="FT739" s="1464" t="str">
        <f t="shared" si="34"/>
        <v/>
      </c>
      <c r="FU739" s="1465"/>
      <c r="FV739" s="1465"/>
      <c r="FW739" s="1465"/>
      <c r="FX739" s="1466"/>
      <c r="FY739" s="1464" t="str">
        <f t="shared" si="35"/>
        <v/>
      </c>
      <c r="FZ739" s="1465"/>
      <c r="GA739" s="1465"/>
      <c r="GB739" s="1465"/>
      <c r="GC739" s="1466"/>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6"/>
      <c r="CI740" s="1459">
        <f t="shared" si="38"/>
        <v>0</v>
      </c>
      <c r="CJ740" s="1460"/>
      <c r="CK740" s="1464">
        <f t="shared" si="16"/>
        <v>0</v>
      </c>
      <c r="CL740" s="1466"/>
      <c r="CM740" s="1459">
        <f t="shared" si="17"/>
        <v>0</v>
      </c>
      <c r="CN740" s="1460"/>
      <c r="CO740" s="3"/>
      <c r="CP740" s="1461">
        <f t="shared" si="18"/>
        <v>0</v>
      </c>
      <c r="CQ740" s="1462"/>
      <c r="CR740" s="1462"/>
      <c r="CS740" s="1462"/>
      <c r="CT740" s="1463"/>
      <c r="CU740" s="1454">
        <f t="shared" si="19"/>
        <v>0</v>
      </c>
      <c r="CV740" s="1454"/>
      <c r="CW740" s="1454"/>
      <c r="CX740" s="1454"/>
      <c r="CY740" s="1454"/>
      <c r="CZ740" s="1454">
        <f t="shared" si="20"/>
        <v>0</v>
      </c>
      <c r="DA740" s="1454"/>
      <c r="DB740" s="1454"/>
      <c r="DC740" s="1454"/>
      <c r="DD740" s="1454"/>
      <c r="DE740" s="1454">
        <f t="shared" si="21"/>
        <v>0</v>
      </c>
      <c r="DF740" s="1454"/>
      <c r="DG740" s="1454"/>
      <c r="DH740" s="1454"/>
      <c r="DI740" s="1454"/>
      <c r="DJ740" s="1454">
        <f t="shared" si="22"/>
        <v>0</v>
      </c>
      <c r="DK740" s="1454"/>
      <c r="DL740" s="1454"/>
      <c r="DM740" s="1454"/>
      <c r="DN740" s="1454"/>
      <c r="DO740" s="1454">
        <f t="shared" si="23"/>
        <v>0</v>
      </c>
      <c r="DP740" s="1454"/>
      <c r="DQ740" s="1454"/>
      <c r="DR740" s="1454"/>
      <c r="DS740" s="1454"/>
      <c r="DT740" s="6"/>
      <c r="DU740" s="1456">
        <f t="shared" si="24"/>
        <v>0</v>
      </c>
      <c r="DV740" s="1456"/>
      <c r="DW740" s="1456"/>
      <c r="DX740" s="1456"/>
      <c r="DY740" s="1456"/>
      <c r="DZ740" s="1456">
        <f t="shared" si="25"/>
        <v>0</v>
      </c>
      <c r="EA740" s="1456"/>
      <c r="EB740" s="1456"/>
      <c r="EC740" s="1456"/>
      <c r="ED740" s="1456"/>
      <c r="EE740" s="1456">
        <f t="shared" si="26"/>
        <v>0</v>
      </c>
      <c r="EF740" s="1456"/>
      <c r="EG740" s="1456"/>
      <c r="EH740" s="1456"/>
      <c r="EI740" s="1456"/>
      <c r="EJ740" s="1456">
        <f t="shared" si="27"/>
        <v>0</v>
      </c>
      <c r="EK740" s="1456"/>
      <c r="EL740" s="1456"/>
      <c r="EM740" s="1456"/>
      <c r="EN740" s="1456"/>
      <c r="EO740" s="1456">
        <f t="shared" si="28"/>
        <v>0</v>
      </c>
      <c r="EP740" s="1456"/>
      <c r="EQ740" s="1456"/>
      <c r="ER740" s="1456"/>
      <c r="ES740" s="1456"/>
      <c r="ET740" s="1456">
        <f t="shared" si="29"/>
        <v>0</v>
      </c>
      <c r="EU740" s="1456"/>
      <c r="EV740" s="1456"/>
      <c r="EW740" s="1456"/>
      <c r="EX740" s="1456"/>
      <c r="EZ740" s="1464" t="str">
        <f t="shared" si="30"/>
        <v/>
      </c>
      <c r="FA740" s="1465"/>
      <c r="FB740" s="1465"/>
      <c r="FC740" s="1465"/>
      <c r="FD740" s="1466"/>
      <c r="FE740" s="1464" t="str">
        <f t="shared" si="31"/>
        <v/>
      </c>
      <c r="FF740" s="1465"/>
      <c r="FG740" s="1465"/>
      <c r="FH740" s="1465"/>
      <c r="FI740" s="1466"/>
      <c r="FJ740" s="1464" t="str">
        <f t="shared" si="32"/>
        <v/>
      </c>
      <c r="FK740" s="1465"/>
      <c r="FL740" s="1465"/>
      <c r="FM740" s="1465"/>
      <c r="FN740" s="1466"/>
      <c r="FO740" s="1464" t="str">
        <f t="shared" si="33"/>
        <v/>
      </c>
      <c r="FP740" s="1465"/>
      <c r="FQ740" s="1465"/>
      <c r="FR740" s="1465"/>
      <c r="FS740" s="1466"/>
      <c r="FT740" s="1464" t="str">
        <f t="shared" si="34"/>
        <v/>
      </c>
      <c r="FU740" s="1465"/>
      <c r="FV740" s="1465"/>
      <c r="FW740" s="1465"/>
      <c r="FX740" s="1466"/>
      <c r="FY740" s="1464" t="str">
        <f t="shared" si="35"/>
        <v/>
      </c>
      <c r="FZ740" s="1465"/>
      <c r="GA740" s="1465"/>
      <c r="GB740" s="1465"/>
      <c r="GC740" s="1466"/>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6"/>
      <c r="CI741" s="1459">
        <f t="shared" si="38"/>
        <v>0</v>
      </c>
      <c r="CJ741" s="1460"/>
      <c r="CK741" s="1464">
        <f t="shared" si="16"/>
        <v>0</v>
      </c>
      <c r="CL741" s="1466"/>
      <c r="CM741" s="1459">
        <f t="shared" si="17"/>
        <v>0</v>
      </c>
      <c r="CN741" s="1460"/>
      <c r="CO741" s="3"/>
      <c r="CP741" s="1461">
        <f t="shared" si="18"/>
        <v>0</v>
      </c>
      <c r="CQ741" s="1462"/>
      <c r="CR741" s="1462"/>
      <c r="CS741" s="1462"/>
      <c r="CT741" s="1463"/>
      <c r="CU741" s="1454">
        <f t="shared" si="19"/>
        <v>0</v>
      </c>
      <c r="CV741" s="1454"/>
      <c r="CW741" s="1454"/>
      <c r="CX741" s="1454"/>
      <c r="CY741" s="1454"/>
      <c r="CZ741" s="1454">
        <f t="shared" si="20"/>
        <v>0</v>
      </c>
      <c r="DA741" s="1454"/>
      <c r="DB741" s="1454"/>
      <c r="DC741" s="1454"/>
      <c r="DD741" s="1454"/>
      <c r="DE741" s="1454">
        <f t="shared" si="21"/>
        <v>0</v>
      </c>
      <c r="DF741" s="1454"/>
      <c r="DG741" s="1454"/>
      <c r="DH741" s="1454"/>
      <c r="DI741" s="1454"/>
      <c r="DJ741" s="1454">
        <f t="shared" si="22"/>
        <v>0</v>
      </c>
      <c r="DK741" s="1454"/>
      <c r="DL741" s="1454"/>
      <c r="DM741" s="1454"/>
      <c r="DN741" s="1454"/>
      <c r="DO741" s="1454">
        <f t="shared" si="23"/>
        <v>0</v>
      </c>
      <c r="DP741" s="1454"/>
      <c r="DQ741" s="1454"/>
      <c r="DR741" s="1454"/>
      <c r="DS741" s="1454"/>
      <c r="DT741" s="6"/>
      <c r="DU741" s="1456">
        <f t="shared" si="24"/>
        <v>0</v>
      </c>
      <c r="DV741" s="1456"/>
      <c r="DW741" s="1456"/>
      <c r="DX741" s="1456"/>
      <c r="DY741" s="1456"/>
      <c r="DZ741" s="1456">
        <f t="shared" si="25"/>
        <v>0</v>
      </c>
      <c r="EA741" s="1456"/>
      <c r="EB741" s="1456"/>
      <c r="EC741" s="1456"/>
      <c r="ED741" s="1456"/>
      <c r="EE741" s="1456">
        <f t="shared" si="26"/>
        <v>0</v>
      </c>
      <c r="EF741" s="1456"/>
      <c r="EG741" s="1456"/>
      <c r="EH741" s="1456"/>
      <c r="EI741" s="1456"/>
      <c r="EJ741" s="1456">
        <f t="shared" si="27"/>
        <v>0</v>
      </c>
      <c r="EK741" s="1456"/>
      <c r="EL741" s="1456"/>
      <c r="EM741" s="1456"/>
      <c r="EN741" s="1456"/>
      <c r="EO741" s="1456">
        <f t="shared" si="28"/>
        <v>0</v>
      </c>
      <c r="EP741" s="1456"/>
      <c r="EQ741" s="1456"/>
      <c r="ER741" s="1456"/>
      <c r="ES741" s="1456"/>
      <c r="ET741" s="1456">
        <f t="shared" si="29"/>
        <v>0</v>
      </c>
      <c r="EU741" s="1456"/>
      <c r="EV741" s="1456"/>
      <c r="EW741" s="1456"/>
      <c r="EX741" s="1456"/>
      <c r="EZ741" s="1464" t="str">
        <f t="shared" si="30"/>
        <v/>
      </c>
      <c r="FA741" s="1465"/>
      <c r="FB741" s="1465"/>
      <c r="FC741" s="1465"/>
      <c r="FD741" s="1466"/>
      <c r="FE741" s="1464" t="str">
        <f t="shared" si="31"/>
        <v/>
      </c>
      <c r="FF741" s="1465"/>
      <c r="FG741" s="1465"/>
      <c r="FH741" s="1465"/>
      <c r="FI741" s="1466"/>
      <c r="FJ741" s="1464" t="str">
        <f t="shared" si="32"/>
        <v/>
      </c>
      <c r="FK741" s="1465"/>
      <c r="FL741" s="1465"/>
      <c r="FM741" s="1465"/>
      <c r="FN741" s="1466"/>
      <c r="FO741" s="1464" t="str">
        <f t="shared" si="33"/>
        <v/>
      </c>
      <c r="FP741" s="1465"/>
      <c r="FQ741" s="1465"/>
      <c r="FR741" s="1465"/>
      <c r="FS741" s="1466"/>
      <c r="FT741" s="1464" t="str">
        <f t="shared" si="34"/>
        <v/>
      </c>
      <c r="FU741" s="1465"/>
      <c r="FV741" s="1465"/>
      <c r="FW741" s="1465"/>
      <c r="FX741" s="1466"/>
      <c r="FY741" s="1464" t="str">
        <f t="shared" si="35"/>
        <v/>
      </c>
      <c r="FZ741" s="1465"/>
      <c r="GA741" s="1465"/>
      <c r="GB741" s="1465"/>
      <c r="GC741" s="1466"/>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6"/>
      <c r="CI742" s="1459">
        <f t="shared" si="38"/>
        <v>0</v>
      </c>
      <c r="CJ742" s="1460"/>
      <c r="CK742" s="1464">
        <f t="shared" si="16"/>
        <v>0</v>
      </c>
      <c r="CL742" s="1466"/>
      <c r="CM742" s="1459">
        <f t="shared" si="17"/>
        <v>0</v>
      </c>
      <c r="CN742" s="1460"/>
      <c r="CO742" s="3"/>
      <c r="CP742" s="1461">
        <f t="shared" si="18"/>
        <v>0</v>
      </c>
      <c r="CQ742" s="1462"/>
      <c r="CR742" s="1462"/>
      <c r="CS742" s="1462"/>
      <c r="CT742" s="1463"/>
      <c r="CU742" s="1454">
        <f t="shared" si="19"/>
        <v>0</v>
      </c>
      <c r="CV742" s="1454"/>
      <c r="CW742" s="1454"/>
      <c r="CX742" s="1454"/>
      <c r="CY742" s="1454"/>
      <c r="CZ742" s="1454">
        <f t="shared" si="20"/>
        <v>0</v>
      </c>
      <c r="DA742" s="1454"/>
      <c r="DB742" s="1454"/>
      <c r="DC742" s="1454"/>
      <c r="DD742" s="1454"/>
      <c r="DE742" s="1454">
        <f t="shared" si="21"/>
        <v>0</v>
      </c>
      <c r="DF742" s="1454"/>
      <c r="DG742" s="1454"/>
      <c r="DH742" s="1454"/>
      <c r="DI742" s="1454"/>
      <c r="DJ742" s="1454">
        <f t="shared" si="22"/>
        <v>0</v>
      </c>
      <c r="DK742" s="1454"/>
      <c r="DL742" s="1454"/>
      <c r="DM742" s="1454"/>
      <c r="DN742" s="1454"/>
      <c r="DO742" s="1454">
        <f t="shared" si="23"/>
        <v>0</v>
      </c>
      <c r="DP742" s="1454"/>
      <c r="DQ742" s="1454"/>
      <c r="DR742" s="1454"/>
      <c r="DS742" s="1454"/>
      <c r="DT742" s="6"/>
      <c r="DU742" s="1456">
        <f t="shared" si="24"/>
        <v>0</v>
      </c>
      <c r="DV742" s="1456"/>
      <c r="DW742" s="1456"/>
      <c r="DX742" s="1456"/>
      <c r="DY742" s="1456"/>
      <c r="DZ742" s="1456">
        <f t="shared" si="25"/>
        <v>0</v>
      </c>
      <c r="EA742" s="1456"/>
      <c r="EB742" s="1456"/>
      <c r="EC742" s="1456"/>
      <c r="ED742" s="1456"/>
      <c r="EE742" s="1456">
        <f t="shared" si="26"/>
        <v>0</v>
      </c>
      <c r="EF742" s="1456"/>
      <c r="EG742" s="1456"/>
      <c r="EH742" s="1456"/>
      <c r="EI742" s="1456"/>
      <c r="EJ742" s="1456">
        <f t="shared" si="27"/>
        <v>0</v>
      </c>
      <c r="EK742" s="1456"/>
      <c r="EL742" s="1456"/>
      <c r="EM742" s="1456"/>
      <c r="EN742" s="1456"/>
      <c r="EO742" s="1456">
        <f t="shared" si="28"/>
        <v>0</v>
      </c>
      <c r="EP742" s="1456"/>
      <c r="EQ742" s="1456"/>
      <c r="ER742" s="1456"/>
      <c r="ES742" s="1456"/>
      <c r="ET742" s="1456">
        <f t="shared" si="29"/>
        <v>0</v>
      </c>
      <c r="EU742" s="1456"/>
      <c r="EV742" s="1456"/>
      <c r="EW742" s="1456"/>
      <c r="EX742" s="1456"/>
      <c r="EZ742" s="1464" t="str">
        <f t="shared" si="30"/>
        <v/>
      </c>
      <c r="FA742" s="1465"/>
      <c r="FB742" s="1465"/>
      <c r="FC742" s="1465"/>
      <c r="FD742" s="1466"/>
      <c r="FE742" s="1464" t="str">
        <f t="shared" si="31"/>
        <v/>
      </c>
      <c r="FF742" s="1465"/>
      <c r="FG742" s="1465"/>
      <c r="FH742" s="1465"/>
      <c r="FI742" s="1466"/>
      <c r="FJ742" s="1464" t="str">
        <f t="shared" si="32"/>
        <v/>
      </c>
      <c r="FK742" s="1465"/>
      <c r="FL742" s="1465"/>
      <c r="FM742" s="1465"/>
      <c r="FN742" s="1466"/>
      <c r="FO742" s="1464" t="str">
        <f t="shared" si="33"/>
        <v/>
      </c>
      <c r="FP742" s="1465"/>
      <c r="FQ742" s="1465"/>
      <c r="FR742" s="1465"/>
      <c r="FS742" s="1466"/>
      <c r="FT742" s="1464" t="str">
        <f t="shared" si="34"/>
        <v/>
      </c>
      <c r="FU742" s="1465"/>
      <c r="FV742" s="1465"/>
      <c r="FW742" s="1465"/>
      <c r="FX742" s="1466"/>
      <c r="FY742" s="1464" t="str">
        <f t="shared" si="35"/>
        <v/>
      </c>
      <c r="FZ742" s="1465"/>
      <c r="GA742" s="1465"/>
      <c r="GB742" s="1465"/>
      <c r="GC742" s="1466"/>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6"/>
      <c r="CI743" s="1459">
        <f t="shared" si="38"/>
        <v>0</v>
      </c>
      <c r="CJ743" s="1460"/>
      <c r="CK743" s="1464">
        <f t="shared" si="16"/>
        <v>0</v>
      </c>
      <c r="CL743" s="1466"/>
      <c r="CM743" s="1459">
        <f t="shared" si="17"/>
        <v>0</v>
      </c>
      <c r="CN743" s="1460"/>
      <c r="CP743" s="1461">
        <f t="shared" si="18"/>
        <v>0</v>
      </c>
      <c r="CQ743" s="1462"/>
      <c r="CR743" s="1462"/>
      <c r="CS743" s="1462"/>
      <c r="CT743" s="1463"/>
      <c r="CU743" s="1454">
        <f t="shared" si="19"/>
        <v>0</v>
      </c>
      <c r="CV743" s="1454"/>
      <c r="CW743" s="1454"/>
      <c r="CX743" s="1454"/>
      <c r="CY743" s="1454"/>
      <c r="CZ743" s="1454">
        <f t="shared" si="20"/>
        <v>0</v>
      </c>
      <c r="DA743" s="1454"/>
      <c r="DB743" s="1454"/>
      <c r="DC743" s="1454"/>
      <c r="DD743" s="1454"/>
      <c r="DE743" s="1454">
        <f t="shared" si="21"/>
        <v>0</v>
      </c>
      <c r="DF743" s="1454"/>
      <c r="DG743" s="1454"/>
      <c r="DH743" s="1454"/>
      <c r="DI743" s="1454"/>
      <c r="DJ743" s="1454">
        <f t="shared" si="22"/>
        <v>0</v>
      </c>
      <c r="DK743" s="1454"/>
      <c r="DL743" s="1454"/>
      <c r="DM743" s="1454"/>
      <c r="DN743" s="1454"/>
      <c r="DO743" s="1454">
        <f t="shared" si="23"/>
        <v>0</v>
      </c>
      <c r="DP743" s="1454"/>
      <c r="DQ743" s="1454"/>
      <c r="DR743" s="1454"/>
      <c r="DS743" s="1454"/>
      <c r="DT743" s="6"/>
      <c r="DU743" s="1456">
        <f t="shared" si="24"/>
        <v>0</v>
      </c>
      <c r="DV743" s="1456"/>
      <c r="DW743" s="1456"/>
      <c r="DX743" s="1456"/>
      <c r="DY743" s="1456"/>
      <c r="DZ743" s="1456">
        <f t="shared" si="25"/>
        <v>0</v>
      </c>
      <c r="EA743" s="1456"/>
      <c r="EB743" s="1456"/>
      <c r="EC743" s="1456"/>
      <c r="ED743" s="1456"/>
      <c r="EE743" s="1456">
        <f t="shared" si="26"/>
        <v>0</v>
      </c>
      <c r="EF743" s="1456"/>
      <c r="EG743" s="1456"/>
      <c r="EH743" s="1456"/>
      <c r="EI743" s="1456"/>
      <c r="EJ743" s="1456">
        <f t="shared" si="27"/>
        <v>0</v>
      </c>
      <c r="EK743" s="1456"/>
      <c r="EL743" s="1456"/>
      <c r="EM743" s="1456"/>
      <c r="EN743" s="1456"/>
      <c r="EO743" s="1456">
        <f t="shared" si="28"/>
        <v>0</v>
      </c>
      <c r="EP743" s="1456"/>
      <c r="EQ743" s="1456"/>
      <c r="ER743" s="1456"/>
      <c r="ES743" s="1456"/>
      <c r="ET743" s="1456">
        <f t="shared" si="29"/>
        <v>0</v>
      </c>
      <c r="EU743" s="1456"/>
      <c r="EV743" s="1456"/>
      <c r="EW743" s="1456"/>
      <c r="EX743" s="1456"/>
      <c r="EY743"/>
      <c r="EZ743" s="1464" t="str">
        <f t="shared" si="30"/>
        <v/>
      </c>
      <c r="FA743" s="1465"/>
      <c r="FB743" s="1465"/>
      <c r="FC743" s="1465"/>
      <c r="FD743" s="1466"/>
      <c r="FE743" s="1464" t="str">
        <f t="shared" si="31"/>
        <v/>
      </c>
      <c r="FF743" s="1465"/>
      <c r="FG743" s="1465"/>
      <c r="FH743" s="1465"/>
      <c r="FI743" s="1466"/>
      <c r="FJ743" s="1464" t="str">
        <f t="shared" si="32"/>
        <v/>
      </c>
      <c r="FK743" s="1465"/>
      <c r="FL743" s="1465"/>
      <c r="FM743" s="1465"/>
      <c r="FN743" s="1466"/>
      <c r="FO743" s="1464" t="str">
        <f t="shared" si="33"/>
        <v/>
      </c>
      <c r="FP743" s="1465"/>
      <c r="FQ743" s="1465"/>
      <c r="FR743" s="1465"/>
      <c r="FS743" s="1466"/>
      <c r="FT743" s="1464" t="str">
        <f t="shared" si="34"/>
        <v/>
      </c>
      <c r="FU743" s="1465"/>
      <c r="FV743" s="1465"/>
      <c r="FW743" s="1465"/>
      <c r="FX743" s="1466"/>
      <c r="FY743" s="1464" t="str">
        <f t="shared" si="35"/>
        <v/>
      </c>
      <c r="FZ743" s="1465"/>
      <c r="GA743" s="1465"/>
      <c r="GB743" s="1465"/>
      <c r="GC743" s="1466"/>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6"/>
      <c r="CI744" s="1459">
        <f t="shared" si="38"/>
        <v>0</v>
      </c>
      <c r="CJ744" s="1460"/>
      <c r="CK744" s="1464">
        <f t="shared" si="16"/>
        <v>0</v>
      </c>
      <c r="CL744" s="1466"/>
      <c r="CM744" s="1459">
        <f t="shared" si="17"/>
        <v>0</v>
      </c>
      <c r="CN744" s="1460"/>
      <c r="CO744" s="3"/>
      <c r="CP744" s="1461">
        <f t="shared" si="18"/>
        <v>0</v>
      </c>
      <c r="CQ744" s="1462"/>
      <c r="CR744" s="1462"/>
      <c r="CS744" s="1462"/>
      <c r="CT744" s="1463"/>
      <c r="CU744" s="1454">
        <f t="shared" si="19"/>
        <v>0</v>
      </c>
      <c r="CV744" s="1454"/>
      <c r="CW744" s="1454"/>
      <c r="CX744" s="1454"/>
      <c r="CY744" s="1454"/>
      <c r="CZ744" s="1454">
        <f t="shared" si="20"/>
        <v>0</v>
      </c>
      <c r="DA744" s="1454"/>
      <c r="DB744" s="1454"/>
      <c r="DC744" s="1454"/>
      <c r="DD744" s="1454"/>
      <c r="DE744" s="1454">
        <f t="shared" si="21"/>
        <v>0</v>
      </c>
      <c r="DF744" s="1454"/>
      <c r="DG744" s="1454"/>
      <c r="DH744" s="1454"/>
      <c r="DI744" s="1454"/>
      <c r="DJ744" s="1454">
        <f t="shared" si="22"/>
        <v>0</v>
      </c>
      <c r="DK744" s="1454"/>
      <c r="DL744" s="1454"/>
      <c r="DM744" s="1454"/>
      <c r="DN744" s="1454"/>
      <c r="DO744" s="1454">
        <f t="shared" si="23"/>
        <v>0</v>
      </c>
      <c r="DP744" s="1454"/>
      <c r="DQ744" s="1454"/>
      <c r="DR744" s="1454"/>
      <c r="DS744" s="1454"/>
      <c r="DT744" s="6"/>
      <c r="DU744" s="1456">
        <f t="shared" si="24"/>
        <v>0</v>
      </c>
      <c r="DV744" s="1456"/>
      <c r="DW744" s="1456"/>
      <c r="DX744" s="1456"/>
      <c r="DY744" s="1456"/>
      <c r="DZ744" s="1456">
        <f t="shared" si="25"/>
        <v>0</v>
      </c>
      <c r="EA744" s="1456"/>
      <c r="EB744" s="1456"/>
      <c r="EC744" s="1456"/>
      <c r="ED744" s="1456"/>
      <c r="EE744" s="1456">
        <f t="shared" si="26"/>
        <v>0</v>
      </c>
      <c r="EF744" s="1456"/>
      <c r="EG744" s="1456"/>
      <c r="EH744" s="1456"/>
      <c r="EI744" s="1456"/>
      <c r="EJ744" s="1456">
        <f t="shared" si="27"/>
        <v>0</v>
      </c>
      <c r="EK744" s="1456"/>
      <c r="EL744" s="1456"/>
      <c r="EM744" s="1456"/>
      <c r="EN744" s="1456"/>
      <c r="EO744" s="1456">
        <f t="shared" si="28"/>
        <v>0</v>
      </c>
      <c r="EP744" s="1456"/>
      <c r="EQ744" s="1456"/>
      <c r="ER744" s="1456"/>
      <c r="ES744" s="1456"/>
      <c r="ET744" s="1456">
        <f t="shared" si="29"/>
        <v>0</v>
      </c>
      <c r="EU744" s="1456"/>
      <c r="EV744" s="1456"/>
      <c r="EW744" s="1456"/>
      <c r="EX744" s="1456"/>
      <c r="EZ744" s="1464" t="str">
        <f t="shared" si="30"/>
        <v/>
      </c>
      <c r="FA744" s="1465"/>
      <c r="FB744" s="1465"/>
      <c r="FC744" s="1465"/>
      <c r="FD744" s="1466"/>
      <c r="FE744" s="1464" t="str">
        <f t="shared" si="31"/>
        <v/>
      </c>
      <c r="FF744" s="1465"/>
      <c r="FG744" s="1465"/>
      <c r="FH744" s="1465"/>
      <c r="FI744" s="1466"/>
      <c r="FJ744" s="1464" t="str">
        <f t="shared" si="32"/>
        <v/>
      </c>
      <c r="FK744" s="1465"/>
      <c r="FL744" s="1465"/>
      <c r="FM744" s="1465"/>
      <c r="FN744" s="1466"/>
      <c r="FO744" s="1464" t="str">
        <f t="shared" si="33"/>
        <v/>
      </c>
      <c r="FP744" s="1465"/>
      <c r="FQ744" s="1465"/>
      <c r="FR744" s="1465"/>
      <c r="FS744" s="1466"/>
      <c r="FT744" s="1464" t="str">
        <f t="shared" si="34"/>
        <v/>
      </c>
      <c r="FU744" s="1465"/>
      <c r="FV744" s="1465"/>
      <c r="FW744" s="1465"/>
      <c r="FX744" s="1466"/>
      <c r="FY744" s="1464" t="str">
        <f t="shared" si="35"/>
        <v/>
      </c>
      <c r="FZ744" s="1465"/>
      <c r="GA744" s="1465"/>
      <c r="GB744" s="1465"/>
      <c r="GC744" s="1466"/>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6"/>
      <c r="CI745" s="1459">
        <f t="shared" si="38"/>
        <v>0</v>
      </c>
      <c r="CJ745" s="1460"/>
      <c r="CK745" s="1464">
        <f t="shared" si="16"/>
        <v>0</v>
      </c>
      <c r="CL745" s="1466"/>
      <c r="CM745" s="1459">
        <f t="shared" si="17"/>
        <v>0</v>
      </c>
      <c r="CN745" s="1460"/>
      <c r="CO745" s="3"/>
      <c r="CP745" s="1461">
        <f t="shared" si="18"/>
        <v>0</v>
      </c>
      <c r="CQ745" s="1462"/>
      <c r="CR745" s="1462"/>
      <c r="CS745" s="1462"/>
      <c r="CT745" s="1463"/>
      <c r="CU745" s="1454">
        <f t="shared" si="19"/>
        <v>0</v>
      </c>
      <c r="CV745" s="1454"/>
      <c r="CW745" s="1454"/>
      <c r="CX745" s="1454"/>
      <c r="CY745" s="1454"/>
      <c r="CZ745" s="1454">
        <f t="shared" si="20"/>
        <v>0</v>
      </c>
      <c r="DA745" s="1454"/>
      <c r="DB745" s="1454"/>
      <c r="DC745" s="1454"/>
      <c r="DD745" s="1454"/>
      <c r="DE745" s="1454">
        <f t="shared" si="21"/>
        <v>0</v>
      </c>
      <c r="DF745" s="1454"/>
      <c r="DG745" s="1454"/>
      <c r="DH745" s="1454"/>
      <c r="DI745" s="1454"/>
      <c r="DJ745" s="1454">
        <f t="shared" si="22"/>
        <v>0</v>
      </c>
      <c r="DK745" s="1454"/>
      <c r="DL745" s="1454"/>
      <c r="DM745" s="1454"/>
      <c r="DN745" s="1454"/>
      <c r="DO745" s="1454">
        <f t="shared" si="23"/>
        <v>0</v>
      </c>
      <c r="DP745" s="1454"/>
      <c r="DQ745" s="1454"/>
      <c r="DR745" s="1454"/>
      <c r="DS745" s="1454"/>
      <c r="DT745" s="6"/>
      <c r="DU745" s="1456">
        <f t="shared" si="24"/>
        <v>0</v>
      </c>
      <c r="DV745" s="1456"/>
      <c r="DW745" s="1456"/>
      <c r="DX745" s="1456"/>
      <c r="DY745" s="1456"/>
      <c r="DZ745" s="1456">
        <f t="shared" si="25"/>
        <v>0</v>
      </c>
      <c r="EA745" s="1456"/>
      <c r="EB745" s="1456"/>
      <c r="EC745" s="1456"/>
      <c r="ED745" s="1456"/>
      <c r="EE745" s="1456">
        <f t="shared" si="26"/>
        <v>0</v>
      </c>
      <c r="EF745" s="1456"/>
      <c r="EG745" s="1456"/>
      <c r="EH745" s="1456"/>
      <c r="EI745" s="1456"/>
      <c r="EJ745" s="1456">
        <f t="shared" si="27"/>
        <v>0</v>
      </c>
      <c r="EK745" s="1456"/>
      <c r="EL745" s="1456"/>
      <c r="EM745" s="1456"/>
      <c r="EN745" s="1456"/>
      <c r="EO745" s="1456">
        <f t="shared" si="28"/>
        <v>0</v>
      </c>
      <c r="EP745" s="1456"/>
      <c r="EQ745" s="1456"/>
      <c r="ER745" s="1456"/>
      <c r="ES745" s="1456"/>
      <c r="ET745" s="1456">
        <f t="shared" si="29"/>
        <v>0</v>
      </c>
      <c r="EU745" s="1456"/>
      <c r="EV745" s="1456"/>
      <c r="EW745" s="1456"/>
      <c r="EX745" s="1456"/>
      <c r="EZ745" s="1464" t="str">
        <f t="shared" si="30"/>
        <v/>
      </c>
      <c r="FA745" s="1465"/>
      <c r="FB745" s="1465"/>
      <c r="FC745" s="1465"/>
      <c r="FD745" s="1466"/>
      <c r="FE745" s="1464" t="str">
        <f t="shared" si="31"/>
        <v/>
      </c>
      <c r="FF745" s="1465"/>
      <c r="FG745" s="1465"/>
      <c r="FH745" s="1465"/>
      <c r="FI745" s="1466"/>
      <c r="FJ745" s="1464" t="str">
        <f t="shared" si="32"/>
        <v/>
      </c>
      <c r="FK745" s="1465"/>
      <c r="FL745" s="1465"/>
      <c r="FM745" s="1465"/>
      <c r="FN745" s="1466"/>
      <c r="FO745" s="1464" t="str">
        <f t="shared" si="33"/>
        <v/>
      </c>
      <c r="FP745" s="1465"/>
      <c r="FQ745" s="1465"/>
      <c r="FR745" s="1465"/>
      <c r="FS745" s="1466"/>
      <c r="FT745" s="1464" t="str">
        <f t="shared" si="34"/>
        <v/>
      </c>
      <c r="FU745" s="1465"/>
      <c r="FV745" s="1465"/>
      <c r="FW745" s="1465"/>
      <c r="FX745" s="1466"/>
      <c r="FY745" s="1464" t="str">
        <f t="shared" si="35"/>
        <v/>
      </c>
      <c r="FZ745" s="1465"/>
      <c r="GA745" s="1465"/>
      <c r="GB745" s="1465"/>
      <c r="GC745" s="1466"/>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6"/>
      <c r="CI746" s="1459">
        <f t="shared" si="38"/>
        <v>0</v>
      </c>
      <c r="CJ746" s="1460"/>
      <c r="CK746" s="1464">
        <f t="shared" si="16"/>
        <v>0</v>
      </c>
      <c r="CL746" s="1466"/>
      <c r="CM746" s="1459">
        <f t="shared" si="17"/>
        <v>0</v>
      </c>
      <c r="CN746" s="1460"/>
      <c r="CO746" s="3"/>
      <c r="CP746" s="1461">
        <f t="shared" si="18"/>
        <v>0</v>
      </c>
      <c r="CQ746" s="1462"/>
      <c r="CR746" s="1462"/>
      <c r="CS746" s="1462"/>
      <c r="CT746" s="1463"/>
      <c r="CU746" s="1454">
        <f t="shared" si="19"/>
        <v>0</v>
      </c>
      <c r="CV746" s="1454"/>
      <c r="CW746" s="1454"/>
      <c r="CX746" s="1454"/>
      <c r="CY746" s="1454"/>
      <c r="CZ746" s="1454">
        <f t="shared" si="20"/>
        <v>0</v>
      </c>
      <c r="DA746" s="1454"/>
      <c r="DB746" s="1454"/>
      <c r="DC746" s="1454"/>
      <c r="DD746" s="1454"/>
      <c r="DE746" s="1454">
        <f t="shared" si="21"/>
        <v>0</v>
      </c>
      <c r="DF746" s="1454"/>
      <c r="DG746" s="1454"/>
      <c r="DH746" s="1454"/>
      <c r="DI746" s="1454"/>
      <c r="DJ746" s="1454">
        <f t="shared" si="22"/>
        <v>0</v>
      </c>
      <c r="DK746" s="1454"/>
      <c r="DL746" s="1454"/>
      <c r="DM746" s="1454"/>
      <c r="DN746" s="1454"/>
      <c r="DO746" s="1454">
        <f t="shared" si="23"/>
        <v>0</v>
      </c>
      <c r="DP746" s="1454"/>
      <c r="DQ746" s="1454"/>
      <c r="DR746" s="1454"/>
      <c r="DS746" s="1454"/>
      <c r="DT746" s="6"/>
      <c r="DU746" s="1456">
        <f t="shared" si="24"/>
        <v>0</v>
      </c>
      <c r="DV746" s="1456"/>
      <c r="DW746" s="1456"/>
      <c r="DX746" s="1456"/>
      <c r="DY746" s="1456"/>
      <c r="DZ746" s="1456">
        <f t="shared" si="25"/>
        <v>0</v>
      </c>
      <c r="EA746" s="1456"/>
      <c r="EB746" s="1456"/>
      <c r="EC746" s="1456"/>
      <c r="ED746" s="1456"/>
      <c r="EE746" s="1456">
        <f t="shared" si="26"/>
        <v>0</v>
      </c>
      <c r="EF746" s="1456"/>
      <c r="EG746" s="1456"/>
      <c r="EH746" s="1456"/>
      <c r="EI746" s="1456"/>
      <c r="EJ746" s="1456">
        <f t="shared" si="27"/>
        <v>0</v>
      </c>
      <c r="EK746" s="1456"/>
      <c r="EL746" s="1456"/>
      <c r="EM746" s="1456"/>
      <c r="EN746" s="1456"/>
      <c r="EO746" s="1456">
        <f t="shared" si="28"/>
        <v>0</v>
      </c>
      <c r="EP746" s="1456"/>
      <c r="EQ746" s="1456"/>
      <c r="ER746" s="1456"/>
      <c r="ES746" s="1456"/>
      <c r="ET746" s="1456">
        <f t="shared" si="29"/>
        <v>0</v>
      </c>
      <c r="EU746" s="1456"/>
      <c r="EV746" s="1456"/>
      <c r="EW746" s="1456"/>
      <c r="EX746" s="1456"/>
      <c r="EZ746" s="1464" t="str">
        <f t="shared" si="30"/>
        <v/>
      </c>
      <c r="FA746" s="1465"/>
      <c r="FB746" s="1465"/>
      <c r="FC746" s="1465"/>
      <c r="FD746" s="1466"/>
      <c r="FE746" s="1464" t="str">
        <f t="shared" si="31"/>
        <v/>
      </c>
      <c r="FF746" s="1465"/>
      <c r="FG746" s="1465"/>
      <c r="FH746" s="1465"/>
      <c r="FI746" s="1466"/>
      <c r="FJ746" s="1464" t="str">
        <f t="shared" si="32"/>
        <v/>
      </c>
      <c r="FK746" s="1465"/>
      <c r="FL746" s="1465"/>
      <c r="FM746" s="1465"/>
      <c r="FN746" s="1466"/>
      <c r="FO746" s="1464" t="str">
        <f t="shared" si="33"/>
        <v/>
      </c>
      <c r="FP746" s="1465"/>
      <c r="FQ746" s="1465"/>
      <c r="FR746" s="1465"/>
      <c r="FS746" s="1466"/>
      <c r="FT746" s="1464" t="str">
        <f t="shared" si="34"/>
        <v/>
      </c>
      <c r="FU746" s="1465"/>
      <c r="FV746" s="1465"/>
      <c r="FW746" s="1465"/>
      <c r="FX746" s="1466"/>
      <c r="FY746" s="1464" t="str">
        <f t="shared" si="35"/>
        <v/>
      </c>
      <c r="FZ746" s="1465"/>
      <c r="GA746" s="1465"/>
      <c r="GB746" s="1465"/>
      <c r="GC746" s="1466"/>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6"/>
      <c r="CI747" s="1459">
        <f t="shared" si="38"/>
        <v>0</v>
      </c>
      <c r="CJ747" s="1460"/>
      <c r="CK747" s="1464">
        <f t="shared" si="16"/>
        <v>0</v>
      </c>
      <c r="CL747" s="1466"/>
      <c r="CM747" s="1459">
        <f t="shared" si="17"/>
        <v>0</v>
      </c>
      <c r="CN747" s="1460"/>
      <c r="CO747" s="3"/>
      <c r="CP747" s="1461">
        <f t="shared" si="18"/>
        <v>0</v>
      </c>
      <c r="CQ747" s="1462"/>
      <c r="CR747" s="1462"/>
      <c r="CS747" s="1462"/>
      <c r="CT747" s="1463"/>
      <c r="CU747" s="1454">
        <f t="shared" si="19"/>
        <v>0</v>
      </c>
      <c r="CV747" s="1454"/>
      <c r="CW747" s="1454"/>
      <c r="CX747" s="1454"/>
      <c r="CY747" s="1454"/>
      <c r="CZ747" s="1454">
        <f t="shared" si="20"/>
        <v>0</v>
      </c>
      <c r="DA747" s="1454"/>
      <c r="DB747" s="1454"/>
      <c r="DC747" s="1454"/>
      <c r="DD747" s="1454"/>
      <c r="DE747" s="1454">
        <f t="shared" si="21"/>
        <v>0</v>
      </c>
      <c r="DF747" s="1454"/>
      <c r="DG747" s="1454"/>
      <c r="DH747" s="1454"/>
      <c r="DI747" s="1454"/>
      <c r="DJ747" s="1454">
        <f t="shared" si="22"/>
        <v>0</v>
      </c>
      <c r="DK747" s="1454"/>
      <c r="DL747" s="1454"/>
      <c r="DM747" s="1454"/>
      <c r="DN747" s="1454"/>
      <c r="DO747" s="1454">
        <f t="shared" si="23"/>
        <v>0</v>
      </c>
      <c r="DP747" s="1454"/>
      <c r="DQ747" s="1454"/>
      <c r="DR747" s="1454"/>
      <c r="DS747" s="1454"/>
      <c r="DT747" s="6"/>
      <c r="DU747" s="1456">
        <f t="shared" si="24"/>
        <v>0</v>
      </c>
      <c r="DV747" s="1456"/>
      <c r="DW747" s="1456"/>
      <c r="DX747" s="1456"/>
      <c r="DY747" s="1456"/>
      <c r="DZ747" s="1456">
        <f t="shared" si="25"/>
        <v>0</v>
      </c>
      <c r="EA747" s="1456"/>
      <c r="EB747" s="1456"/>
      <c r="EC747" s="1456"/>
      <c r="ED747" s="1456"/>
      <c r="EE747" s="1456">
        <f t="shared" si="26"/>
        <v>0</v>
      </c>
      <c r="EF747" s="1456"/>
      <c r="EG747" s="1456"/>
      <c r="EH747" s="1456"/>
      <c r="EI747" s="1456"/>
      <c r="EJ747" s="1456">
        <f t="shared" si="27"/>
        <v>0</v>
      </c>
      <c r="EK747" s="1456"/>
      <c r="EL747" s="1456"/>
      <c r="EM747" s="1456"/>
      <c r="EN747" s="1456"/>
      <c r="EO747" s="1456">
        <f t="shared" si="28"/>
        <v>0</v>
      </c>
      <c r="EP747" s="1456"/>
      <c r="EQ747" s="1456"/>
      <c r="ER747" s="1456"/>
      <c r="ES747" s="1456"/>
      <c r="ET747" s="1456">
        <f t="shared" si="29"/>
        <v>0</v>
      </c>
      <c r="EU747" s="1456"/>
      <c r="EV747" s="1456"/>
      <c r="EW747" s="1456"/>
      <c r="EX747" s="1456"/>
      <c r="EZ747" s="1464" t="str">
        <f t="shared" si="30"/>
        <v/>
      </c>
      <c r="FA747" s="1465"/>
      <c r="FB747" s="1465"/>
      <c r="FC747" s="1465"/>
      <c r="FD747" s="1466"/>
      <c r="FE747" s="1464" t="str">
        <f t="shared" si="31"/>
        <v/>
      </c>
      <c r="FF747" s="1465"/>
      <c r="FG747" s="1465"/>
      <c r="FH747" s="1465"/>
      <c r="FI747" s="1466"/>
      <c r="FJ747" s="1464" t="str">
        <f t="shared" si="32"/>
        <v/>
      </c>
      <c r="FK747" s="1465"/>
      <c r="FL747" s="1465"/>
      <c r="FM747" s="1465"/>
      <c r="FN747" s="1466"/>
      <c r="FO747" s="1464" t="str">
        <f t="shared" si="33"/>
        <v/>
      </c>
      <c r="FP747" s="1465"/>
      <c r="FQ747" s="1465"/>
      <c r="FR747" s="1465"/>
      <c r="FS747" s="1466"/>
      <c r="FT747" s="1464" t="str">
        <f t="shared" si="34"/>
        <v/>
      </c>
      <c r="FU747" s="1465"/>
      <c r="FV747" s="1465"/>
      <c r="FW747" s="1465"/>
      <c r="FX747" s="1466"/>
      <c r="FY747" s="1464" t="str">
        <f t="shared" si="35"/>
        <v/>
      </c>
      <c r="FZ747" s="1465"/>
      <c r="GA747" s="1465"/>
      <c r="GB747" s="1465"/>
      <c r="GC747" s="1466"/>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6"/>
      <c r="CI748" s="1459">
        <f t="shared" si="38"/>
        <v>0</v>
      </c>
      <c r="CJ748" s="1460"/>
      <c r="CK748" s="1464">
        <f t="shared" si="16"/>
        <v>0</v>
      </c>
      <c r="CL748" s="1466"/>
      <c r="CM748" s="1459">
        <f t="shared" si="17"/>
        <v>0</v>
      </c>
      <c r="CN748" s="1460"/>
      <c r="CP748" s="1461">
        <f t="shared" si="18"/>
        <v>0</v>
      </c>
      <c r="CQ748" s="1462"/>
      <c r="CR748" s="1462"/>
      <c r="CS748" s="1462"/>
      <c r="CT748" s="1463"/>
      <c r="CU748" s="1454">
        <f t="shared" si="19"/>
        <v>0</v>
      </c>
      <c r="CV748" s="1454"/>
      <c r="CW748" s="1454"/>
      <c r="CX748" s="1454"/>
      <c r="CY748" s="1454"/>
      <c r="CZ748" s="1454">
        <f t="shared" si="20"/>
        <v>0</v>
      </c>
      <c r="DA748" s="1454"/>
      <c r="DB748" s="1454"/>
      <c r="DC748" s="1454"/>
      <c r="DD748" s="1454"/>
      <c r="DE748" s="1454">
        <f t="shared" si="21"/>
        <v>0</v>
      </c>
      <c r="DF748" s="1454"/>
      <c r="DG748" s="1454"/>
      <c r="DH748" s="1454"/>
      <c r="DI748" s="1454"/>
      <c r="DJ748" s="1454">
        <f t="shared" si="22"/>
        <v>0</v>
      </c>
      <c r="DK748" s="1454"/>
      <c r="DL748" s="1454"/>
      <c r="DM748" s="1454"/>
      <c r="DN748" s="1454"/>
      <c r="DO748" s="1454">
        <f t="shared" si="23"/>
        <v>0</v>
      </c>
      <c r="DP748" s="1454"/>
      <c r="DQ748" s="1454"/>
      <c r="DR748" s="1454"/>
      <c r="DS748" s="1454"/>
      <c r="DT748" s="6"/>
      <c r="DU748" s="1456">
        <f t="shared" si="24"/>
        <v>0</v>
      </c>
      <c r="DV748" s="1456"/>
      <c r="DW748" s="1456"/>
      <c r="DX748" s="1456"/>
      <c r="DY748" s="1456"/>
      <c r="DZ748" s="1456">
        <f t="shared" si="25"/>
        <v>0</v>
      </c>
      <c r="EA748" s="1456"/>
      <c r="EB748" s="1456"/>
      <c r="EC748" s="1456"/>
      <c r="ED748" s="1456"/>
      <c r="EE748" s="1456">
        <f t="shared" si="26"/>
        <v>0</v>
      </c>
      <c r="EF748" s="1456"/>
      <c r="EG748" s="1456"/>
      <c r="EH748" s="1456"/>
      <c r="EI748" s="1456"/>
      <c r="EJ748" s="1456">
        <f t="shared" si="27"/>
        <v>0</v>
      </c>
      <c r="EK748" s="1456"/>
      <c r="EL748" s="1456"/>
      <c r="EM748" s="1456"/>
      <c r="EN748" s="1456"/>
      <c r="EO748" s="1456">
        <f t="shared" si="28"/>
        <v>0</v>
      </c>
      <c r="EP748" s="1456"/>
      <c r="EQ748" s="1456"/>
      <c r="ER748" s="1456"/>
      <c r="ES748" s="1456"/>
      <c r="ET748" s="1456">
        <f t="shared" si="29"/>
        <v>0</v>
      </c>
      <c r="EU748" s="1456"/>
      <c r="EV748" s="1456"/>
      <c r="EW748" s="1456"/>
      <c r="EX748" s="1456"/>
      <c r="EY748"/>
      <c r="EZ748" s="1464" t="str">
        <f t="shared" si="30"/>
        <v/>
      </c>
      <c r="FA748" s="1465"/>
      <c r="FB748" s="1465"/>
      <c r="FC748" s="1465"/>
      <c r="FD748" s="1466"/>
      <c r="FE748" s="1464" t="str">
        <f t="shared" si="31"/>
        <v/>
      </c>
      <c r="FF748" s="1465"/>
      <c r="FG748" s="1465"/>
      <c r="FH748" s="1465"/>
      <c r="FI748" s="1466"/>
      <c r="FJ748" s="1464" t="str">
        <f t="shared" si="32"/>
        <v/>
      </c>
      <c r="FK748" s="1465"/>
      <c r="FL748" s="1465"/>
      <c r="FM748" s="1465"/>
      <c r="FN748" s="1466"/>
      <c r="FO748" s="1464" t="str">
        <f t="shared" si="33"/>
        <v/>
      </c>
      <c r="FP748" s="1465"/>
      <c r="FQ748" s="1465"/>
      <c r="FR748" s="1465"/>
      <c r="FS748" s="1466"/>
      <c r="FT748" s="1464" t="str">
        <f t="shared" si="34"/>
        <v/>
      </c>
      <c r="FU748" s="1465"/>
      <c r="FV748" s="1465"/>
      <c r="FW748" s="1465"/>
      <c r="FX748" s="1466"/>
      <c r="FY748" s="1464" t="str">
        <f t="shared" si="35"/>
        <v/>
      </c>
      <c r="FZ748" s="1465"/>
      <c r="GA748" s="1465"/>
      <c r="GB748" s="1465"/>
      <c r="GC748" s="1466"/>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6"/>
      <c r="CI749" s="1459">
        <f t="shared" si="38"/>
        <v>0</v>
      </c>
      <c r="CJ749" s="1460"/>
      <c r="CK749" s="1464">
        <f t="shared" si="16"/>
        <v>0</v>
      </c>
      <c r="CL749" s="1466"/>
      <c r="CM749" s="1459">
        <f t="shared" si="17"/>
        <v>0</v>
      </c>
      <c r="CN749" s="1460"/>
      <c r="CP749" s="1461">
        <f t="shared" si="18"/>
        <v>0</v>
      </c>
      <c r="CQ749" s="1462"/>
      <c r="CR749" s="1462"/>
      <c r="CS749" s="1462"/>
      <c r="CT749" s="1463"/>
      <c r="CU749" s="1454">
        <f t="shared" si="19"/>
        <v>0</v>
      </c>
      <c r="CV749" s="1454"/>
      <c r="CW749" s="1454"/>
      <c r="CX749" s="1454"/>
      <c r="CY749" s="1454"/>
      <c r="CZ749" s="1454">
        <f t="shared" si="20"/>
        <v>0</v>
      </c>
      <c r="DA749" s="1454"/>
      <c r="DB749" s="1454"/>
      <c r="DC749" s="1454"/>
      <c r="DD749" s="1454"/>
      <c r="DE749" s="1454">
        <f t="shared" si="21"/>
        <v>0</v>
      </c>
      <c r="DF749" s="1454"/>
      <c r="DG749" s="1454"/>
      <c r="DH749" s="1454"/>
      <c r="DI749" s="1454"/>
      <c r="DJ749" s="1454">
        <f t="shared" si="22"/>
        <v>0</v>
      </c>
      <c r="DK749" s="1454"/>
      <c r="DL749" s="1454"/>
      <c r="DM749" s="1454"/>
      <c r="DN749" s="1454"/>
      <c r="DO749" s="1454">
        <f t="shared" si="23"/>
        <v>0</v>
      </c>
      <c r="DP749" s="1454"/>
      <c r="DQ749" s="1454"/>
      <c r="DR749" s="1454"/>
      <c r="DS749" s="1454"/>
      <c r="DT749" s="6"/>
      <c r="DU749" s="1456">
        <f t="shared" si="24"/>
        <v>0</v>
      </c>
      <c r="DV749" s="1456"/>
      <c r="DW749" s="1456"/>
      <c r="DX749" s="1456"/>
      <c r="DY749" s="1456"/>
      <c r="DZ749" s="1456">
        <f t="shared" si="25"/>
        <v>0</v>
      </c>
      <c r="EA749" s="1456"/>
      <c r="EB749" s="1456"/>
      <c r="EC749" s="1456"/>
      <c r="ED749" s="1456"/>
      <c r="EE749" s="1456">
        <f t="shared" si="26"/>
        <v>0</v>
      </c>
      <c r="EF749" s="1456"/>
      <c r="EG749" s="1456"/>
      <c r="EH749" s="1456"/>
      <c r="EI749" s="1456"/>
      <c r="EJ749" s="1456">
        <f t="shared" si="27"/>
        <v>0</v>
      </c>
      <c r="EK749" s="1456"/>
      <c r="EL749" s="1456"/>
      <c r="EM749" s="1456"/>
      <c r="EN749" s="1456"/>
      <c r="EO749" s="1456">
        <f t="shared" si="28"/>
        <v>0</v>
      </c>
      <c r="EP749" s="1456"/>
      <c r="EQ749" s="1456"/>
      <c r="ER749" s="1456"/>
      <c r="ES749" s="1456"/>
      <c r="ET749" s="1456">
        <f t="shared" si="29"/>
        <v>0</v>
      </c>
      <c r="EU749" s="1456"/>
      <c r="EV749" s="1456"/>
      <c r="EW749" s="1456"/>
      <c r="EX749" s="1456"/>
      <c r="EY749"/>
      <c r="EZ749" s="1464" t="str">
        <f t="shared" si="30"/>
        <v/>
      </c>
      <c r="FA749" s="1465"/>
      <c r="FB749" s="1465"/>
      <c r="FC749" s="1465"/>
      <c r="FD749" s="1466"/>
      <c r="FE749" s="1464" t="str">
        <f t="shared" si="31"/>
        <v/>
      </c>
      <c r="FF749" s="1465"/>
      <c r="FG749" s="1465"/>
      <c r="FH749" s="1465"/>
      <c r="FI749" s="1466"/>
      <c r="FJ749" s="1464" t="str">
        <f t="shared" si="32"/>
        <v/>
      </c>
      <c r="FK749" s="1465"/>
      <c r="FL749" s="1465"/>
      <c r="FM749" s="1465"/>
      <c r="FN749" s="1466"/>
      <c r="FO749" s="1464" t="str">
        <f t="shared" si="33"/>
        <v/>
      </c>
      <c r="FP749" s="1465"/>
      <c r="FQ749" s="1465"/>
      <c r="FR749" s="1465"/>
      <c r="FS749" s="1466"/>
      <c r="FT749" s="1464" t="str">
        <f t="shared" si="34"/>
        <v/>
      </c>
      <c r="FU749" s="1465"/>
      <c r="FV749" s="1465"/>
      <c r="FW749" s="1465"/>
      <c r="FX749" s="1466"/>
      <c r="FY749" s="1464" t="str">
        <f t="shared" si="35"/>
        <v/>
      </c>
      <c r="FZ749" s="1465"/>
      <c r="GA749" s="1465"/>
      <c r="GB749" s="1465"/>
      <c r="GC749" s="1466"/>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6"/>
      <c r="CI750" s="1459">
        <f t="shared" si="38"/>
        <v>0</v>
      </c>
      <c r="CJ750" s="1460"/>
      <c r="CK750" s="1464">
        <f t="shared" si="16"/>
        <v>0</v>
      </c>
      <c r="CL750" s="1466"/>
      <c r="CM750" s="1459">
        <f t="shared" si="17"/>
        <v>0</v>
      </c>
      <c r="CN750" s="1460"/>
      <c r="CP750" s="1461">
        <f t="shared" si="18"/>
        <v>0</v>
      </c>
      <c r="CQ750" s="1462"/>
      <c r="CR750" s="1462"/>
      <c r="CS750" s="1462"/>
      <c r="CT750" s="1463"/>
      <c r="CU750" s="1454">
        <f t="shared" si="19"/>
        <v>0</v>
      </c>
      <c r="CV750" s="1454"/>
      <c r="CW750" s="1454"/>
      <c r="CX750" s="1454"/>
      <c r="CY750" s="1454"/>
      <c r="CZ750" s="1454">
        <f t="shared" si="20"/>
        <v>0</v>
      </c>
      <c r="DA750" s="1454"/>
      <c r="DB750" s="1454"/>
      <c r="DC750" s="1454"/>
      <c r="DD750" s="1454"/>
      <c r="DE750" s="1454">
        <f t="shared" si="21"/>
        <v>0</v>
      </c>
      <c r="DF750" s="1454"/>
      <c r="DG750" s="1454"/>
      <c r="DH750" s="1454"/>
      <c r="DI750" s="1454"/>
      <c r="DJ750" s="1454">
        <f t="shared" si="22"/>
        <v>0</v>
      </c>
      <c r="DK750" s="1454"/>
      <c r="DL750" s="1454"/>
      <c r="DM750" s="1454"/>
      <c r="DN750" s="1454"/>
      <c r="DO750" s="1454">
        <f t="shared" si="23"/>
        <v>0</v>
      </c>
      <c r="DP750" s="1454"/>
      <c r="DQ750" s="1454"/>
      <c r="DR750" s="1454"/>
      <c r="DS750" s="1454"/>
      <c r="DT750" s="6"/>
      <c r="DU750" s="1456">
        <f t="shared" si="24"/>
        <v>0</v>
      </c>
      <c r="DV750" s="1456"/>
      <c r="DW750" s="1456"/>
      <c r="DX750" s="1456"/>
      <c r="DY750" s="1456"/>
      <c r="DZ750" s="1456">
        <f t="shared" si="25"/>
        <v>0</v>
      </c>
      <c r="EA750" s="1456"/>
      <c r="EB750" s="1456"/>
      <c r="EC750" s="1456"/>
      <c r="ED750" s="1456"/>
      <c r="EE750" s="1456">
        <f t="shared" si="26"/>
        <v>0</v>
      </c>
      <c r="EF750" s="1456"/>
      <c r="EG750" s="1456"/>
      <c r="EH750" s="1456"/>
      <c r="EI750" s="1456"/>
      <c r="EJ750" s="1456">
        <f t="shared" si="27"/>
        <v>0</v>
      </c>
      <c r="EK750" s="1456"/>
      <c r="EL750" s="1456"/>
      <c r="EM750" s="1456"/>
      <c r="EN750" s="1456"/>
      <c r="EO750" s="1456">
        <f t="shared" si="28"/>
        <v>0</v>
      </c>
      <c r="EP750" s="1456"/>
      <c r="EQ750" s="1456"/>
      <c r="ER750" s="1456"/>
      <c r="ES750" s="1456"/>
      <c r="ET750" s="1456">
        <f t="shared" si="29"/>
        <v>0</v>
      </c>
      <c r="EU750" s="1456"/>
      <c r="EV750" s="1456"/>
      <c r="EW750" s="1456"/>
      <c r="EX750" s="1456"/>
      <c r="EY750"/>
      <c r="EZ750" s="1464" t="str">
        <f t="shared" si="30"/>
        <v/>
      </c>
      <c r="FA750" s="1465"/>
      <c r="FB750" s="1465"/>
      <c r="FC750" s="1465"/>
      <c r="FD750" s="1466"/>
      <c r="FE750" s="1464" t="str">
        <f t="shared" si="31"/>
        <v/>
      </c>
      <c r="FF750" s="1465"/>
      <c r="FG750" s="1465"/>
      <c r="FH750" s="1465"/>
      <c r="FI750" s="1466"/>
      <c r="FJ750" s="1464" t="str">
        <f t="shared" si="32"/>
        <v/>
      </c>
      <c r="FK750" s="1465"/>
      <c r="FL750" s="1465"/>
      <c r="FM750" s="1465"/>
      <c r="FN750" s="1466"/>
      <c r="FO750" s="1464" t="str">
        <f t="shared" si="33"/>
        <v/>
      </c>
      <c r="FP750" s="1465"/>
      <c r="FQ750" s="1465"/>
      <c r="FR750" s="1465"/>
      <c r="FS750" s="1466"/>
      <c r="FT750" s="1464" t="str">
        <f t="shared" si="34"/>
        <v/>
      </c>
      <c r="FU750" s="1465"/>
      <c r="FV750" s="1465"/>
      <c r="FW750" s="1465"/>
      <c r="FX750" s="1466"/>
      <c r="FY750" s="1464" t="str">
        <f t="shared" si="35"/>
        <v/>
      </c>
      <c r="FZ750" s="1465"/>
      <c r="GA750" s="1465"/>
      <c r="GB750" s="1465"/>
      <c r="GC750" s="1466"/>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6"/>
      <c r="CI751" s="1459">
        <f t="shared" si="38"/>
        <v>0</v>
      </c>
      <c r="CJ751" s="1460"/>
      <c r="CK751" s="1464">
        <f t="shared" si="16"/>
        <v>0</v>
      </c>
      <c r="CL751" s="1466"/>
      <c r="CM751" s="1459">
        <f t="shared" si="17"/>
        <v>0</v>
      </c>
      <c r="CN751" s="1460"/>
      <c r="CP751" s="1461">
        <f t="shared" si="18"/>
        <v>0</v>
      </c>
      <c r="CQ751" s="1462"/>
      <c r="CR751" s="1462"/>
      <c r="CS751" s="1462"/>
      <c r="CT751" s="1463"/>
      <c r="CU751" s="1454">
        <f t="shared" si="19"/>
        <v>0</v>
      </c>
      <c r="CV751" s="1454"/>
      <c r="CW751" s="1454"/>
      <c r="CX751" s="1454"/>
      <c r="CY751" s="1454"/>
      <c r="CZ751" s="1454">
        <f t="shared" si="20"/>
        <v>0</v>
      </c>
      <c r="DA751" s="1454"/>
      <c r="DB751" s="1454"/>
      <c r="DC751" s="1454"/>
      <c r="DD751" s="1454"/>
      <c r="DE751" s="1454">
        <f t="shared" si="21"/>
        <v>0</v>
      </c>
      <c r="DF751" s="1454"/>
      <c r="DG751" s="1454"/>
      <c r="DH751" s="1454"/>
      <c r="DI751" s="1454"/>
      <c r="DJ751" s="1454">
        <f t="shared" si="22"/>
        <v>0</v>
      </c>
      <c r="DK751" s="1454"/>
      <c r="DL751" s="1454"/>
      <c r="DM751" s="1454"/>
      <c r="DN751" s="1454"/>
      <c r="DO751" s="1454">
        <f t="shared" si="23"/>
        <v>0</v>
      </c>
      <c r="DP751" s="1454"/>
      <c r="DQ751" s="1454"/>
      <c r="DR751" s="1454"/>
      <c r="DS751" s="1454"/>
      <c r="DT751" s="6"/>
      <c r="DU751" s="1456">
        <f t="shared" si="24"/>
        <v>0</v>
      </c>
      <c r="DV751" s="1456"/>
      <c r="DW751" s="1456"/>
      <c r="DX751" s="1456"/>
      <c r="DY751" s="1456"/>
      <c r="DZ751" s="1456">
        <f t="shared" si="25"/>
        <v>0</v>
      </c>
      <c r="EA751" s="1456"/>
      <c r="EB751" s="1456"/>
      <c r="EC751" s="1456"/>
      <c r="ED751" s="1456"/>
      <c r="EE751" s="1456">
        <f t="shared" si="26"/>
        <v>0</v>
      </c>
      <c r="EF751" s="1456"/>
      <c r="EG751" s="1456"/>
      <c r="EH751" s="1456"/>
      <c r="EI751" s="1456"/>
      <c r="EJ751" s="1456">
        <f t="shared" si="27"/>
        <v>0</v>
      </c>
      <c r="EK751" s="1456"/>
      <c r="EL751" s="1456"/>
      <c r="EM751" s="1456"/>
      <c r="EN751" s="1456"/>
      <c r="EO751" s="1456">
        <f t="shared" si="28"/>
        <v>0</v>
      </c>
      <c r="EP751" s="1456"/>
      <c r="EQ751" s="1456"/>
      <c r="ER751" s="1456"/>
      <c r="ES751" s="1456"/>
      <c r="ET751" s="1456">
        <f t="shared" si="29"/>
        <v>0</v>
      </c>
      <c r="EU751" s="1456"/>
      <c r="EV751" s="1456"/>
      <c r="EW751" s="1456"/>
      <c r="EX751" s="1456"/>
      <c r="EY751"/>
      <c r="EZ751" s="1464" t="str">
        <f t="shared" si="30"/>
        <v/>
      </c>
      <c r="FA751" s="1465"/>
      <c r="FB751" s="1465"/>
      <c r="FC751" s="1465"/>
      <c r="FD751" s="1466"/>
      <c r="FE751" s="1464" t="str">
        <f t="shared" si="31"/>
        <v/>
      </c>
      <c r="FF751" s="1465"/>
      <c r="FG751" s="1465"/>
      <c r="FH751" s="1465"/>
      <c r="FI751" s="1466"/>
      <c r="FJ751" s="1464" t="str">
        <f t="shared" si="32"/>
        <v/>
      </c>
      <c r="FK751" s="1465"/>
      <c r="FL751" s="1465"/>
      <c r="FM751" s="1465"/>
      <c r="FN751" s="1466"/>
      <c r="FO751" s="1464" t="str">
        <f t="shared" si="33"/>
        <v/>
      </c>
      <c r="FP751" s="1465"/>
      <c r="FQ751" s="1465"/>
      <c r="FR751" s="1465"/>
      <c r="FS751" s="1466"/>
      <c r="FT751" s="1464" t="str">
        <f t="shared" si="34"/>
        <v/>
      </c>
      <c r="FU751" s="1465"/>
      <c r="FV751" s="1465"/>
      <c r="FW751" s="1465"/>
      <c r="FX751" s="1466"/>
      <c r="FY751" s="1464" t="str">
        <f t="shared" si="35"/>
        <v/>
      </c>
      <c r="FZ751" s="1465"/>
      <c r="GA751" s="1465"/>
      <c r="GB751" s="1465"/>
      <c r="GC751" s="1466"/>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6"/>
      <c r="CI752" s="1459">
        <f t="shared" si="38"/>
        <v>0</v>
      </c>
      <c r="CJ752" s="1460"/>
      <c r="CK752" s="1464">
        <f t="shared" si="16"/>
        <v>0</v>
      </c>
      <c r="CL752" s="1466"/>
      <c r="CM752" s="1459">
        <f t="shared" si="17"/>
        <v>0</v>
      </c>
      <c r="CN752" s="1460"/>
      <c r="CP752" s="1461">
        <f t="shared" si="18"/>
        <v>0</v>
      </c>
      <c r="CQ752" s="1462"/>
      <c r="CR752" s="1462"/>
      <c r="CS752" s="1462"/>
      <c r="CT752" s="1463"/>
      <c r="CU752" s="1454">
        <f t="shared" si="19"/>
        <v>0</v>
      </c>
      <c r="CV752" s="1454"/>
      <c r="CW752" s="1454"/>
      <c r="CX752" s="1454"/>
      <c r="CY752" s="1454"/>
      <c r="CZ752" s="1454">
        <f t="shared" si="20"/>
        <v>0</v>
      </c>
      <c r="DA752" s="1454"/>
      <c r="DB752" s="1454"/>
      <c r="DC752" s="1454"/>
      <c r="DD752" s="1454"/>
      <c r="DE752" s="1454">
        <f t="shared" si="21"/>
        <v>0</v>
      </c>
      <c r="DF752" s="1454"/>
      <c r="DG752" s="1454"/>
      <c r="DH752" s="1454"/>
      <c r="DI752" s="1454"/>
      <c r="DJ752" s="1454">
        <f t="shared" si="22"/>
        <v>0</v>
      </c>
      <c r="DK752" s="1454"/>
      <c r="DL752" s="1454"/>
      <c r="DM752" s="1454"/>
      <c r="DN752" s="1454"/>
      <c r="DO752" s="1454">
        <f t="shared" si="23"/>
        <v>0</v>
      </c>
      <c r="DP752" s="1454"/>
      <c r="DQ752" s="1454"/>
      <c r="DR752" s="1454"/>
      <c r="DS752" s="1454"/>
      <c r="DT752" s="6"/>
      <c r="DU752" s="1456">
        <f t="shared" si="24"/>
        <v>0</v>
      </c>
      <c r="DV752" s="1456"/>
      <c r="DW752" s="1456"/>
      <c r="DX752" s="1456"/>
      <c r="DY752" s="1456"/>
      <c r="DZ752" s="1456">
        <f t="shared" si="25"/>
        <v>0</v>
      </c>
      <c r="EA752" s="1456"/>
      <c r="EB752" s="1456"/>
      <c r="EC752" s="1456"/>
      <c r="ED752" s="1456"/>
      <c r="EE752" s="1456">
        <f t="shared" si="26"/>
        <v>0</v>
      </c>
      <c r="EF752" s="1456"/>
      <c r="EG752" s="1456"/>
      <c r="EH752" s="1456"/>
      <c r="EI752" s="1456"/>
      <c r="EJ752" s="1456">
        <f t="shared" si="27"/>
        <v>0</v>
      </c>
      <c r="EK752" s="1456"/>
      <c r="EL752" s="1456"/>
      <c r="EM752" s="1456"/>
      <c r="EN752" s="1456"/>
      <c r="EO752" s="1456">
        <f t="shared" si="28"/>
        <v>0</v>
      </c>
      <c r="EP752" s="1456"/>
      <c r="EQ752" s="1456"/>
      <c r="ER752" s="1456"/>
      <c r="ES752" s="1456"/>
      <c r="ET752" s="1456">
        <f t="shared" si="29"/>
        <v>0</v>
      </c>
      <c r="EU752" s="1456"/>
      <c r="EV752" s="1456"/>
      <c r="EW752" s="1456"/>
      <c r="EX752" s="1456"/>
      <c r="EY752"/>
      <c r="EZ752" s="1464" t="str">
        <f t="shared" si="30"/>
        <v/>
      </c>
      <c r="FA752" s="1465"/>
      <c r="FB752" s="1465"/>
      <c r="FC752" s="1465"/>
      <c r="FD752" s="1466"/>
      <c r="FE752" s="1464" t="str">
        <f t="shared" si="31"/>
        <v/>
      </c>
      <c r="FF752" s="1465"/>
      <c r="FG752" s="1465"/>
      <c r="FH752" s="1465"/>
      <c r="FI752" s="1466"/>
      <c r="FJ752" s="1464" t="str">
        <f t="shared" si="32"/>
        <v/>
      </c>
      <c r="FK752" s="1465"/>
      <c r="FL752" s="1465"/>
      <c r="FM752" s="1465"/>
      <c r="FN752" s="1466"/>
      <c r="FO752" s="1464" t="str">
        <f t="shared" si="33"/>
        <v/>
      </c>
      <c r="FP752" s="1465"/>
      <c r="FQ752" s="1465"/>
      <c r="FR752" s="1465"/>
      <c r="FS752" s="1466"/>
      <c r="FT752" s="1464" t="str">
        <f t="shared" si="34"/>
        <v/>
      </c>
      <c r="FU752" s="1465"/>
      <c r="FV752" s="1465"/>
      <c r="FW752" s="1465"/>
      <c r="FX752" s="1466"/>
      <c r="FY752" s="1464" t="str">
        <f t="shared" si="35"/>
        <v/>
      </c>
      <c r="FZ752" s="1465"/>
      <c r="GA752" s="1465"/>
      <c r="GB752" s="1465"/>
      <c r="GC752" s="1466"/>
    </row>
    <row r="753" spans="1:185" s="3" customFormat="1" ht="12.95" customHeight="1">
      <c r="A753"/>
      <c r="B753" s="1641" t="s">
        <v>125</v>
      </c>
      <c r="C753" s="1642"/>
      <c r="D753" s="1642"/>
      <c r="E753" s="1642"/>
      <c r="F753" s="1643"/>
      <c r="G753" s="1609">
        <f>SUM(G718:G752)</f>
        <v>104</v>
      </c>
      <c r="H753" s="1610"/>
      <c r="I753" s="1610"/>
      <c r="J753" s="1611"/>
      <c r="K753" s="902" t="s">
        <v>124</v>
      </c>
      <c r="L753" s="5"/>
      <c r="M753" s="5"/>
      <c r="N753" s="46"/>
      <c r="O753" s="1352">
        <f>SUMPRODUCT(G718:G752,O718:O752)</f>
        <v>207152.5</v>
      </c>
      <c r="P753" s="1353"/>
      <c r="Q753" s="1353"/>
      <c r="R753" s="1353"/>
      <c r="S753" s="1354"/>
      <c r="T753"/>
      <c r="U753"/>
      <c r="V753"/>
      <c r="W753"/>
      <c r="X753" s="904" t="s">
        <v>901</v>
      </c>
      <c r="Y753" s="903"/>
      <c r="Z753" s="903"/>
      <c r="AA753" s="903"/>
      <c r="AB753" s="905"/>
      <c r="AC753" s="1593">
        <f>BH753</f>
        <v>0.60000000000000009</v>
      </c>
      <c r="AD753" s="1594"/>
      <c r="AE753" s="1594"/>
      <c r="AF753" s="1594"/>
      <c r="AG753" s="1595"/>
      <c r="AH753" s="1593">
        <f>IFERROR(BU753,"")</f>
        <v>0.60012340066711345</v>
      </c>
      <c r="AI753" s="1594"/>
      <c r="AJ753" s="1595"/>
      <c r="AK753"/>
      <c r="AL753"/>
      <c r="AM753"/>
      <c r="AN753"/>
      <c r="AO753"/>
      <c r="AP753" s="205"/>
      <c r="AQ753" s="205"/>
      <c r="AR753" s="205"/>
      <c r="AS753" s="205"/>
      <c r="AT753"/>
      <c r="AU753"/>
      <c r="AV753"/>
      <c r="AW753"/>
      <c r="AX753"/>
      <c r="AY753"/>
      <c r="AZ753" s="34"/>
      <c r="BA753" s="34"/>
      <c r="BB753" s="34"/>
      <c r="BC753" s="34"/>
      <c r="BE753" s="290" t="s">
        <v>900</v>
      </c>
      <c r="BF753" s="299">
        <f>SUM(BF718:BF752)</f>
        <v>104</v>
      </c>
      <c r="BG753" s="300">
        <f>SUM(BG718:BG752)</f>
        <v>1</v>
      </c>
      <c r="BH753" s="300">
        <f>SUM(BH718:BH752)</f>
        <v>0.60000000000000009</v>
      </c>
      <c r="BI753"/>
      <c r="BJ753"/>
      <c r="BK753"/>
      <c r="BL753"/>
      <c r="BO753"/>
      <c r="BP753"/>
      <c r="BQ753"/>
      <c r="BR753"/>
      <c r="BS753" s="859">
        <f>SUM(BS718:BS752)</f>
        <v>104</v>
      </c>
      <c r="BT753" s="300">
        <f>SUM(BT718:BT752)</f>
        <v>1</v>
      </c>
      <c r="BU753" s="300">
        <f>SUM(BU718:BU752)</f>
        <v>0.60012340066711345</v>
      </c>
      <c r="CI753" s="1464">
        <f>SUM(CI718:CJ752)</f>
        <v>6</v>
      </c>
      <c r="CJ753" s="1466"/>
      <c r="CM753" s="1464">
        <f>SUM(CM718:CN752)</f>
        <v>38</v>
      </c>
      <c r="CN753" s="1466"/>
      <c r="CP753" s="1464">
        <f>SUM(CP718:CT752)</f>
        <v>0</v>
      </c>
      <c r="CQ753" s="1465"/>
      <c r="CR753" s="1465"/>
      <c r="CS753" s="1465"/>
      <c r="CT753" s="1466"/>
      <c r="CU753" s="1455">
        <f>SUM(CU718:CY752)</f>
        <v>45</v>
      </c>
      <c r="CV753" s="1455"/>
      <c r="CW753" s="1455"/>
      <c r="CX753" s="1455"/>
      <c r="CY753" s="1455"/>
      <c r="CZ753" s="1455">
        <f>SUM(CZ718:DD752)</f>
        <v>29</v>
      </c>
      <c r="DA753" s="1455"/>
      <c r="DB753" s="1455"/>
      <c r="DC753" s="1455"/>
      <c r="DD753" s="1455"/>
      <c r="DE753" s="1455">
        <f>SUM(DE718:DI752)</f>
        <v>30</v>
      </c>
      <c r="DF753" s="1455"/>
      <c r="DG753" s="1455"/>
      <c r="DH753" s="1455"/>
      <c r="DI753" s="1455"/>
      <c r="DJ753" s="1455">
        <f>SUM(DJ718:DN752)</f>
        <v>0</v>
      </c>
      <c r="DK753" s="1455"/>
      <c r="DL753" s="1455"/>
      <c r="DM753" s="1455"/>
      <c r="DN753" s="1455"/>
      <c r="DO753" s="1455">
        <f>SUM(DO718:DS752)</f>
        <v>0</v>
      </c>
      <c r="DP753" s="1455"/>
      <c r="DQ753" s="1455"/>
      <c r="DR753" s="1455"/>
      <c r="DS753" s="1455"/>
      <c r="DT753" s="354"/>
      <c r="DU753" s="1455">
        <f>SUM(DU718:DY752)</f>
        <v>0</v>
      </c>
      <c r="DV753" s="1455"/>
      <c r="DW753" s="1455"/>
      <c r="DX753" s="1455"/>
      <c r="DY753" s="1455"/>
      <c r="DZ753" s="1455">
        <f>SUM(DZ718:ED752)</f>
        <v>32</v>
      </c>
      <c r="EA753" s="1455"/>
      <c r="EB753" s="1455"/>
      <c r="EC753" s="1455"/>
      <c r="ED753" s="1455"/>
      <c r="EE753" s="1455">
        <f>SUM(EE718:EI752)</f>
        <v>3</v>
      </c>
      <c r="EF753" s="1455"/>
      <c r="EG753" s="1455"/>
      <c r="EH753" s="1455"/>
      <c r="EI753" s="1455"/>
      <c r="EJ753" s="1455">
        <f>SUM(EJ718:EN752)</f>
        <v>3</v>
      </c>
      <c r="EK753" s="1455"/>
      <c r="EL753" s="1455"/>
      <c r="EM753" s="1455"/>
      <c r="EN753" s="1455"/>
      <c r="EO753" s="1455">
        <f>SUM(EO718:ES752)</f>
        <v>0</v>
      </c>
      <c r="EP753" s="1455"/>
      <c r="EQ753" s="1455"/>
      <c r="ER753" s="1455"/>
      <c r="ES753" s="1455"/>
      <c r="ET753" s="1455">
        <f>SUM(ET718:EX752)</f>
        <v>0</v>
      </c>
      <c r="EU753" s="1455"/>
      <c r="EV753" s="1455"/>
      <c r="EW753" s="1455"/>
      <c r="EX753" s="1455"/>
      <c r="EY753"/>
      <c r="EZ753" s="1455">
        <f>SUM(EZ718:FD752)</f>
        <v>0</v>
      </c>
      <c r="FA753" s="1455"/>
      <c r="FB753" s="1455"/>
      <c r="FC753" s="1455"/>
      <c r="FD753" s="1455"/>
      <c r="FE753" s="1455">
        <f>SUM(FE718:FI752)</f>
        <v>3038</v>
      </c>
      <c r="FF753" s="1455"/>
      <c r="FG753" s="1455"/>
      <c r="FH753" s="1455"/>
      <c r="FI753" s="1455"/>
      <c r="FJ753" s="1455">
        <f>SUM(FJ718:FN752)</f>
        <v>5283.5</v>
      </c>
      <c r="FK753" s="1455"/>
      <c r="FL753" s="1455"/>
      <c r="FM753" s="1455"/>
      <c r="FN753" s="1455"/>
      <c r="FO753" s="1455">
        <f>SUM(FO718:FS752)</f>
        <v>6098</v>
      </c>
      <c r="FP753" s="1455"/>
      <c r="FQ753" s="1455"/>
      <c r="FR753" s="1455"/>
      <c r="FS753" s="1455"/>
      <c r="FT753" s="1455">
        <f>SUM(FT718:FX752)</f>
        <v>0</v>
      </c>
      <c r="FU753" s="1455"/>
      <c r="FV753" s="1455"/>
      <c r="FW753" s="1455"/>
      <c r="FX753" s="1455"/>
      <c r="FY753" s="1455">
        <f>SUM(FY718:GC752)</f>
        <v>0</v>
      </c>
      <c r="FZ753" s="1455"/>
      <c r="GA753" s="1455"/>
      <c r="GB753" s="1455"/>
      <c r="GC753" s="1455"/>
    </row>
    <row r="754" spans="1:185" s="3" customFormat="1" ht="12.95" customHeight="1">
      <c r="A754"/>
      <c r="B754" s="1608" t="s">
        <v>1894</v>
      </c>
      <c r="C754" s="1608"/>
      <c r="D754" s="1608"/>
      <c r="E754" s="1608"/>
      <c r="F754" s="1608"/>
      <c r="G754" s="1608"/>
      <c r="H754" s="1608"/>
      <c r="I754" s="1608"/>
      <c r="J754" s="1608"/>
      <c r="K754" s="1608"/>
      <c r="L754" s="1608"/>
      <c r="M754" s="1608"/>
      <c r="N754" s="1608"/>
      <c r="O754" s="1608"/>
      <c r="P754" s="1608"/>
      <c r="Q754" s="1608"/>
      <c r="R754" s="1608"/>
      <c r="S754" s="1608"/>
      <c r="T754" s="1608"/>
      <c r="U754" s="1608"/>
      <c r="V754" s="1608"/>
      <c r="W754" s="1608"/>
      <c r="X754" s="1608"/>
      <c r="Y754" s="1608"/>
      <c r="Z754" s="1608"/>
      <c r="AA754" s="1608"/>
      <c r="AB754" s="1608"/>
      <c r="AC754" s="1608"/>
      <c r="AD754" s="1608"/>
      <c r="AE754" s="1608"/>
      <c r="AF754" s="1608"/>
      <c r="AG754" s="1608"/>
      <c r="AH754" s="1608"/>
      <c r="AI754"/>
      <c r="AJ754"/>
      <c r="AK754"/>
      <c r="AT754"/>
      <c r="AU754"/>
      <c r="AV754"/>
      <c r="AW754"/>
      <c r="AX754"/>
      <c r="AY754"/>
      <c r="CD754"/>
      <c r="DN754" s="56" t="s">
        <v>1861</v>
      </c>
      <c r="DO754" s="1464">
        <f>CP753+CU753+CZ753+DE753+DJ753+DO753</f>
        <v>104</v>
      </c>
      <c r="DP754" s="1465"/>
      <c r="DQ754" s="1465"/>
      <c r="DR754" s="1465"/>
      <c r="DS754" s="1466"/>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08"/>
      <c r="C755" s="1608"/>
      <c r="D755" s="1608"/>
      <c r="E755" s="1608"/>
      <c r="F755" s="1608"/>
      <c r="G755" s="1608"/>
      <c r="H755" s="1608"/>
      <c r="I755" s="1608"/>
      <c r="J755" s="1608"/>
      <c r="K755" s="1608"/>
      <c r="L755" s="1608"/>
      <c r="M755" s="1608"/>
      <c r="N755" s="1608"/>
      <c r="O755" s="1608"/>
      <c r="P755" s="1608"/>
      <c r="Q755" s="1608"/>
      <c r="R755" s="1608"/>
      <c r="S755" s="1608"/>
      <c r="T755" s="1608"/>
      <c r="U755" s="1608"/>
      <c r="V755" s="1608"/>
      <c r="W755" s="1608"/>
      <c r="X755" s="1608"/>
      <c r="Y755" s="1608"/>
      <c r="Z755" s="1608"/>
      <c r="AA755" s="1608"/>
      <c r="AB755" s="1608"/>
      <c r="AC755" s="1608"/>
      <c r="AD755" s="1608"/>
      <c r="AE755" s="1608"/>
      <c r="AF755" s="1608"/>
      <c r="AG755" s="1608"/>
      <c r="AH755" s="160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45</v>
      </c>
      <c r="CZ755" s="3"/>
      <c r="DA755" s="3"/>
      <c r="DB755" s="3"/>
      <c r="DC755" s="3"/>
      <c r="DD755" s="861">
        <f>CZ753*2</f>
        <v>58</v>
      </c>
      <c r="DE755" s="3"/>
      <c r="DF755" s="3"/>
      <c r="DG755" s="3"/>
      <c r="DH755" s="3"/>
      <c r="DI755" s="861">
        <f>DE753*3</f>
        <v>90</v>
      </c>
      <c r="DJ755" s="3"/>
      <c r="DK755" s="3"/>
      <c r="DL755" s="3"/>
      <c r="DM755" s="3"/>
      <c r="DN755" s="861">
        <f>DJ753*4</f>
        <v>0</v>
      </c>
      <c r="DO755" s="3"/>
      <c r="DP755" s="3"/>
      <c r="DQ755" s="3"/>
      <c r="DR755" s="3"/>
      <c r="DS755" s="861">
        <f>DO753*5</f>
        <v>0</v>
      </c>
      <c r="DU755" s="861">
        <f>CT755+CY755+DD755+DI755+DN755+DS755</f>
        <v>193</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55">
        <f>DU755</f>
        <v>193</v>
      </c>
      <c r="P756" s="1455"/>
      <c r="Q756" s="1455"/>
      <c r="R756" s="1455"/>
      <c r="S756" s="969"/>
      <c r="T756" s="969"/>
      <c r="U756" s="118" t="s">
        <v>1893</v>
      </c>
      <c r="V756" s="1032"/>
      <c r="W756" s="1032"/>
      <c r="X756" s="1032"/>
      <c r="Y756" s="1033"/>
      <c r="Z756" s="1033"/>
      <c r="AA756" s="1033"/>
      <c r="AB756" s="1033"/>
      <c r="AC756" s="1032"/>
      <c r="AD756" s="1032"/>
      <c r="AE756" s="1032"/>
      <c r="AF756" s="1032"/>
      <c r="AG756" s="1615"/>
      <c r="AH756" s="1615"/>
      <c r="AI756" s="1615"/>
      <c r="AJ756" s="1615"/>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12" t="s">
        <v>592</v>
      </c>
      <c r="AE759" s="1612"/>
      <c r="AF759" s="1612"/>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389</v>
      </c>
      <c r="K769" s="1363"/>
      <c r="L769" s="1363"/>
      <c r="M769" s="1363"/>
      <c r="N769" s="1364"/>
      <c r="O769" s="1607" t="s">
        <v>285</v>
      </c>
      <c r="P769" s="1607"/>
      <c r="Q769" s="1607"/>
      <c r="R769" s="1607"/>
      <c r="S769" s="1607"/>
      <c r="T769" s="1717" t="s">
        <v>1680</v>
      </c>
      <c r="U769" s="1718"/>
      <c r="V769" s="1718"/>
      <c r="W769" s="1719"/>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07"/>
      <c r="P770" s="1607"/>
      <c r="Q770" s="1607"/>
      <c r="R770" s="1607"/>
      <c r="S770" s="1607"/>
      <c r="T770" s="1720"/>
      <c r="U770" s="1721"/>
      <c r="V770" s="1721"/>
      <c r="W770" s="1722"/>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07"/>
      <c r="P771" s="1607"/>
      <c r="Q771" s="1607"/>
      <c r="R771" s="1607"/>
      <c r="S771" s="1607"/>
      <c r="T771" s="1720"/>
      <c r="U771" s="1721"/>
      <c r="V771" s="1721"/>
      <c r="W771" s="1722"/>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07"/>
      <c r="P772" s="1607"/>
      <c r="Q772" s="1607"/>
      <c r="R772" s="1607"/>
      <c r="S772" s="1607"/>
      <c r="T772" s="1723"/>
      <c r="U772" s="1724"/>
      <c r="V772" s="1724"/>
      <c r="W772" s="1725"/>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02">
        <v>1</v>
      </c>
      <c r="P773" s="1602"/>
      <c r="Q773" s="1602"/>
      <c r="R773" s="1602"/>
      <c r="S773" s="1602"/>
      <c r="T773" s="1343">
        <v>700</v>
      </c>
      <c r="U773" s="1344"/>
      <c r="V773" s="1344"/>
      <c r="W773" s="1345"/>
      <c r="X773" s="1340">
        <v>3338</v>
      </c>
      <c r="Y773" s="1341"/>
      <c r="Z773" s="1341"/>
      <c r="AA773" s="1341"/>
      <c r="AB773" s="1342"/>
      <c r="AC773" s="1352">
        <f>X773*O773</f>
        <v>3338</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1">
        <f>IF(J773="SRO/Studio",O773,0)</f>
        <v>0</v>
      </c>
      <c r="CQ773" s="1462"/>
      <c r="CR773" s="1462"/>
      <c r="CS773" s="1462"/>
      <c r="CT773" s="1463"/>
      <c r="CU773" s="1454">
        <f>IF(J773="1 Bedroom",O773,0)</f>
        <v>0</v>
      </c>
      <c r="CV773" s="1454"/>
      <c r="CW773" s="1454"/>
      <c r="CX773" s="1454"/>
      <c r="CY773" s="1454"/>
      <c r="CZ773" s="1454">
        <f>IF(J773="2 Bedrooms",O773,0)</f>
        <v>1</v>
      </c>
      <c r="DA773" s="1454"/>
      <c r="DB773" s="1454"/>
      <c r="DC773" s="1454"/>
      <c r="DD773" s="1454"/>
      <c r="DE773" s="1454">
        <f>IF(J773="3 Bedrooms",O773,0)</f>
        <v>0</v>
      </c>
      <c r="DF773" s="1454"/>
      <c r="DG773" s="1454"/>
      <c r="DH773" s="1454"/>
      <c r="DI773" s="1454"/>
      <c r="DJ773" s="1454">
        <f>IF(J773="4 Bedrooms",O773,0)</f>
        <v>0</v>
      </c>
      <c r="DK773" s="1454"/>
      <c r="DL773" s="1454"/>
      <c r="DM773" s="1454"/>
      <c r="DN773" s="1454"/>
      <c r="DO773" s="1454">
        <f>IF(J773="5 Bedrooms",O773,0)</f>
        <v>0</v>
      </c>
      <c r="DP773" s="1454"/>
      <c r="DQ773" s="1454"/>
      <c r="DR773" s="1454"/>
      <c r="DS773" s="1454"/>
      <c r="DT773" s="6"/>
      <c r="DU773" s="3"/>
      <c r="DV773" s="3"/>
    </row>
    <row r="774" spans="1:126" ht="12.95" customHeight="1">
      <c r="J774" s="1337"/>
      <c r="K774" s="1338"/>
      <c r="L774" s="1338"/>
      <c r="M774" s="1338"/>
      <c r="N774" s="1339"/>
      <c r="O774" s="1602"/>
      <c r="P774" s="1602"/>
      <c r="Q774" s="1602"/>
      <c r="R774" s="1602"/>
      <c r="S774" s="1602"/>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1">
        <f>IF(J774="SRO/Studio",O774,0)</f>
        <v>0</v>
      </c>
      <c r="CQ774" s="1462"/>
      <c r="CR774" s="1462"/>
      <c r="CS774" s="1462"/>
      <c r="CT774" s="1463"/>
      <c r="CU774" s="1454">
        <f>IF(J774="1 Bedroom",O774,0)</f>
        <v>0</v>
      </c>
      <c r="CV774" s="1454"/>
      <c r="CW774" s="1454"/>
      <c r="CX774" s="1454"/>
      <c r="CY774" s="1454"/>
      <c r="CZ774" s="1454">
        <f>IF(J774="2 Bedrooms",O774,0)</f>
        <v>0</v>
      </c>
      <c r="DA774" s="1454"/>
      <c r="DB774" s="1454"/>
      <c r="DC774" s="1454"/>
      <c r="DD774" s="1454"/>
      <c r="DE774" s="1454">
        <f>IF(J774="3 Bedrooms",O774,0)</f>
        <v>0</v>
      </c>
      <c r="DF774" s="1454"/>
      <c r="DG774" s="1454"/>
      <c r="DH774" s="1454"/>
      <c r="DI774" s="1454"/>
      <c r="DJ774" s="1454">
        <f>IF(J774="4 Bedrooms",O774,0)</f>
        <v>0</v>
      </c>
      <c r="DK774" s="1454"/>
      <c r="DL774" s="1454"/>
      <c r="DM774" s="1454"/>
      <c r="DN774" s="1454"/>
      <c r="DO774" s="1454">
        <f>IF(J774="5 Bedrooms",O774,0)</f>
        <v>0</v>
      </c>
      <c r="DP774" s="1454"/>
      <c r="DQ774" s="1454"/>
      <c r="DR774" s="1454"/>
      <c r="DS774" s="1454"/>
      <c r="DT774" s="6"/>
      <c r="DU774" s="3"/>
      <c r="DV774" s="3"/>
    </row>
    <row r="775" spans="1:126" ht="12.95" customHeight="1">
      <c r="J775" s="1337"/>
      <c r="K775" s="1338"/>
      <c r="L775" s="1338"/>
      <c r="M775" s="1338"/>
      <c r="N775" s="1339"/>
      <c r="O775" s="1602"/>
      <c r="P775" s="1602"/>
      <c r="Q775" s="1602"/>
      <c r="R775" s="1602"/>
      <c r="S775" s="1602"/>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1">
        <f>IF(J775="SRO/Studio",O775,0)</f>
        <v>0</v>
      </c>
      <c r="CQ775" s="1462"/>
      <c r="CR775" s="1462"/>
      <c r="CS775" s="1462"/>
      <c r="CT775" s="1463"/>
      <c r="CU775" s="1454">
        <f>IF(J775="1 Bedroom",O775,0)</f>
        <v>0</v>
      </c>
      <c r="CV775" s="1454"/>
      <c r="CW775" s="1454"/>
      <c r="CX775" s="1454"/>
      <c r="CY775" s="1454"/>
      <c r="CZ775" s="1454">
        <f>IF(J775="2 Bedrooms",O775,0)</f>
        <v>0</v>
      </c>
      <c r="DA775" s="1454"/>
      <c r="DB775" s="1454"/>
      <c r="DC775" s="1454"/>
      <c r="DD775" s="1454"/>
      <c r="DE775" s="1454">
        <f>IF(J775="3 Bedrooms",O775,0)</f>
        <v>0</v>
      </c>
      <c r="DF775" s="1454"/>
      <c r="DG775" s="1454"/>
      <c r="DH775" s="1454"/>
      <c r="DI775" s="1454"/>
      <c r="DJ775" s="1454">
        <f>IF(J775="4 Bedrooms",O775,0)</f>
        <v>0</v>
      </c>
      <c r="DK775" s="1454"/>
      <c r="DL775" s="1454"/>
      <c r="DM775" s="1454"/>
      <c r="DN775" s="1454"/>
      <c r="DO775" s="1454">
        <f>IF(J775="5 Bedrooms",O775,0)</f>
        <v>0</v>
      </c>
      <c r="DP775" s="1454"/>
      <c r="DQ775" s="1454"/>
      <c r="DR775" s="1454"/>
      <c r="DS775" s="1454"/>
      <c r="DT775" s="1012"/>
    </row>
    <row r="776" spans="1:126" ht="12.95" customHeight="1">
      <c r="J776" s="1337"/>
      <c r="K776" s="1338"/>
      <c r="L776" s="1338"/>
      <c r="M776" s="1338"/>
      <c r="N776" s="1339"/>
      <c r="O776" s="1602"/>
      <c r="P776" s="1602"/>
      <c r="Q776" s="1602"/>
      <c r="R776" s="1602"/>
      <c r="S776" s="1602"/>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1">
        <f>IF(J776="SRO/Studio",O776,0)</f>
        <v>0</v>
      </c>
      <c r="CQ776" s="1462"/>
      <c r="CR776" s="1462"/>
      <c r="CS776" s="1462"/>
      <c r="CT776" s="1463"/>
      <c r="CU776" s="1454">
        <f>IF(J776="1 Bedroom",O776,0)</f>
        <v>0</v>
      </c>
      <c r="CV776" s="1454"/>
      <c r="CW776" s="1454"/>
      <c r="CX776" s="1454"/>
      <c r="CY776" s="1454"/>
      <c r="CZ776" s="1454">
        <f>IF(J776="2 Bedrooms",O776,0)</f>
        <v>0</v>
      </c>
      <c r="DA776" s="1454"/>
      <c r="DB776" s="1454"/>
      <c r="DC776" s="1454"/>
      <c r="DD776" s="1454"/>
      <c r="DE776" s="1454">
        <f>IF(J776="3 Bedrooms",O776,0)</f>
        <v>0</v>
      </c>
      <c r="DF776" s="1454"/>
      <c r="DG776" s="1454"/>
      <c r="DH776" s="1454"/>
      <c r="DI776" s="1454"/>
      <c r="DJ776" s="1454">
        <f>IF(J776="4 Bedrooms",O776,0)</f>
        <v>0</v>
      </c>
      <c r="DK776" s="1454"/>
      <c r="DL776" s="1454"/>
      <c r="DM776" s="1454"/>
      <c r="DN776" s="1454"/>
      <c r="DO776" s="1454">
        <f>IF(J776="5 Bedrooms",O776,0)</f>
        <v>0</v>
      </c>
      <c r="DP776" s="1454"/>
      <c r="DQ776" s="1454"/>
      <c r="DR776" s="1454"/>
      <c r="DS776" s="1454"/>
    </row>
    <row r="777" spans="1:126" ht="12.95" customHeight="1">
      <c r="J777" s="1641" t="s">
        <v>125</v>
      </c>
      <c r="K777" s="1642"/>
      <c r="L777" s="1642"/>
      <c r="M777" s="1642"/>
      <c r="N777" s="1643"/>
      <c r="O777" s="1459">
        <f>SUM(O773:S776)</f>
        <v>1</v>
      </c>
      <c r="P777" s="1727"/>
      <c r="Q777" s="1727"/>
      <c r="R777" s="1727"/>
      <c r="S777" s="1460"/>
      <c r="X777" s="1641" t="s">
        <v>124</v>
      </c>
      <c r="Y777" s="1642"/>
      <c r="Z777" s="1642"/>
      <c r="AA777" s="1642"/>
      <c r="AB777" s="1643"/>
      <c r="AC777" s="1352">
        <f>SUM(AC773:AG776)</f>
        <v>3338</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59">
        <f>SUM(CP773:CT776)</f>
        <v>0</v>
      </c>
      <c r="CQ777" s="1727"/>
      <c r="CR777" s="1727"/>
      <c r="CS777" s="1727"/>
      <c r="CT777" s="1460"/>
      <c r="CU777" s="1467">
        <f>SUM(CU773:CY776)</f>
        <v>0</v>
      </c>
      <c r="CV777" s="1468"/>
      <c r="CW777" s="1468"/>
      <c r="CX777" s="1468"/>
      <c r="CY777" s="1469"/>
      <c r="CZ777" s="1467">
        <f>SUM(CZ773:DD776)</f>
        <v>1</v>
      </c>
      <c r="DA777" s="1468"/>
      <c r="DB777" s="1468"/>
      <c r="DC777" s="1468"/>
      <c r="DD777" s="1469"/>
      <c r="DE777" s="1467">
        <f>SUM(DE773:DI776)</f>
        <v>0</v>
      </c>
      <c r="DF777" s="1468"/>
      <c r="DG777" s="1468"/>
      <c r="DH777" s="1468"/>
      <c r="DI777" s="1469"/>
      <c r="DJ777" s="1467">
        <f>SUM(DJ773:DN776)</f>
        <v>0</v>
      </c>
      <c r="DK777" s="1468"/>
      <c r="DL777" s="1468"/>
      <c r="DM777" s="1468"/>
      <c r="DN777" s="1469"/>
      <c r="DO777" s="1467">
        <f>SUM(DO773:DS776)</f>
        <v>0</v>
      </c>
      <c r="DP777" s="1468"/>
      <c r="DQ777" s="1468"/>
      <c r="DR777" s="1468"/>
      <c r="DS777" s="1469"/>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5" customHeight="1">
      <c r="B779" s="56"/>
      <c r="C779" s="56"/>
      <c r="D779" s="56"/>
      <c r="E779" s="56"/>
      <c r="F779" s="56"/>
      <c r="G779" s="6"/>
      <c r="H779" s="6"/>
      <c r="I779" s="6"/>
      <c r="J779" s="1729" t="s">
        <v>670</v>
      </c>
      <c r="K779" s="1729"/>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389</v>
      </c>
      <c r="K783" s="1363"/>
      <c r="L783" s="1363"/>
      <c r="M783" s="1363"/>
      <c r="N783" s="1364"/>
      <c r="O783" s="1607" t="s">
        <v>285</v>
      </c>
      <c r="P783" s="1607"/>
      <c r="Q783" s="1607"/>
      <c r="R783" s="1607"/>
      <c r="S783" s="1607"/>
      <c r="T783" s="1717" t="s">
        <v>1680</v>
      </c>
      <c r="U783" s="1718"/>
      <c r="V783" s="1718"/>
      <c r="W783" s="1719"/>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07"/>
      <c r="P784" s="1607"/>
      <c r="Q784" s="1607"/>
      <c r="R784" s="1607"/>
      <c r="S784" s="1607"/>
      <c r="T784" s="1720"/>
      <c r="U784" s="1721"/>
      <c r="V784" s="1721"/>
      <c r="W784" s="1722"/>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07"/>
      <c r="P785" s="1607"/>
      <c r="Q785" s="1607"/>
      <c r="R785" s="1607"/>
      <c r="S785" s="1607"/>
      <c r="T785" s="1720"/>
      <c r="U785" s="1721"/>
      <c r="V785" s="1721"/>
      <c r="W785" s="1722"/>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07"/>
      <c r="P786" s="1607"/>
      <c r="Q786" s="1607"/>
      <c r="R786" s="1607"/>
      <c r="S786" s="1607"/>
      <c r="T786" s="1723"/>
      <c r="U786" s="1724"/>
      <c r="V786" s="1724"/>
      <c r="W786" s="1725"/>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02"/>
      <c r="P787" s="1602"/>
      <c r="Q787" s="1602"/>
      <c r="R787" s="1602"/>
      <c r="S787" s="1602"/>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1">
        <f t="shared" ref="CP787:CP796" si="41">IF(J787="SRO/Studio",O787,0)</f>
        <v>0</v>
      </c>
      <c r="CQ787" s="1462"/>
      <c r="CR787" s="1462"/>
      <c r="CS787" s="1462"/>
      <c r="CT787" s="1463"/>
      <c r="CU787" s="1461">
        <f t="shared" ref="CU787:CU796" si="42">IF(J787="1 Bedroom",O787,0)</f>
        <v>0</v>
      </c>
      <c r="CV787" s="1462"/>
      <c r="CW787" s="1462"/>
      <c r="CX787" s="1462"/>
      <c r="CY787" s="1463"/>
      <c r="CZ787" s="1461">
        <f t="shared" ref="CZ787:CZ796" si="43">IF(J787="2 Bedrooms",O787,0)</f>
        <v>0</v>
      </c>
      <c r="DA787" s="1462"/>
      <c r="DB787" s="1462"/>
      <c r="DC787" s="1462"/>
      <c r="DD787" s="1463"/>
      <c r="DE787" s="1461">
        <f t="shared" ref="DE787:DE796" si="44">IF(J787="3 Bedrooms",O787,0)</f>
        <v>0</v>
      </c>
      <c r="DF787" s="1462"/>
      <c r="DG787" s="1462"/>
      <c r="DH787" s="1462"/>
      <c r="DI787" s="1463"/>
      <c r="DJ787" s="1461">
        <f t="shared" ref="DJ787:DJ796" si="45">IF(J787="4 Bedrooms",O787,0)</f>
        <v>0</v>
      </c>
      <c r="DK787" s="1462"/>
      <c r="DL787" s="1462"/>
      <c r="DM787" s="1462"/>
      <c r="DN787" s="1463"/>
      <c r="DO787" s="1461">
        <f t="shared" ref="DO787:DO796" si="46">IF(J787="5 Bedrooms",O787,0)</f>
        <v>0</v>
      </c>
      <c r="DP787" s="1462"/>
      <c r="DQ787" s="1462"/>
      <c r="DR787" s="1462"/>
      <c r="DS787" s="1463"/>
      <c r="DT787" s="6"/>
      <c r="DU787" s="1461">
        <f t="shared" ref="DU787:DU796" si="47">IF(AND(CP787&gt;=1,AH787&gt;=0.1,AH787&lt;=1),O787,0)</f>
        <v>0</v>
      </c>
      <c r="DV787" s="1462"/>
      <c r="DW787" s="1462"/>
      <c r="DX787" s="1462"/>
      <c r="DY787" s="1463"/>
      <c r="DZ787" s="1461">
        <f t="shared" ref="DZ787:DZ796" si="48">IF(AND(CU787&gt;=1,AH787&gt;=0.1,AH787&lt;=1),O787,0)</f>
        <v>0</v>
      </c>
      <c r="EA787" s="1462"/>
      <c r="EB787" s="1462"/>
      <c r="EC787" s="1462"/>
      <c r="ED787" s="1463"/>
      <c r="EE787" s="1461">
        <f t="shared" ref="EE787:EE796" si="49">IF(AND(CZ787&gt;=1,AH787&gt;=0.1,AH787&lt;=1),O787,0)</f>
        <v>0</v>
      </c>
      <c r="EF787" s="1462"/>
      <c r="EG787" s="1462"/>
      <c r="EH787" s="1462"/>
      <c r="EI787" s="1463"/>
      <c r="EJ787" s="1461">
        <f t="shared" ref="EJ787:EJ796" si="50">IF(AND(DE787&gt;=1,AH787&gt;=0.1,AH787&lt;=1),O787,0)</f>
        <v>0</v>
      </c>
      <c r="EK787" s="1462"/>
      <c r="EL787" s="1462"/>
      <c r="EM787" s="1462"/>
      <c r="EN787" s="1463"/>
      <c r="EO787" s="1461">
        <f t="shared" ref="EO787:EO796" si="51">IF(AND(DJ787&gt;=1,AH787&gt;=0.1,AH787&lt;=1),O787,0)</f>
        <v>0</v>
      </c>
      <c r="EP787" s="1462"/>
      <c r="EQ787" s="1462"/>
      <c r="ER787" s="1462"/>
      <c r="ES787" s="1463"/>
      <c r="ET787" s="1461">
        <f t="shared" ref="ET787:ET796" si="52">IF(AND(DO787&gt;=1,AH787&gt;=0.1,AH787&lt;=1),O787,0)</f>
        <v>0</v>
      </c>
      <c r="EU787" s="1462"/>
      <c r="EV787" s="1462"/>
      <c r="EW787" s="1462"/>
      <c r="EX787" s="1463"/>
    </row>
    <row r="788" spans="1:154" s="14" customFormat="1" ht="12.95" customHeight="1">
      <c r="A788"/>
      <c r="B788"/>
      <c r="C788"/>
      <c r="D788"/>
      <c r="E788"/>
      <c r="F788"/>
      <c r="G788"/>
      <c r="H788"/>
      <c r="I788"/>
      <c r="J788" s="1337"/>
      <c r="K788" s="1338"/>
      <c r="L788" s="1338"/>
      <c r="M788" s="1338"/>
      <c r="N788" s="1339"/>
      <c r="O788" s="1602"/>
      <c r="P788" s="1602"/>
      <c r="Q788" s="1602"/>
      <c r="R788" s="1602"/>
      <c r="S788" s="1602"/>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1">
        <f t="shared" si="41"/>
        <v>0</v>
      </c>
      <c r="CQ788" s="1462"/>
      <c r="CR788" s="1462"/>
      <c r="CS788" s="1462"/>
      <c r="CT788" s="1463"/>
      <c r="CU788" s="1461">
        <f t="shared" si="42"/>
        <v>0</v>
      </c>
      <c r="CV788" s="1462"/>
      <c r="CW788" s="1462"/>
      <c r="CX788" s="1462"/>
      <c r="CY788" s="1463"/>
      <c r="CZ788" s="1461">
        <f t="shared" si="43"/>
        <v>0</v>
      </c>
      <c r="DA788" s="1462"/>
      <c r="DB788" s="1462"/>
      <c r="DC788" s="1462"/>
      <c r="DD788" s="1463"/>
      <c r="DE788" s="1461">
        <f t="shared" si="44"/>
        <v>0</v>
      </c>
      <c r="DF788" s="1462"/>
      <c r="DG788" s="1462"/>
      <c r="DH788" s="1462"/>
      <c r="DI788" s="1463"/>
      <c r="DJ788" s="1461">
        <f t="shared" si="45"/>
        <v>0</v>
      </c>
      <c r="DK788" s="1462"/>
      <c r="DL788" s="1462"/>
      <c r="DM788" s="1462"/>
      <c r="DN788" s="1463"/>
      <c r="DO788" s="1461">
        <f t="shared" si="46"/>
        <v>0</v>
      </c>
      <c r="DP788" s="1462"/>
      <c r="DQ788" s="1462"/>
      <c r="DR788" s="1462"/>
      <c r="DS788" s="1463"/>
      <c r="DT788" s="6"/>
      <c r="DU788" s="1461">
        <f t="shared" si="47"/>
        <v>0</v>
      </c>
      <c r="DV788" s="1462"/>
      <c r="DW788" s="1462"/>
      <c r="DX788" s="1462"/>
      <c r="DY788" s="1463"/>
      <c r="DZ788" s="1461">
        <f t="shared" si="48"/>
        <v>0</v>
      </c>
      <c r="EA788" s="1462"/>
      <c r="EB788" s="1462"/>
      <c r="EC788" s="1462"/>
      <c r="ED788" s="1463"/>
      <c r="EE788" s="1461">
        <f t="shared" si="49"/>
        <v>0</v>
      </c>
      <c r="EF788" s="1462"/>
      <c r="EG788" s="1462"/>
      <c r="EH788" s="1462"/>
      <c r="EI788" s="1463"/>
      <c r="EJ788" s="1461">
        <f t="shared" si="50"/>
        <v>0</v>
      </c>
      <c r="EK788" s="1462"/>
      <c r="EL788" s="1462"/>
      <c r="EM788" s="1462"/>
      <c r="EN788" s="1463"/>
      <c r="EO788" s="1461">
        <f t="shared" si="51"/>
        <v>0</v>
      </c>
      <c r="EP788" s="1462"/>
      <c r="EQ788" s="1462"/>
      <c r="ER788" s="1462"/>
      <c r="ES788" s="1463"/>
      <c r="ET788" s="1461">
        <f t="shared" si="52"/>
        <v>0</v>
      </c>
      <c r="EU788" s="1462"/>
      <c r="EV788" s="1462"/>
      <c r="EW788" s="1462"/>
      <c r="EX788" s="1463"/>
    </row>
    <row r="789" spans="1:154" s="14" customFormat="1" ht="12.95" customHeight="1">
      <c r="A789"/>
      <c r="B789"/>
      <c r="C789"/>
      <c r="D789"/>
      <c r="E789"/>
      <c r="F789"/>
      <c r="G789"/>
      <c r="H789"/>
      <c r="I789"/>
      <c r="J789" s="1337"/>
      <c r="K789" s="1338"/>
      <c r="L789" s="1338"/>
      <c r="M789" s="1338"/>
      <c r="N789" s="1339"/>
      <c r="O789" s="1602"/>
      <c r="P789" s="1602"/>
      <c r="Q789" s="1602"/>
      <c r="R789" s="1602"/>
      <c r="S789" s="1602"/>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1">
        <f t="shared" si="41"/>
        <v>0</v>
      </c>
      <c r="CQ789" s="1462"/>
      <c r="CR789" s="1462"/>
      <c r="CS789" s="1462"/>
      <c r="CT789" s="1463"/>
      <c r="CU789" s="1461">
        <f t="shared" si="42"/>
        <v>0</v>
      </c>
      <c r="CV789" s="1462"/>
      <c r="CW789" s="1462"/>
      <c r="CX789" s="1462"/>
      <c r="CY789" s="1463"/>
      <c r="CZ789" s="1461">
        <f t="shared" si="43"/>
        <v>0</v>
      </c>
      <c r="DA789" s="1462"/>
      <c r="DB789" s="1462"/>
      <c r="DC789" s="1462"/>
      <c r="DD789" s="1463"/>
      <c r="DE789" s="1461">
        <f t="shared" si="44"/>
        <v>0</v>
      </c>
      <c r="DF789" s="1462"/>
      <c r="DG789" s="1462"/>
      <c r="DH789" s="1462"/>
      <c r="DI789" s="1463"/>
      <c r="DJ789" s="1461">
        <f t="shared" si="45"/>
        <v>0</v>
      </c>
      <c r="DK789" s="1462"/>
      <c r="DL789" s="1462"/>
      <c r="DM789" s="1462"/>
      <c r="DN789" s="1463"/>
      <c r="DO789" s="1461">
        <f t="shared" si="46"/>
        <v>0</v>
      </c>
      <c r="DP789" s="1462"/>
      <c r="DQ789" s="1462"/>
      <c r="DR789" s="1462"/>
      <c r="DS789" s="1463"/>
      <c r="DT789" s="6"/>
      <c r="DU789" s="1461">
        <f t="shared" si="47"/>
        <v>0</v>
      </c>
      <c r="DV789" s="1462"/>
      <c r="DW789" s="1462"/>
      <c r="DX789" s="1462"/>
      <c r="DY789" s="1463"/>
      <c r="DZ789" s="1461">
        <f t="shared" si="48"/>
        <v>0</v>
      </c>
      <c r="EA789" s="1462"/>
      <c r="EB789" s="1462"/>
      <c r="EC789" s="1462"/>
      <c r="ED789" s="1463"/>
      <c r="EE789" s="1461">
        <f t="shared" si="49"/>
        <v>0</v>
      </c>
      <c r="EF789" s="1462"/>
      <c r="EG789" s="1462"/>
      <c r="EH789" s="1462"/>
      <c r="EI789" s="1463"/>
      <c r="EJ789" s="1461">
        <f t="shared" si="50"/>
        <v>0</v>
      </c>
      <c r="EK789" s="1462"/>
      <c r="EL789" s="1462"/>
      <c r="EM789" s="1462"/>
      <c r="EN789" s="1463"/>
      <c r="EO789" s="1461">
        <f t="shared" si="51"/>
        <v>0</v>
      </c>
      <c r="EP789" s="1462"/>
      <c r="EQ789" s="1462"/>
      <c r="ER789" s="1462"/>
      <c r="ES789" s="1463"/>
      <c r="ET789" s="1461">
        <f t="shared" si="52"/>
        <v>0</v>
      </c>
      <c r="EU789" s="1462"/>
      <c r="EV789" s="1462"/>
      <c r="EW789" s="1462"/>
      <c r="EX789" s="1463"/>
    </row>
    <row r="790" spans="1:154" s="14" customFormat="1" ht="12.95" customHeight="1">
      <c r="A790"/>
      <c r="B790"/>
      <c r="C790"/>
      <c r="D790"/>
      <c r="E790"/>
      <c r="F790"/>
      <c r="G790"/>
      <c r="H790"/>
      <c r="I790"/>
      <c r="J790" s="1337"/>
      <c r="K790" s="1338"/>
      <c r="L790" s="1338"/>
      <c r="M790" s="1338"/>
      <c r="N790" s="1339"/>
      <c r="O790" s="1602"/>
      <c r="P790" s="1602"/>
      <c r="Q790" s="1602"/>
      <c r="R790" s="1602"/>
      <c r="S790" s="1602"/>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1">
        <f t="shared" si="41"/>
        <v>0</v>
      </c>
      <c r="CQ790" s="1462"/>
      <c r="CR790" s="1462"/>
      <c r="CS790" s="1462"/>
      <c r="CT790" s="1463"/>
      <c r="CU790" s="1461">
        <f t="shared" si="42"/>
        <v>0</v>
      </c>
      <c r="CV790" s="1462"/>
      <c r="CW790" s="1462"/>
      <c r="CX790" s="1462"/>
      <c r="CY790" s="1463"/>
      <c r="CZ790" s="1461">
        <f t="shared" si="43"/>
        <v>0</v>
      </c>
      <c r="DA790" s="1462"/>
      <c r="DB790" s="1462"/>
      <c r="DC790" s="1462"/>
      <c r="DD790" s="1463"/>
      <c r="DE790" s="1461">
        <f t="shared" si="44"/>
        <v>0</v>
      </c>
      <c r="DF790" s="1462"/>
      <c r="DG790" s="1462"/>
      <c r="DH790" s="1462"/>
      <c r="DI790" s="1463"/>
      <c r="DJ790" s="1461">
        <f t="shared" si="45"/>
        <v>0</v>
      </c>
      <c r="DK790" s="1462"/>
      <c r="DL790" s="1462"/>
      <c r="DM790" s="1462"/>
      <c r="DN790" s="1463"/>
      <c r="DO790" s="1461">
        <f t="shared" si="46"/>
        <v>0</v>
      </c>
      <c r="DP790" s="1462"/>
      <c r="DQ790" s="1462"/>
      <c r="DR790" s="1462"/>
      <c r="DS790" s="1463"/>
      <c r="DT790" s="6"/>
      <c r="DU790" s="1461">
        <f t="shared" si="47"/>
        <v>0</v>
      </c>
      <c r="DV790" s="1462"/>
      <c r="DW790" s="1462"/>
      <c r="DX790" s="1462"/>
      <c r="DY790" s="1463"/>
      <c r="DZ790" s="1461">
        <f t="shared" si="48"/>
        <v>0</v>
      </c>
      <c r="EA790" s="1462"/>
      <c r="EB790" s="1462"/>
      <c r="EC790" s="1462"/>
      <c r="ED790" s="1463"/>
      <c r="EE790" s="1461">
        <f t="shared" si="49"/>
        <v>0</v>
      </c>
      <c r="EF790" s="1462"/>
      <c r="EG790" s="1462"/>
      <c r="EH790" s="1462"/>
      <c r="EI790" s="1463"/>
      <c r="EJ790" s="1461">
        <f t="shared" si="50"/>
        <v>0</v>
      </c>
      <c r="EK790" s="1462"/>
      <c r="EL790" s="1462"/>
      <c r="EM790" s="1462"/>
      <c r="EN790" s="1463"/>
      <c r="EO790" s="1461">
        <f t="shared" si="51"/>
        <v>0</v>
      </c>
      <c r="EP790" s="1462"/>
      <c r="EQ790" s="1462"/>
      <c r="ER790" s="1462"/>
      <c r="ES790" s="1463"/>
      <c r="ET790" s="1461">
        <f t="shared" si="52"/>
        <v>0</v>
      </c>
      <c r="EU790" s="1462"/>
      <c r="EV790" s="1462"/>
      <c r="EW790" s="1462"/>
      <c r="EX790" s="1463"/>
    </row>
    <row r="791" spans="1:154" s="14" customFormat="1" ht="12.95" customHeight="1">
      <c r="A791"/>
      <c r="B791"/>
      <c r="C791"/>
      <c r="D791"/>
      <c r="E791"/>
      <c r="F791"/>
      <c r="G791"/>
      <c r="H791"/>
      <c r="I791"/>
      <c r="J791" s="1337"/>
      <c r="K791" s="1338"/>
      <c r="L791" s="1338"/>
      <c r="M791" s="1338"/>
      <c r="N791" s="1339"/>
      <c r="O791" s="1602"/>
      <c r="P791" s="1602"/>
      <c r="Q791" s="1602"/>
      <c r="R791" s="1602"/>
      <c r="S791" s="1602"/>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1">
        <f t="shared" si="41"/>
        <v>0</v>
      </c>
      <c r="CQ791" s="1462"/>
      <c r="CR791" s="1462"/>
      <c r="CS791" s="1462"/>
      <c r="CT791" s="1463"/>
      <c r="CU791" s="1461">
        <f t="shared" si="42"/>
        <v>0</v>
      </c>
      <c r="CV791" s="1462"/>
      <c r="CW791" s="1462"/>
      <c r="CX791" s="1462"/>
      <c r="CY791" s="1463"/>
      <c r="CZ791" s="1461">
        <f t="shared" si="43"/>
        <v>0</v>
      </c>
      <c r="DA791" s="1462"/>
      <c r="DB791" s="1462"/>
      <c r="DC791" s="1462"/>
      <c r="DD791" s="1463"/>
      <c r="DE791" s="1461">
        <f t="shared" si="44"/>
        <v>0</v>
      </c>
      <c r="DF791" s="1462"/>
      <c r="DG791" s="1462"/>
      <c r="DH791" s="1462"/>
      <c r="DI791" s="1463"/>
      <c r="DJ791" s="1461">
        <f t="shared" si="45"/>
        <v>0</v>
      </c>
      <c r="DK791" s="1462"/>
      <c r="DL791" s="1462"/>
      <c r="DM791" s="1462"/>
      <c r="DN791" s="1463"/>
      <c r="DO791" s="1461">
        <f t="shared" si="46"/>
        <v>0</v>
      </c>
      <c r="DP791" s="1462"/>
      <c r="DQ791" s="1462"/>
      <c r="DR791" s="1462"/>
      <c r="DS791" s="1463"/>
      <c r="DT791" s="6"/>
      <c r="DU791" s="1461">
        <f t="shared" si="47"/>
        <v>0</v>
      </c>
      <c r="DV791" s="1462"/>
      <c r="DW791" s="1462"/>
      <c r="DX791" s="1462"/>
      <c r="DY791" s="1463"/>
      <c r="DZ791" s="1461">
        <f t="shared" si="48"/>
        <v>0</v>
      </c>
      <c r="EA791" s="1462"/>
      <c r="EB791" s="1462"/>
      <c r="EC791" s="1462"/>
      <c r="ED791" s="1463"/>
      <c r="EE791" s="1461">
        <f t="shared" si="49"/>
        <v>0</v>
      </c>
      <c r="EF791" s="1462"/>
      <c r="EG791" s="1462"/>
      <c r="EH791" s="1462"/>
      <c r="EI791" s="1463"/>
      <c r="EJ791" s="1461">
        <f t="shared" si="50"/>
        <v>0</v>
      </c>
      <c r="EK791" s="1462"/>
      <c r="EL791" s="1462"/>
      <c r="EM791" s="1462"/>
      <c r="EN791" s="1463"/>
      <c r="EO791" s="1461">
        <f t="shared" si="51"/>
        <v>0</v>
      </c>
      <c r="EP791" s="1462"/>
      <c r="EQ791" s="1462"/>
      <c r="ER791" s="1462"/>
      <c r="ES791" s="1463"/>
      <c r="ET791" s="1461">
        <f t="shared" si="52"/>
        <v>0</v>
      </c>
      <c r="EU791" s="1462"/>
      <c r="EV791" s="1462"/>
      <c r="EW791" s="1462"/>
      <c r="EX791" s="1463"/>
    </row>
    <row r="792" spans="1:154" s="14" customFormat="1" ht="12.95" customHeight="1">
      <c r="A792"/>
      <c r="B792"/>
      <c r="C792"/>
      <c r="D792"/>
      <c r="E792"/>
      <c r="F792"/>
      <c r="G792"/>
      <c r="H792"/>
      <c r="I792"/>
      <c r="J792" s="1337"/>
      <c r="K792" s="1338"/>
      <c r="L792" s="1338"/>
      <c r="M792" s="1338"/>
      <c r="N792" s="1339"/>
      <c r="O792" s="1602"/>
      <c r="P792" s="1602"/>
      <c r="Q792" s="1602"/>
      <c r="R792" s="1602"/>
      <c r="S792" s="1602"/>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1">
        <f t="shared" si="41"/>
        <v>0</v>
      </c>
      <c r="CQ792" s="1462"/>
      <c r="CR792" s="1462"/>
      <c r="CS792" s="1462"/>
      <c r="CT792" s="1463"/>
      <c r="CU792" s="1461">
        <f t="shared" si="42"/>
        <v>0</v>
      </c>
      <c r="CV792" s="1462"/>
      <c r="CW792" s="1462"/>
      <c r="CX792" s="1462"/>
      <c r="CY792" s="1463"/>
      <c r="CZ792" s="1461">
        <f t="shared" si="43"/>
        <v>0</v>
      </c>
      <c r="DA792" s="1462"/>
      <c r="DB792" s="1462"/>
      <c r="DC792" s="1462"/>
      <c r="DD792" s="1463"/>
      <c r="DE792" s="1461">
        <f t="shared" si="44"/>
        <v>0</v>
      </c>
      <c r="DF792" s="1462"/>
      <c r="DG792" s="1462"/>
      <c r="DH792" s="1462"/>
      <c r="DI792" s="1463"/>
      <c r="DJ792" s="1461">
        <f t="shared" si="45"/>
        <v>0</v>
      </c>
      <c r="DK792" s="1462"/>
      <c r="DL792" s="1462"/>
      <c r="DM792" s="1462"/>
      <c r="DN792" s="1463"/>
      <c r="DO792" s="1461">
        <f t="shared" si="46"/>
        <v>0</v>
      </c>
      <c r="DP792" s="1462"/>
      <c r="DQ792" s="1462"/>
      <c r="DR792" s="1462"/>
      <c r="DS792" s="1463"/>
      <c r="DT792" s="6"/>
      <c r="DU792" s="1461">
        <f t="shared" si="47"/>
        <v>0</v>
      </c>
      <c r="DV792" s="1462"/>
      <c r="DW792" s="1462"/>
      <c r="DX792" s="1462"/>
      <c r="DY792" s="1463"/>
      <c r="DZ792" s="1461">
        <f t="shared" si="48"/>
        <v>0</v>
      </c>
      <c r="EA792" s="1462"/>
      <c r="EB792" s="1462"/>
      <c r="EC792" s="1462"/>
      <c r="ED792" s="1463"/>
      <c r="EE792" s="1461">
        <f t="shared" si="49"/>
        <v>0</v>
      </c>
      <c r="EF792" s="1462"/>
      <c r="EG792" s="1462"/>
      <c r="EH792" s="1462"/>
      <c r="EI792" s="1463"/>
      <c r="EJ792" s="1461">
        <f t="shared" si="50"/>
        <v>0</v>
      </c>
      <c r="EK792" s="1462"/>
      <c r="EL792" s="1462"/>
      <c r="EM792" s="1462"/>
      <c r="EN792" s="1463"/>
      <c r="EO792" s="1461">
        <f t="shared" si="51"/>
        <v>0</v>
      </c>
      <c r="EP792" s="1462"/>
      <c r="EQ792" s="1462"/>
      <c r="ER792" s="1462"/>
      <c r="ES792" s="1463"/>
      <c r="ET792" s="1461">
        <f t="shared" si="52"/>
        <v>0</v>
      </c>
      <c r="EU792" s="1462"/>
      <c r="EV792" s="1462"/>
      <c r="EW792" s="1462"/>
      <c r="EX792" s="1463"/>
    </row>
    <row r="793" spans="1:154" s="14" customFormat="1" ht="12.95" customHeight="1">
      <c r="A793"/>
      <c r="B793"/>
      <c r="C793"/>
      <c r="D793"/>
      <c r="E793"/>
      <c r="F793"/>
      <c r="G793"/>
      <c r="H793"/>
      <c r="I793"/>
      <c r="J793" s="1337"/>
      <c r="K793" s="1338"/>
      <c r="L793" s="1338"/>
      <c r="M793" s="1338"/>
      <c r="N793" s="1339"/>
      <c r="O793" s="1602"/>
      <c r="P793" s="1602"/>
      <c r="Q793" s="1602"/>
      <c r="R793" s="1602"/>
      <c r="S793" s="1602"/>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1">
        <f t="shared" si="41"/>
        <v>0</v>
      </c>
      <c r="CQ793" s="1462"/>
      <c r="CR793" s="1462"/>
      <c r="CS793" s="1462"/>
      <c r="CT793" s="1463"/>
      <c r="CU793" s="1461">
        <f t="shared" si="42"/>
        <v>0</v>
      </c>
      <c r="CV793" s="1462"/>
      <c r="CW793" s="1462"/>
      <c r="CX793" s="1462"/>
      <c r="CY793" s="1463"/>
      <c r="CZ793" s="1461">
        <f t="shared" si="43"/>
        <v>0</v>
      </c>
      <c r="DA793" s="1462"/>
      <c r="DB793" s="1462"/>
      <c r="DC793" s="1462"/>
      <c r="DD793" s="1463"/>
      <c r="DE793" s="1461">
        <f t="shared" si="44"/>
        <v>0</v>
      </c>
      <c r="DF793" s="1462"/>
      <c r="DG793" s="1462"/>
      <c r="DH793" s="1462"/>
      <c r="DI793" s="1463"/>
      <c r="DJ793" s="1461">
        <f t="shared" si="45"/>
        <v>0</v>
      </c>
      <c r="DK793" s="1462"/>
      <c r="DL793" s="1462"/>
      <c r="DM793" s="1462"/>
      <c r="DN793" s="1463"/>
      <c r="DO793" s="1461">
        <f t="shared" si="46"/>
        <v>0</v>
      </c>
      <c r="DP793" s="1462"/>
      <c r="DQ793" s="1462"/>
      <c r="DR793" s="1462"/>
      <c r="DS793" s="1463"/>
      <c r="DT793" s="6"/>
      <c r="DU793" s="1461">
        <f t="shared" si="47"/>
        <v>0</v>
      </c>
      <c r="DV793" s="1462"/>
      <c r="DW793" s="1462"/>
      <c r="DX793" s="1462"/>
      <c r="DY793" s="1463"/>
      <c r="DZ793" s="1461">
        <f t="shared" si="48"/>
        <v>0</v>
      </c>
      <c r="EA793" s="1462"/>
      <c r="EB793" s="1462"/>
      <c r="EC793" s="1462"/>
      <c r="ED793" s="1463"/>
      <c r="EE793" s="1461">
        <f t="shared" si="49"/>
        <v>0</v>
      </c>
      <c r="EF793" s="1462"/>
      <c r="EG793" s="1462"/>
      <c r="EH793" s="1462"/>
      <c r="EI793" s="1463"/>
      <c r="EJ793" s="1461">
        <f t="shared" si="50"/>
        <v>0</v>
      </c>
      <c r="EK793" s="1462"/>
      <c r="EL793" s="1462"/>
      <c r="EM793" s="1462"/>
      <c r="EN793" s="1463"/>
      <c r="EO793" s="1461">
        <f t="shared" si="51"/>
        <v>0</v>
      </c>
      <c r="EP793" s="1462"/>
      <c r="EQ793" s="1462"/>
      <c r="ER793" s="1462"/>
      <c r="ES793" s="1463"/>
      <c r="ET793" s="1461">
        <f t="shared" si="52"/>
        <v>0</v>
      </c>
      <c r="EU793" s="1462"/>
      <c r="EV793" s="1462"/>
      <c r="EW793" s="1462"/>
      <c r="EX793" s="1463"/>
    </row>
    <row r="794" spans="1:154" s="14" customFormat="1" ht="12.95" customHeight="1">
      <c r="A794"/>
      <c r="B794"/>
      <c r="C794"/>
      <c r="D794"/>
      <c r="E794"/>
      <c r="F794"/>
      <c r="G794"/>
      <c r="H794"/>
      <c r="I794"/>
      <c r="J794" s="1337"/>
      <c r="K794" s="1338"/>
      <c r="L794" s="1338"/>
      <c r="M794" s="1338"/>
      <c r="N794" s="1339"/>
      <c r="O794" s="1602"/>
      <c r="P794" s="1602"/>
      <c r="Q794" s="1602"/>
      <c r="R794" s="1602"/>
      <c r="S794" s="1602"/>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1">
        <f t="shared" si="41"/>
        <v>0</v>
      </c>
      <c r="CQ794" s="1462"/>
      <c r="CR794" s="1462"/>
      <c r="CS794" s="1462"/>
      <c r="CT794" s="1463"/>
      <c r="CU794" s="1461">
        <f t="shared" si="42"/>
        <v>0</v>
      </c>
      <c r="CV794" s="1462"/>
      <c r="CW794" s="1462"/>
      <c r="CX794" s="1462"/>
      <c r="CY794" s="1463"/>
      <c r="CZ794" s="1461">
        <f t="shared" si="43"/>
        <v>0</v>
      </c>
      <c r="DA794" s="1462"/>
      <c r="DB794" s="1462"/>
      <c r="DC794" s="1462"/>
      <c r="DD794" s="1463"/>
      <c r="DE794" s="1461">
        <f t="shared" si="44"/>
        <v>0</v>
      </c>
      <c r="DF794" s="1462"/>
      <c r="DG794" s="1462"/>
      <c r="DH794" s="1462"/>
      <c r="DI794" s="1463"/>
      <c r="DJ794" s="1461">
        <f t="shared" si="45"/>
        <v>0</v>
      </c>
      <c r="DK794" s="1462"/>
      <c r="DL794" s="1462"/>
      <c r="DM794" s="1462"/>
      <c r="DN794" s="1463"/>
      <c r="DO794" s="1461">
        <f t="shared" si="46"/>
        <v>0</v>
      </c>
      <c r="DP794" s="1462"/>
      <c r="DQ794" s="1462"/>
      <c r="DR794" s="1462"/>
      <c r="DS794" s="1463"/>
      <c r="DT794" s="6"/>
      <c r="DU794" s="1461">
        <f t="shared" si="47"/>
        <v>0</v>
      </c>
      <c r="DV794" s="1462"/>
      <c r="DW794" s="1462"/>
      <c r="DX794" s="1462"/>
      <c r="DY794" s="1463"/>
      <c r="DZ794" s="1461">
        <f t="shared" si="48"/>
        <v>0</v>
      </c>
      <c r="EA794" s="1462"/>
      <c r="EB794" s="1462"/>
      <c r="EC794" s="1462"/>
      <c r="ED794" s="1463"/>
      <c r="EE794" s="1461">
        <f t="shared" si="49"/>
        <v>0</v>
      </c>
      <c r="EF794" s="1462"/>
      <c r="EG794" s="1462"/>
      <c r="EH794" s="1462"/>
      <c r="EI794" s="1463"/>
      <c r="EJ794" s="1461">
        <f t="shared" si="50"/>
        <v>0</v>
      </c>
      <c r="EK794" s="1462"/>
      <c r="EL794" s="1462"/>
      <c r="EM794" s="1462"/>
      <c r="EN794" s="1463"/>
      <c r="EO794" s="1461">
        <f t="shared" si="51"/>
        <v>0</v>
      </c>
      <c r="EP794" s="1462"/>
      <c r="EQ794" s="1462"/>
      <c r="ER794" s="1462"/>
      <c r="ES794" s="1463"/>
      <c r="ET794" s="1461">
        <f t="shared" si="52"/>
        <v>0</v>
      </c>
      <c r="EU794" s="1462"/>
      <c r="EV794" s="1462"/>
      <c r="EW794" s="1462"/>
      <c r="EX794" s="1463"/>
    </row>
    <row r="795" spans="1:154" s="14" customFormat="1" ht="12.95" customHeight="1">
      <c r="A795"/>
      <c r="B795"/>
      <c r="C795"/>
      <c r="D795"/>
      <c r="E795"/>
      <c r="F795"/>
      <c r="G795"/>
      <c r="H795"/>
      <c r="I795"/>
      <c r="J795" s="1337"/>
      <c r="K795" s="1338"/>
      <c r="L795" s="1338"/>
      <c r="M795" s="1338"/>
      <c r="N795" s="1339"/>
      <c r="O795" s="1602"/>
      <c r="P795" s="1602"/>
      <c r="Q795" s="1602"/>
      <c r="R795" s="1602"/>
      <c r="S795" s="1602"/>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1">
        <f t="shared" si="41"/>
        <v>0</v>
      </c>
      <c r="CQ795" s="1462"/>
      <c r="CR795" s="1462"/>
      <c r="CS795" s="1462"/>
      <c r="CT795" s="1463"/>
      <c r="CU795" s="1461">
        <f t="shared" si="42"/>
        <v>0</v>
      </c>
      <c r="CV795" s="1462"/>
      <c r="CW795" s="1462"/>
      <c r="CX795" s="1462"/>
      <c r="CY795" s="1463"/>
      <c r="CZ795" s="1461">
        <f t="shared" si="43"/>
        <v>0</v>
      </c>
      <c r="DA795" s="1462"/>
      <c r="DB795" s="1462"/>
      <c r="DC795" s="1462"/>
      <c r="DD795" s="1463"/>
      <c r="DE795" s="1461">
        <f t="shared" si="44"/>
        <v>0</v>
      </c>
      <c r="DF795" s="1462"/>
      <c r="DG795" s="1462"/>
      <c r="DH795" s="1462"/>
      <c r="DI795" s="1463"/>
      <c r="DJ795" s="1461">
        <f t="shared" si="45"/>
        <v>0</v>
      </c>
      <c r="DK795" s="1462"/>
      <c r="DL795" s="1462"/>
      <c r="DM795" s="1462"/>
      <c r="DN795" s="1463"/>
      <c r="DO795" s="1461">
        <f t="shared" si="46"/>
        <v>0</v>
      </c>
      <c r="DP795" s="1462"/>
      <c r="DQ795" s="1462"/>
      <c r="DR795" s="1462"/>
      <c r="DS795" s="1463"/>
      <c r="DT795" s="6"/>
      <c r="DU795" s="1461">
        <f t="shared" si="47"/>
        <v>0</v>
      </c>
      <c r="DV795" s="1462"/>
      <c r="DW795" s="1462"/>
      <c r="DX795" s="1462"/>
      <c r="DY795" s="1463"/>
      <c r="DZ795" s="1461">
        <f t="shared" si="48"/>
        <v>0</v>
      </c>
      <c r="EA795" s="1462"/>
      <c r="EB795" s="1462"/>
      <c r="EC795" s="1462"/>
      <c r="ED795" s="1463"/>
      <c r="EE795" s="1461">
        <f t="shared" si="49"/>
        <v>0</v>
      </c>
      <c r="EF795" s="1462"/>
      <c r="EG795" s="1462"/>
      <c r="EH795" s="1462"/>
      <c r="EI795" s="1463"/>
      <c r="EJ795" s="1461">
        <f t="shared" si="50"/>
        <v>0</v>
      </c>
      <c r="EK795" s="1462"/>
      <c r="EL795" s="1462"/>
      <c r="EM795" s="1462"/>
      <c r="EN795" s="1463"/>
      <c r="EO795" s="1461">
        <f t="shared" si="51"/>
        <v>0</v>
      </c>
      <c r="EP795" s="1462"/>
      <c r="EQ795" s="1462"/>
      <c r="ER795" s="1462"/>
      <c r="ES795" s="1463"/>
      <c r="ET795" s="1461">
        <f t="shared" si="52"/>
        <v>0</v>
      </c>
      <c r="EU795" s="1462"/>
      <c r="EV795" s="1462"/>
      <c r="EW795" s="1462"/>
      <c r="EX795" s="1463"/>
    </row>
    <row r="796" spans="1:154" s="4" customFormat="1" ht="12.95" customHeight="1">
      <c r="A796"/>
      <c r="B796"/>
      <c r="C796"/>
      <c r="D796"/>
      <c r="E796"/>
      <c r="F796"/>
      <c r="G796"/>
      <c r="H796"/>
      <c r="I796"/>
      <c r="J796" s="1337"/>
      <c r="K796" s="1338"/>
      <c r="L796" s="1338"/>
      <c r="M796" s="1338"/>
      <c r="N796" s="1339"/>
      <c r="O796" s="1602"/>
      <c r="P796" s="1602"/>
      <c r="Q796" s="1602"/>
      <c r="R796" s="1602"/>
      <c r="S796" s="1602"/>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61">
        <f t="shared" si="41"/>
        <v>0</v>
      </c>
      <c r="CQ796" s="1462"/>
      <c r="CR796" s="1462"/>
      <c r="CS796" s="1462"/>
      <c r="CT796" s="1463"/>
      <c r="CU796" s="1461">
        <f t="shared" si="42"/>
        <v>0</v>
      </c>
      <c r="CV796" s="1462"/>
      <c r="CW796" s="1462"/>
      <c r="CX796" s="1462"/>
      <c r="CY796" s="1463"/>
      <c r="CZ796" s="1461">
        <f t="shared" si="43"/>
        <v>0</v>
      </c>
      <c r="DA796" s="1462"/>
      <c r="DB796" s="1462"/>
      <c r="DC796" s="1462"/>
      <c r="DD796" s="1463"/>
      <c r="DE796" s="1461">
        <f t="shared" si="44"/>
        <v>0</v>
      </c>
      <c r="DF796" s="1462"/>
      <c r="DG796" s="1462"/>
      <c r="DH796" s="1462"/>
      <c r="DI796" s="1463"/>
      <c r="DJ796" s="1461">
        <f t="shared" si="45"/>
        <v>0</v>
      </c>
      <c r="DK796" s="1462"/>
      <c r="DL796" s="1462"/>
      <c r="DM796" s="1462"/>
      <c r="DN796" s="1463"/>
      <c r="DO796" s="1461">
        <f t="shared" si="46"/>
        <v>0</v>
      </c>
      <c r="DP796" s="1462"/>
      <c r="DQ796" s="1462"/>
      <c r="DR796" s="1462"/>
      <c r="DS796" s="1463"/>
      <c r="DT796" s="6"/>
      <c r="DU796" s="1461">
        <f t="shared" si="47"/>
        <v>0</v>
      </c>
      <c r="DV796" s="1462"/>
      <c r="DW796" s="1462"/>
      <c r="DX796" s="1462"/>
      <c r="DY796" s="1463"/>
      <c r="DZ796" s="1461">
        <f t="shared" si="48"/>
        <v>0</v>
      </c>
      <c r="EA796" s="1462"/>
      <c r="EB796" s="1462"/>
      <c r="EC796" s="1462"/>
      <c r="ED796" s="1463"/>
      <c r="EE796" s="1461">
        <f t="shared" si="49"/>
        <v>0</v>
      </c>
      <c r="EF796" s="1462"/>
      <c r="EG796" s="1462"/>
      <c r="EH796" s="1462"/>
      <c r="EI796" s="1463"/>
      <c r="EJ796" s="1461">
        <f t="shared" si="50"/>
        <v>0</v>
      </c>
      <c r="EK796" s="1462"/>
      <c r="EL796" s="1462"/>
      <c r="EM796" s="1462"/>
      <c r="EN796" s="1463"/>
      <c r="EO796" s="1461">
        <f t="shared" si="51"/>
        <v>0</v>
      </c>
      <c r="EP796" s="1462"/>
      <c r="EQ796" s="1462"/>
      <c r="ER796" s="1462"/>
      <c r="ES796" s="1463"/>
      <c r="ET796" s="1461">
        <f t="shared" si="52"/>
        <v>0</v>
      </c>
      <c r="EU796" s="1462"/>
      <c r="EV796" s="1462"/>
      <c r="EW796" s="1462"/>
      <c r="EX796" s="1463"/>
    </row>
    <row r="797" spans="1:154" s="4" customFormat="1" ht="12.95" customHeight="1">
      <c r="A797"/>
      <c r="B797"/>
      <c r="C797"/>
      <c r="D797"/>
      <c r="E797"/>
      <c r="F797"/>
      <c r="G797"/>
      <c r="H797"/>
      <c r="I797"/>
      <c r="J797" s="1641" t="s">
        <v>125</v>
      </c>
      <c r="K797" s="1642"/>
      <c r="L797" s="1642"/>
      <c r="M797" s="1642"/>
      <c r="N797" s="1643"/>
      <c r="O797" s="1728">
        <f>SUM(O787:S796)</f>
        <v>0</v>
      </c>
      <c r="P797" s="1728"/>
      <c r="Q797" s="1728"/>
      <c r="R797" s="1728"/>
      <c r="S797" s="1728"/>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59">
        <f>SUM(CP787:CT796)</f>
        <v>0</v>
      </c>
      <c r="CQ797" s="1727"/>
      <c r="CR797" s="1727"/>
      <c r="CS797" s="1727"/>
      <c r="CT797" s="1460"/>
      <c r="CU797" s="1467">
        <f>SUM(CU787:CY796)</f>
        <v>0</v>
      </c>
      <c r="CV797" s="1468"/>
      <c r="CW797" s="1468"/>
      <c r="CX797" s="1468"/>
      <c r="CY797" s="1469"/>
      <c r="CZ797" s="1467">
        <f>SUM(CZ787:DD796)</f>
        <v>0</v>
      </c>
      <c r="DA797" s="1468"/>
      <c r="DB797" s="1468"/>
      <c r="DC797" s="1468"/>
      <c r="DD797" s="1469"/>
      <c r="DE797" s="1467">
        <f>SUM(DE787:DI796)</f>
        <v>0</v>
      </c>
      <c r="DF797" s="1468"/>
      <c r="DG797" s="1468"/>
      <c r="DH797" s="1468"/>
      <c r="DI797" s="1469"/>
      <c r="DJ797" s="1467">
        <f>SUM(DJ787:DN796)</f>
        <v>0</v>
      </c>
      <c r="DK797" s="1468"/>
      <c r="DL797" s="1468"/>
      <c r="DM797" s="1468"/>
      <c r="DN797" s="1469"/>
      <c r="DO797" s="1467">
        <f>SUM(DO787:DS796)</f>
        <v>0</v>
      </c>
      <c r="DP797" s="1468"/>
      <c r="DQ797" s="1468"/>
      <c r="DR797" s="1468"/>
      <c r="DS797" s="1469"/>
      <c r="DT797" s="1012"/>
      <c r="DU797" s="1459">
        <f>SUM(DU787:DY796)</f>
        <v>0</v>
      </c>
      <c r="DV797" s="1727"/>
      <c r="DW797" s="1727"/>
      <c r="DX797" s="1727"/>
      <c r="DY797" s="1460"/>
      <c r="DZ797" s="1459">
        <f>SUM(DZ787:ED796)</f>
        <v>0</v>
      </c>
      <c r="EA797" s="1727"/>
      <c r="EB797" s="1727"/>
      <c r="EC797" s="1727"/>
      <c r="ED797" s="1460"/>
      <c r="EE797" s="1459">
        <f>SUM(EE787:EI796)</f>
        <v>0</v>
      </c>
      <c r="EF797" s="1727"/>
      <c r="EG797" s="1727"/>
      <c r="EH797" s="1727"/>
      <c r="EI797" s="1460"/>
      <c r="EJ797" s="1459">
        <f>SUM(EJ787:EN796)</f>
        <v>0</v>
      </c>
      <c r="EK797" s="1727"/>
      <c r="EL797" s="1727"/>
      <c r="EM797" s="1727"/>
      <c r="EN797" s="1460"/>
      <c r="EO797" s="1459">
        <f>SUM(EO787:ES796)</f>
        <v>0</v>
      </c>
      <c r="EP797" s="1727"/>
      <c r="EQ797" s="1727"/>
      <c r="ER797" s="1727"/>
      <c r="ES797" s="1460"/>
      <c r="ET797" s="1459">
        <f>SUM(ET787:EX796)</f>
        <v>0</v>
      </c>
      <c r="EU797" s="1727"/>
      <c r="EV797" s="1727"/>
      <c r="EW797" s="1727"/>
      <c r="EX797" s="1460"/>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5">
        <f>SUM(DU797:EX797)</f>
        <v>0</v>
      </c>
      <c r="EU799" s="1856"/>
      <c r="EV799" s="1856"/>
      <c r="EW799" s="1856"/>
      <c r="EX799" s="185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2">
        <f>O753+AC777+AC797</f>
        <v>210490.5</v>
      </c>
      <c r="Z800" s="1702"/>
      <c r="AA800" s="1702"/>
      <c r="AB800" s="1702"/>
      <c r="AC800" s="17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2">
        <f>(O753+AC777+AC797)*12</f>
        <v>2525886</v>
      </c>
      <c r="Z801" s="1702"/>
      <c r="AA801" s="1702"/>
      <c r="AB801" s="1702"/>
      <c r="AC801" s="17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67">
        <f>CP753+CP777+CP797</f>
        <v>0</v>
      </c>
      <c r="CQ802" s="1468"/>
      <c r="CR802" s="1468"/>
      <c r="CS802" s="1468"/>
      <c r="CT802" s="1469"/>
      <c r="CU802" s="1467">
        <f>CU753+CU777+CU797</f>
        <v>45</v>
      </c>
      <c r="CV802" s="1468"/>
      <c r="CW802" s="1468"/>
      <c r="CX802" s="1468"/>
      <c r="CY802" s="1469"/>
      <c r="CZ802" s="1467">
        <f>CZ753+CZ777+CZ797</f>
        <v>30</v>
      </c>
      <c r="DA802" s="1468"/>
      <c r="DB802" s="1468"/>
      <c r="DC802" s="1468"/>
      <c r="DD802" s="1469"/>
      <c r="DE802" s="1467">
        <f>DE753+DE777+DE797</f>
        <v>30</v>
      </c>
      <c r="DF802" s="1468"/>
      <c r="DG802" s="1468"/>
      <c r="DH802" s="1468"/>
      <c r="DI802" s="1469"/>
      <c r="DJ802" s="1467">
        <f>DJ753+DJ777+DJ797</f>
        <v>0</v>
      </c>
      <c r="DK802" s="1468"/>
      <c r="DL802" s="1468"/>
      <c r="DM802" s="1468"/>
      <c r="DN802" s="1469"/>
      <c r="DO802" s="1464">
        <f>DO797+DO777+DO753</f>
        <v>0</v>
      </c>
      <c r="DP802" s="1465"/>
      <c r="DQ802" s="1465"/>
      <c r="DR802" s="1465"/>
      <c r="DS802" s="1466"/>
      <c r="DT802" s="3"/>
      <c r="DU802" s="861">
        <f>DU755+DU800</f>
        <v>193</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49"/>
      <c r="AA806" s="1550"/>
      <c r="AB806" s="1550"/>
      <c r="AC806" s="1550"/>
      <c r="AD806" s="1550"/>
      <c r="AE806" s="155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c r="AA807" s="1550"/>
      <c r="AB807" s="1550"/>
      <c r="AC807" s="1550"/>
      <c r="AD807" s="1550"/>
      <c r="AE807" s="155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6">
        <v>0</v>
      </c>
      <c r="AA808" s="1523"/>
      <c r="AB808" s="1523"/>
      <c r="AC808" s="1523"/>
      <c r="AD808" s="1523"/>
      <c r="AE808" s="15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04">
        <f>'Subsidy Contract Calculation'!J40</f>
        <v>0</v>
      </c>
      <c r="AA809" s="1605"/>
      <c r="AB809" s="1605"/>
      <c r="AC809" s="1605"/>
      <c r="AD809" s="1605"/>
      <c r="AE809" s="160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0">
        <f>350*105</f>
        <v>36750</v>
      </c>
      <c r="AA813" s="1471"/>
      <c r="AB813" s="1471"/>
      <c r="AC813" s="1471"/>
      <c r="AD813" s="1471"/>
      <c r="AE813" s="147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0">
        <v>14400</v>
      </c>
      <c r="AA814" s="1471"/>
      <c r="AB814" s="1471"/>
      <c r="AC814" s="1471"/>
      <c r="AD814" s="1471"/>
      <c r="AE814" s="147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0">
        <v>0</v>
      </c>
      <c r="AA815" s="1471"/>
      <c r="AB815" s="1471"/>
      <c r="AC815" s="1471"/>
      <c r="AD815" s="1471"/>
      <c r="AE815" s="147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82" t="s">
        <v>2704</v>
      </c>
      <c r="Q816" s="1583"/>
      <c r="R816" s="1583"/>
      <c r="S816" s="1583"/>
      <c r="T816" s="1583"/>
      <c r="U816" s="1583"/>
      <c r="V816" s="1583"/>
      <c r="W816" s="1583"/>
      <c r="X816" s="1583"/>
      <c r="Y816" s="1584"/>
      <c r="Z816" s="1470">
        <v>81600</v>
      </c>
      <c r="AA816" s="1471"/>
      <c r="AB816" s="1471"/>
      <c r="AC816" s="1471"/>
      <c r="AD816" s="1471"/>
      <c r="AE816" s="147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04">
        <f>SUM(Z813:AE816)</f>
        <v>132750</v>
      </c>
      <c r="AA817" s="1605"/>
      <c r="AB817" s="1605"/>
      <c r="AC817" s="1605"/>
      <c r="AD817" s="1605"/>
      <c r="AE817" s="160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04">
        <f>Z817+Y801+Z809</f>
        <v>2658636</v>
      </c>
      <c r="AA818" s="1605"/>
      <c r="AB818" s="1605"/>
      <c r="AC818" s="1605"/>
      <c r="AD818" s="1605"/>
      <c r="AE818" s="160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74" t="s">
        <v>126</v>
      </c>
      <c r="N823" s="1574"/>
      <c r="O823" s="1574"/>
      <c r="P823" s="1644"/>
      <c r="Q823" s="1603" t="s">
        <v>290</v>
      </c>
      <c r="R823" s="1603"/>
      <c r="S823" s="1603"/>
      <c r="T823" s="1603"/>
      <c r="U823" s="1603" t="s">
        <v>291</v>
      </c>
      <c r="V823" s="1603"/>
      <c r="W823" s="1603"/>
      <c r="X823" s="1603"/>
      <c r="Y823" s="1603" t="s">
        <v>292</v>
      </c>
      <c r="Z823" s="1603"/>
      <c r="AA823" s="1603"/>
      <c r="AB823" s="1603"/>
      <c r="AC823" s="1603" t="s">
        <v>361</v>
      </c>
      <c r="AD823" s="1603"/>
      <c r="AE823" s="1603"/>
      <c r="AF823" s="1603"/>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78"/>
      <c r="N824" s="1578"/>
      <c r="O824" s="1578"/>
      <c r="P824" s="1589"/>
      <c r="Q824" s="1603"/>
      <c r="R824" s="1603"/>
      <c r="S824" s="1603"/>
      <c r="T824" s="1603"/>
      <c r="U824" s="1603"/>
      <c r="V824" s="1603"/>
      <c r="W824" s="1603"/>
      <c r="X824" s="1603"/>
      <c r="Y824" s="1603"/>
      <c r="Z824" s="1603"/>
      <c r="AA824" s="1603"/>
      <c r="AB824" s="1603"/>
      <c r="AC824" s="1603"/>
      <c r="AD824" s="1603"/>
      <c r="AE824" s="1603"/>
      <c r="AF824" s="1603"/>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37" t="s">
        <v>40</v>
      </c>
      <c r="D825" s="1358"/>
      <c r="E825" s="1358"/>
      <c r="F825" s="1358"/>
      <c r="G825" s="1358"/>
      <c r="H825" s="1358"/>
      <c r="I825" s="48"/>
      <c r="J825" s="48"/>
      <c r="K825" s="48"/>
      <c r="L825" s="49"/>
      <c r="M825" s="1630"/>
      <c r="N825" s="1630"/>
      <c r="O825" s="1630"/>
      <c r="P825" s="1630"/>
      <c r="Q825" s="1630">
        <v>8</v>
      </c>
      <c r="R825" s="1630"/>
      <c r="S825" s="1630"/>
      <c r="T825" s="1630"/>
      <c r="U825" s="1630">
        <v>11</v>
      </c>
      <c r="V825" s="1630"/>
      <c r="W825" s="1630"/>
      <c r="X825" s="1630"/>
      <c r="Y825" s="1630">
        <v>13</v>
      </c>
      <c r="Z825" s="1630"/>
      <c r="AA825" s="1630"/>
      <c r="AB825" s="1630"/>
      <c r="AC825" s="1447"/>
      <c r="AD825" s="1448"/>
      <c r="AE825" s="1448"/>
      <c r="AF825" s="1449"/>
      <c r="AG825" s="1447"/>
      <c r="AH825" s="1448"/>
      <c r="AI825" s="1448"/>
      <c r="AJ825" s="1449"/>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13" t="s">
        <v>41</v>
      </c>
      <c r="D826" s="1614"/>
      <c r="E826" s="1614"/>
      <c r="F826" s="1614"/>
      <c r="G826" s="1614"/>
      <c r="H826" s="1614"/>
      <c r="I826" s="5"/>
      <c r="J826" s="5"/>
      <c r="K826" s="5"/>
      <c r="L826" s="46"/>
      <c r="M826" s="1630"/>
      <c r="N826" s="1630"/>
      <c r="O826" s="1630"/>
      <c r="P826" s="1630"/>
      <c r="Q826" s="1630"/>
      <c r="R826" s="1630"/>
      <c r="S826" s="1630"/>
      <c r="T826" s="1630"/>
      <c r="U826" s="1630"/>
      <c r="V826" s="1630"/>
      <c r="W826" s="1630"/>
      <c r="X826" s="1630"/>
      <c r="Y826" s="1630"/>
      <c r="Z826" s="1630"/>
      <c r="AA826" s="1630"/>
      <c r="AB826" s="1630"/>
      <c r="AC826" s="1447"/>
      <c r="AD826" s="1448"/>
      <c r="AE826" s="1448"/>
      <c r="AF826" s="1449"/>
      <c r="AG826" s="1447"/>
      <c r="AH826" s="1448"/>
      <c r="AI826" s="1448"/>
      <c r="AJ826" s="1449"/>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13" t="s">
        <v>42</v>
      </c>
      <c r="D827" s="1614"/>
      <c r="E827" s="1614"/>
      <c r="F827" s="1614"/>
      <c r="G827" s="1614"/>
      <c r="H827" s="1614"/>
      <c r="I827" s="60"/>
      <c r="J827" s="60"/>
      <c r="K827" s="60"/>
      <c r="L827" s="61"/>
      <c r="M827" s="1630"/>
      <c r="N827" s="1630"/>
      <c r="O827" s="1630"/>
      <c r="P827" s="1630"/>
      <c r="Q827" s="1630">
        <v>3</v>
      </c>
      <c r="R827" s="1630"/>
      <c r="S827" s="1630"/>
      <c r="T827" s="1630"/>
      <c r="U827" s="1630">
        <v>4</v>
      </c>
      <c r="V827" s="1630"/>
      <c r="W827" s="1630"/>
      <c r="X827" s="1630"/>
      <c r="Y827" s="1630">
        <v>5</v>
      </c>
      <c r="Z827" s="1630"/>
      <c r="AA827" s="1630"/>
      <c r="AB827" s="1630"/>
      <c r="AC827" s="1447"/>
      <c r="AD827" s="1448"/>
      <c r="AE827" s="1448"/>
      <c r="AF827" s="1449"/>
      <c r="AG827" s="1447"/>
      <c r="AH827" s="1448"/>
      <c r="AI827" s="1448"/>
      <c r="AJ827" s="1449"/>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13" t="s">
        <v>763</v>
      </c>
      <c r="D828" s="1614"/>
      <c r="E828" s="1614"/>
      <c r="F828" s="1614"/>
      <c r="G828" s="1614"/>
      <c r="H828" s="1614"/>
      <c r="I828" s="60"/>
      <c r="J828" s="60"/>
      <c r="K828" s="60"/>
      <c r="L828" s="61"/>
      <c r="M828" s="1630"/>
      <c r="N828" s="1630"/>
      <c r="O828" s="1630"/>
      <c r="P828" s="1630"/>
      <c r="Q828" s="1630"/>
      <c r="R828" s="1630"/>
      <c r="S828" s="1630"/>
      <c r="T828" s="1630"/>
      <c r="U828" s="1630"/>
      <c r="V828" s="1630"/>
      <c r="W828" s="1630"/>
      <c r="X828" s="1630"/>
      <c r="Y828" s="1630"/>
      <c r="Z828" s="1630"/>
      <c r="AA828" s="1630"/>
      <c r="AB828" s="1630"/>
      <c r="AC828" s="1447"/>
      <c r="AD828" s="1448"/>
      <c r="AE828" s="1448"/>
      <c r="AF828" s="1449"/>
      <c r="AG828" s="1447"/>
      <c r="AH828" s="1448"/>
      <c r="AI828" s="1448"/>
      <c r="AJ828" s="1449"/>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13" t="s">
        <v>460</v>
      </c>
      <c r="D829" s="1614"/>
      <c r="E829" s="1614"/>
      <c r="F829" s="1614"/>
      <c r="G829" s="1614"/>
      <c r="H829" s="1614"/>
      <c r="I829" s="60"/>
      <c r="J829" s="60"/>
      <c r="K829" s="60"/>
      <c r="L829" s="61"/>
      <c r="M829" s="1630"/>
      <c r="N829" s="1630"/>
      <c r="O829" s="1630"/>
      <c r="P829" s="1630"/>
      <c r="Q829" s="1630">
        <v>22</v>
      </c>
      <c r="R829" s="1630"/>
      <c r="S829" s="1630"/>
      <c r="T829" s="1630"/>
      <c r="U829" s="1630">
        <v>28</v>
      </c>
      <c r="V829" s="1630"/>
      <c r="W829" s="1630"/>
      <c r="X829" s="1630"/>
      <c r="Y829" s="1630">
        <v>35</v>
      </c>
      <c r="Z829" s="1630"/>
      <c r="AA829" s="1630"/>
      <c r="AB829" s="1630"/>
      <c r="AC829" s="1447"/>
      <c r="AD829" s="1448"/>
      <c r="AE829" s="1448"/>
      <c r="AF829" s="1449"/>
      <c r="AG829" s="1447"/>
      <c r="AH829" s="1448"/>
      <c r="AI829" s="1448"/>
      <c r="AJ829" s="1449"/>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40" t="s">
        <v>784</v>
      </c>
      <c r="D830" s="1614"/>
      <c r="E830" s="1614"/>
      <c r="F830" s="1614"/>
      <c r="G830" s="1614"/>
      <c r="H830" s="1614"/>
      <c r="I830" s="60"/>
      <c r="J830" s="60"/>
      <c r="K830" s="60"/>
      <c r="L830" s="61"/>
      <c r="M830" s="1630"/>
      <c r="N830" s="1630"/>
      <c r="O830" s="1630"/>
      <c r="P830" s="1630"/>
      <c r="Q830" s="1630"/>
      <c r="R830" s="1630"/>
      <c r="S830" s="1630"/>
      <c r="T830" s="1630"/>
      <c r="U830" s="1630"/>
      <c r="V830" s="1630"/>
      <c r="W830" s="1630"/>
      <c r="X830" s="1630"/>
      <c r="Y830" s="1630"/>
      <c r="Z830" s="1630"/>
      <c r="AA830" s="1630"/>
      <c r="AB830" s="1630"/>
      <c r="AC830" s="1447"/>
      <c r="AD830" s="1448"/>
      <c r="AE830" s="1448"/>
      <c r="AF830" s="1449"/>
      <c r="AG830" s="1447"/>
      <c r="AH830" s="1448"/>
      <c r="AI830" s="1448"/>
      <c r="AJ830" s="1449"/>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82" t="s">
        <v>2705</v>
      </c>
      <c r="G831" s="1583"/>
      <c r="H831" s="1583"/>
      <c r="I831" s="1583"/>
      <c r="J831" s="1583"/>
      <c r="K831" s="1583"/>
      <c r="L831" s="1583"/>
      <c r="M831" s="1630"/>
      <c r="N831" s="1630"/>
      <c r="O831" s="1630"/>
      <c r="P831" s="1630"/>
      <c r="Q831" s="1630">
        <v>10</v>
      </c>
      <c r="R831" s="1630"/>
      <c r="S831" s="1630"/>
      <c r="T831" s="1630"/>
      <c r="U831" s="1630">
        <v>13</v>
      </c>
      <c r="V831" s="1630"/>
      <c r="W831" s="1630"/>
      <c r="X831" s="1630"/>
      <c r="Y831" s="1630">
        <v>15</v>
      </c>
      <c r="Z831" s="1630"/>
      <c r="AA831" s="1630"/>
      <c r="AB831" s="1630"/>
      <c r="AC831" s="1447"/>
      <c r="AD831" s="1448"/>
      <c r="AE831" s="1448"/>
      <c r="AF831" s="1449"/>
      <c r="AG831" s="1447"/>
      <c r="AH831" s="1448"/>
      <c r="AI831" s="1448"/>
      <c r="AJ831" s="1449"/>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641" t="s">
        <v>124</v>
      </c>
      <c r="D832" s="1642"/>
      <c r="E832" s="1642"/>
      <c r="F832" s="1642"/>
      <c r="G832" s="1642"/>
      <c r="H832" s="1642"/>
      <c r="I832" s="1642"/>
      <c r="J832" s="1642"/>
      <c r="K832" s="1642"/>
      <c r="L832" s="1643"/>
      <c r="M832" s="1624">
        <f>SUM(M825:P831)</f>
        <v>0</v>
      </c>
      <c r="N832" s="1624"/>
      <c r="O832" s="1624"/>
      <c r="P832" s="1624"/>
      <c r="Q832" s="1624">
        <f>SUM(Q825:T831)</f>
        <v>43</v>
      </c>
      <c r="R832" s="1624"/>
      <c r="S832" s="1624"/>
      <c r="T832" s="1624"/>
      <c r="U832" s="1624">
        <f>SUM(U825:X831)</f>
        <v>56</v>
      </c>
      <c r="V832" s="1624"/>
      <c r="W832" s="1624"/>
      <c r="X832" s="1624"/>
      <c r="Y832" s="1624">
        <f>SUM(Y825:AB831)</f>
        <v>68</v>
      </c>
      <c r="Z832" s="1624"/>
      <c r="AA832" s="1624"/>
      <c r="AB832" s="1624"/>
      <c r="AC832" s="1624">
        <f>SUM(AC825:AF831)</f>
        <v>0</v>
      </c>
      <c r="AD832" s="1624"/>
      <c r="AE832" s="1624"/>
      <c r="AF832" s="1624"/>
      <c r="AG832" s="1624">
        <f>SUM(AG825:AJ831)</f>
        <v>0</v>
      </c>
      <c r="AH832" s="1624"/>
      <c r="AI832" s="1624"/>
      <c r="AJ832" s="1624"/>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5" t="s">
        <v>2720</v>
      </c>
      <c r="D837" s="1706"/>
      <c r="E837" s="1706"/>
      <c r="F837" s="1706"/>
      <c r="G837" s="1706"/>
      <c r="H837" s="1706"/>
      <c r="I837" s="1706"/>
      <c r="J837" s="1706"/>
      <c r="K837" s="1706"/>
      <c r="L837" s="1706"/>
      <c r="M837" s="1706"/>
      <c r="N837" s="1706"/>
      <c r="O837" s="1706"/>
      <c r="P837" s="1706"/>
      <c r="Q837" s="1706"/>
      <c r="R837" s="1706"/>
      <c r="S837" s="1706"/>
      <c r="T837" s="1706"/>
      <c r="U837" s="1706"/>
      <c r="V837" s="1706"/>
      <c r="W837" s="1706"/>
      <c r="X837" s="1706"/>
      <c r="Y837" s="1706"/>
      <c r="Z837" s="1706"/>
      <c r="AA837" s="1706"/>
      <c r="AB837" s="1706"/>
      <c r="AC837" s="1706"/>
      <c r="AD837" s="1706"/>
      <c r="AE837" s="1706"/>
      <c r="AF837" s="1706"/>
      <c r="AG837" s="1706"/>
      <c r="AH837" s="1706"/>
      <c r="AI837" s="1706"/>
      <c r="AJ837" s="1707"/>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1"/>
      <c r="BJ841" s="1651"/>
      <c r="BK841" s="1651"/>
      <c r="BL841" s="1651"/>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73">
        <v>7500</v>
      </c>
      <c r="X842" s="1473"/>
      <c r="Y842" s="1473"/>
      <c r="Z842" s="1473"/>
      <c r="AA842" s="1473"/>
      <c r="AB842" s="1473"/>
      <c r="AC842" s="1473"/>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73">
        <v>25000</v>
      </c>
      <c r="X843" s="1473"/>
      <c r="Y843" s="1473"/>
      <c r="Z843" s="1473"/>
      <c r="AA843" s="1473"/>
      <c r="AB843" s="1473"/>
      <c r="AC843" s="1473"/>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73">
        <v>15750</v>
      </c>
      <c r="X844" s="1473"/>
      <c r="Y844" s="1473"/>
      <c r="Z844" s="1473"/>
      <c r="AA844" s="1473"/>
      <c r="AB844" s="1473"/>
      <c r="AC844" s="1473"/>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73">
        <v>45200</v>
      </c>
      <c r="X845" s="1473"/>
      <c r="Y845" s="1473"/>
      <c r="Z845" s="1473"/>
      <c r="AA845" s="1473"/>
      <c r="AB845" s="1473"/>
      <c r="AC845" s="1473"/>
      <c r="AZ845" s="30"/>
      <c r="BA845" s="30"/>
      <c r="BB845" s="14"/>
      <c r="BC845" s="14"/>
      <c r="BD845" s="14"/>
      <c r="BE845" s="14"/>
      <c r="BF845" s="14"/>
      <c r="BG845" s="14"/>
      <c r="BH845" s="14"/>
      <c r="BI845" s="14"/>
      <c r="BJ845" s="14"/>
      <c r="BK845" s="14"/>
      <c r="BL845" s="14"/>
    </row>
    <row r="846" spans="1:64" ht="12.95" customHeight="1">
      <c r="J846" s="45" t="s">
        <v>170</v>
      </c>
      <c r="K846" s="5"/>
      <c r="L846" s="5"/>
      <c r="M846" s="1582" t="s">
        <v>2706</v>
      </c>
      <c r="N846" s="1583"/>
      <c r="O846" s="1583"/>
      <c r="P846" s="1583"/>
      <c r="Q846" s="1583"/>
      <c r="R846" s="1583"/>
      <c r="S846" s="1583"/>
      <c r="T846" s="1583"/>
      <c r="U846" s="1583"/>
      <c r="V846" s="1584"/>
      <c r="W846" s="1473">
        <v>21200</v>
      </c>
      <c r="X846" s="1473"/>
      <c r="Y846" s="1473"/>
      <c r="Z846" s="1473"/>
      <c r="AA846" s="1473"/>
      <c r="AB846" s="1473"/>
      <c r="AC846" s="1473"/>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04">
        <f>SUM(W842:W846)</f>
        <v>114650</v>
      </c>
      <c r="X847" s="1605"/>
      <c r="Y847" s="1605"/>
      <c r="Z847" s="1605"/>
      <c r="AA847" s="1605"/>
      <c r="AB847" s="1605"/>
      <c r="AC847" s="160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16"/>
      <c r="BH848" s="1616"/>
      <c r="BI848" s="1616"/>
      <c r="BJ848" s="1616"/>
      <c r="BK848" s="1616"/>
      <c r="BL848" s="1616"/>
    </row>
    <row r="849" spans="3:55" ht="12.95" customHeight="1">
      <c r="C849" s="2" t="s">
        <v>344</v>
      </c>
      <c r="J849" s="1641" t="s">
        <v>345</v>
      </c>
      <c r="K849" s="1642"/>
      <c r="L849" s="1642"/>
      <c r="M849" s="1642"/>
      <c r="N849" s="1642"/>
      <c r="O849" s="1642"/>
      <c r="P849" s="1642"/>
      <c r="Q849" s="1642"/>
      <c r="R849" s="1642"/>
      <c r="S849" s="1642"/>
      <c r="T849" s="1642"/>
      <c r="U849" s="1642"/>
      <c r="V849" s="1643"/>
      <c r="W849" s="1470">
        <v>150000</v>
      </c>
      <c r="X849" s="1471"/>
      <c r="Y849" s="1471"/>
      <c r="Z849" s="1471"/>
      <c r="AA849" s="1471"/>
      <c r="AB849" s="1471"/>
      <c r="AC849" s="1472"/>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39"/>
      <c r="X851" s="1639"/>
      <c r="Y851" s="1639"/>
      <c r="Z851" s="1639"/>
      <c r="AA851" s="1639"/>
      <c r="AB851" s="1639"/>
      <c r="AC851" s="1639"/>
      <c r="AZ851" s="1858"/>
      <c r="BA851" s="1858"/>
      <c r="BB851" s="14"/>
      <c r="BC851" s="14"/>
    </row>
    <row r="852" spans="3:55" ht="12.95" customHeight="1">
      <c r="J852" s="45" t="s">
        <v>351</v>
      </c>
      <c r="K852" s="5"/>
      <c r="L852" s="5"/>
      <c r="M852" s="5"/>
      <c r="N852" s="5"/>
      <c r="O852" s="5"/>
      <c r="P852" s="5"/>
      <c r="Q852" s="5"/>
      <c r="R852" s="5"/>
      <c r="S852" s="5"/>
      <c r="T852" s="5"/>
      <c r="U852" s="5"/>
      <c r="V852" s="46"/>
      <c r="W852" s="1639"/>
      <c r="X852" s="1639"/>
      <c r="Y852" s="1639"/>
      <c r="Z852" s="1639"/>
      <c r="AA852" s="1639"/>
      <c r="AB852" s="1639"/>
      <c r="AC852" s="1639"/>
      <c r="AZ852" s="30"/>
      <c r="BA852" s="30"/>
      <c r="BB852" s="14"/>
      <c r="BC852" s="14"/>
    </row>
    <row r="853" spans="3:55" ht="12.95" customHeight="1">
      <c r="J853" s="45" t="s">
        <v>460</v>
      </c>
      <c r="K853" s="5"/>
      <c r="L853" s="5"/>
      <c r="M853" s="5"/>
      <c r="N853" s="5"/>
      <c r="O853" s="5"/>
      <c r="P853" s="5"/>
      <c r="Q853" s="5"/>
      <c r="R853" s="5"/>
      <c r="S853" s="5"/>
      <c r="T853" s="5"/>
      <c r="U853" s="5"/>
      <c r="V853" s="46"/>
      <c r="W853" s="1639">
        <v>36540</v>
      </c>
      <c r="X853" s="1639"/>
      <c r="Y853" s="1639"/>
      <c r="Z853" s="1639"/>
      <c r="AA853" s="1639"/>
      <c r="AB853" s="1639"/>
      <c r="AC853" s="1639"/>
      <c r="AZ853" s="30"/>
      <c r="BA853" s="30"/>
      <c r="BB853" s="14"/>
      <c r="BC853" s="14"/>
    </row>
    <row r="854" spans="3:55" ht="12.95" customHeight="1">
      <c r="J854" s="62" t="s">
        <v>621</v>
      </c>
      <c r="K854" s="5"/>
      <c r="L854" s="5"/>
      <c r="M854" s="5"/>
      <c r="N854" s="5"/>
      <c r="O854" s="5"/>
      <c r="P854" s="5"/>
      <c r="Q854" s="5"/>
      <c r="R854" s="5"/>
      <c r="S854" s="5"/>
      <c r="T854" s="5"/>
      <c r="U854" s="5"/>
      <c r="V854" s="46"/>
      <c r="W854" s="1639">
        <v>32450</v>
      </c>
      <c r="X854" s="1639"/>
      <c r="Y854" s="1639"/>
      <c r="Z854" s="1639"/>
      <c r="AA854" s="1639"/>
      <c r="AB854" s="1639"/>
      <c r="AC854" s="1639"/>
      <c r="AZ854" s="34"/>
      <c r="BA854" s="34"/>
      <c r="BB854" s="34"/>
      <c r="BC854" s="34"/>
    </row>
    <row r="855" spans="3:55" ht="12.95" customHeight="1">
      <c r="J855" s="63"/>
      <c r="K855" s="48"/>
      <c r="L855" s="48"/>
      <c r="M855" s="48"/>
      <c r="N855" s="48"/>
      <c r="O855" s="48"/>
      <c r="P855" s="48"/>
      <c r="Q855" s="48"/>
      <c r="R855" s="48"/>
      <c r="S855" s="48"/>
      <c r="T855" s="48"/>
      <c r="U855" s="48"/>
      <c r="V855" s="54" t="s">
        <v>272</v>
      </c>
      <c r="W855" s="1704">
        <f>SUM(W851:W854)</f>
        <v>68990</v>
      </c>
      <c r="X855" s="1704"/>
      <c r="Y855" s="1704"/>
      <c r="Z855" s="1704"/>
      <c r="AA855" s="1704"/>
      <c r="AB855" s="1704"/>
      <c r="AC855" s="1704"/>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18">
        <v>65300</v>
      </c>
      <c r="X857" s="1619"/>
      <c r="Y857" s="1619"/>
      <c r="Z857" s="1619"/>
      <c r="AA857" s="1619"/>
      <c r="AB857" s="1619"/>
      <c r="AC857" s="1620"/>
      <c r="AD857" s="528"/>
      <c r="AZ857" s="34"/>
      <c r="BA857" s="34"/>
      <c r="BB857" s="34"/>
      <c r="BC857" s="34"/>
    </row>
    <row r="858" spans="3:55" ht="12.95" customHeight="1">
      <c r="C858" s="2" t="s">
        <v>347</v>
      </c>
      <c r="J858" s="121" t="s">
        <v>1656</v>
      </c>
      <c r="K858" s="5"/>
      <c r="L858" s="5"/>
      <c r="M858" s="5"/>
      <c r="N858" s="5"/>
      <c r="O858" s="5"/>
      <c r="P858" s="5"/>
      <c r="Q858" s="5"/>
      <c r="R858" s="5"/>
      <c r="S858" s="5"/>
      <c r="T858" s="1708">
        <v>2</v>
      </c>
      <c r="U858" s="1688"/>
      <c r="V858" s="1709"/>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18">
        <v>46110</v>
      </c>
      <c r="X859" s="1619"/>
      <c r="Y859" s="1619"/>
      <c r="Z859" s="1619"/>
      <c r="AA859" s="1619"/>
      <c r="AB859" s="1619"/>
      <c r="AC859" s="1620"/>
      <c r="AD859" s="533"/>
      <c r="AZ859" s="34"/>
      <c r="BA859" s="34"/>
      <c r="BB859" s="34"/>
      <c r="BC859" s="34"/>
    </row>
    <row r="860" spans="3:55" ht="12.95" customHeight="1">
      <c r="C860" s="2"/>
      <c r="J860" s="121" t="s">
        <v>1657</v>
      </c>
      <c r="K860" s="5"/>
      <c r="L860" s="5"/>
      <c r="M860" s="5"/>
      <c r="N860" s="5"/>
      <c r="O860" s="5"/>
      <c r="P860" s="5"/>
      <c r="Q860" s="5"/>
      <c r="R860" s="5"/>
      <c r="S860" s="5"/>
      <c r="T860" s="1708"/>
      <c r="U860" s="1688"/>
      <c r="V860" s="1709"/>
      <c r="W860" s="874"/>
      <c r="X860" s="875"/>
      <c r="Y860" s="875"/>
      <c r="Z860" s="875"/>
      <c r="AA860" s="875"/>
      <c r="AB860" s="875"/>
      <c r="AC860" s="876"/>
      <c r="AD860" s="533"/>
      <c r="AZ860" s="34"/>
      <c r="BA860" s="34"/>
      <c r="BB860" s="34"/>
      <c r="BC860" s="34"/>
    </row>
    <row r="861" spans="3:55" ht="12.95" customHeight="1">
      <c r="J861" s="45" t="s">
        <v>170</v>
      </c>
      <c r="K861" s="5"/>
      <c r="L861" s="5"/>
      <c r="M861" s="1582" t="s">
        <v>2707</v>
      </c>
      <c r="N861" s="1583"/>
      <c r="O861" s="1583"/>
      <c r="P861" s="1583"/>
      <c r="Q861" s="1583"/>
      <c r="R861" s="1583"/>
      <c r="S861" s="1583"/>
      <c r="T861" s="1583"/>
      <c r="U861" s="1583"/>
      <c r="V861" s="1584"/>
      <c r="W861" s="1618">
        <v>25000</v>
      </c>
      <c r="X861" s="1619"/>
      <c r="Y861" s="1619"/>
      <c r="Z861" s="1619"/>
      <c r="AA861" s="1619"/>
      <c r="AB861" s="1619"/>
      <c r="AC861" s="1620"/>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0">
        <f>SUM(W857:W861)</f>
        <v>136410</v>
      </c>
      <c r="X862" s="1711"/>
      <c r="Y862" s="1711"/>
      <c r="Z862" s="1711"/>
      <c r="AA862" s="1711"/>
      <c r="AB862" s="1711"/>
      <c r="AC862" s="1712"/>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18">
        <v>52450</v>
      </c>
      <c r="X863" s="1619"/>
      <c r="Y863" s="1619"/>
      <c r="Z863" s="1619"/>
      <c r="AA863" s="1619"/>
      <c r="AB863" s="1619"/>
      <c r="AC863" s="1620"/>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73">
        <v>6500</v>
      </c>
      <c r="X865" s="1473"/>
      <c r="Y865" s="1473"/>
      <c r="Z865" s="1473"/>
      <c r="AA865" s="1473"/>
      <c r="AB865" s="1473"/>
      <c r="AC865" s="1473"/>
      <c r="AU865" s="14"/>
      <c r="AZ865" s="34"/>
      <c r="BA865" s="34"/>
      <c r="BB865" s="34"/>
      <c r="BC865" s="34"/>
    </row>
    <row r="866" spans="3:55" ht="12.95" customHeight="1">
      <c r="J866" s="45" t="s">
        <v>523</v>
      </c>
      <c r="K866" s="5"/>
      <c r="L866" s="5"/>
      <c r="M866" s="5"/>
      <c r="N866" s="5"/>
      <c r="O866" s="5"/>
      <c r="P866" s="5"/>
      <c r="Q866" s="5"/>
      <c r="R866" s="5"/>
      <c r="S866" s="5"/>
      <c r="T866" s="5"/>
      <c r="U866" s="5"/>
      <c r="V866" s="46"/>
      <c r="W866" s="1473">
        <v>30000</v>
      </c>
      <c r="X866" s="1473"/>
      <c r="Y866" s="1473"/>
      <c r="Z866" s="1473"/>
      <c r="AA866" s="1473"/>
      <c r="AB866" s="1473"/>
      <c r="AC866" s="1473"/>
      <c r="AU866" s="4"/>
      <c r="AZ866" s="34"/>
      <c r="BA866" s="34"/>
      <c r="BB866" s="34"/>
      <c r="BC866" s="34"/>
    </row>
    <row r="867" spans="3:55" ht="12.95" customHeight="1">
      <c r="J867" s="45" t="s">
        <v>522</v>
      </c>
      <c r="K867" s="5"/>
      <c r="L867" s="5"/>
      <c r="M867" s="5"/>
      <c r="N867" s="5"/>
      <c r="O867" s="5"/>
      <c r="P867" s="5"/>
      <c r="Q867" s="5"/>
      <c r="R867" s="5"/>
      <c r="S867" s="5"/>
      <c r="T867" s="5"/>
      <c r="U867" s="5"/>
      <c r="V867" s="46"/>
      <c r="W867" s="1473">
        <v>10000</v>
      </c>
      <c r="X867" s="1473"/>
      <c r="Y867" s="1473"/>
      <c r="Z867" s="1473"/>
      <c r="AA867" s="1473"/>
      <c r="AB867" s="1473"/>
      <c r="AC867" s="1473"/>
      <c r="AU867" s="4"/>
      <c r="AZ867" s="34"/>
      <c r="BA867" s="34"/>
      <c r="BB867" s="34"/>
      <c r="BC867" s="34"/>
    </row>
    <row r="868" spans="3:55" ht="12.95" customHeight="1">
      <c r="J868" s="45" t="s">
        <v>521</v>
      </c>
      <c r="K868" s="5"/>
      <c r="L868" s="5"/>
      <c r="M868" s="5"/>
      <c r="N868" s="5"/>
      <c r="O868" s="5"/>
      <c r="P868" s="5"/>
      <c r="Q868" s="5"/>
      <c r="R868" s="5"/>
      <c r="S868" s="5"/>
      <c r="T868" s="5"/>
      <c r="U868" s="5"/>
      <c r="V868" s="46"/>
      <c r="W868" s="1473">
        <v>5000</v>
      </c>
      <c r="X868" s="1473"/>
      <c r="Y868" s="1473"/>
      <c r="Z868" s="1473"/>
      <c r="AA868" s="1473"/>
      <c r="AB868" s="1473"/>
      <c r="AC868" s="1473"/>
      <c r="AU868" s="4"/>
      <c r="AZ868" s="34"/>
      <c r="BA868" s="34"/>
      <c r="BB868" s="34"/>
      <c r="BC868" s="34"/>
    </row>
    <row r="869" spans="3:55" ht="12.95" customHeight="1">
      <c r="J869" s="45" t="s">
        <v>520</v>
      </c>
      <c r="K869" s="5"/>
      <c r="L869" s="5"/>
      <c r="M869" s="5"/>
      <c r="N869" s="5"/>
      <c r="O869" s="5"/>
      <c r="P869" s="5"/>
      <c r="Q869" s="5"/>
      <c r="R869" s="5"/>
      <c r="S869" s="5"/>
      <c r="T869" s="5"/>
      <c r="U869" s="5"/>
      <c r="V869" s="46"/>
      <c r="W869" s="1473">
        <v>25000</v>
      </c>
      <c r="X869" s="1473"/>
      <c r="Y869" s="1473"/>
      <c r="Z869" s="1473"/>
      <c r="AA869" s="1473"/>
      <c r="AB869" s="1473"/>
      <c r="AC869" s="1473"/>
      <c r="AU869" s="4"/>
      <c r="AZ869" s="34"/>
      <c r="BA869" s="34"/>
      <c r="BB869" s="34"/>
      <c r="BC869" s="34"/>
    </row>
    <row r="870" spans="3:55" ht="12.95" customHeight="1">
      <c r="J870" s="45" t="s">
        <v>519</v>
      </c>
      <c r="K870" s="5"/>
      <c r="L870" s="5"/>
      <c r="M870" s="5"/>
      <c r="N870" s="5"/>
      <c r="O870" s="5"/>
      <c r="P870" s="5"/>
      <c r="Q870" s="5"/>
      <c r="R870" s="5"/>
      <c r="S870" s="5"/>
      <c r="T870" s="5"/>
      <c r="U870" s="5"/>
      <c r="V870" s="46"/>
      <c r="W870" s="1473">
        <v>20000</v>
      </c>
      <c r="X870" s="1473"/>
      <c r="Y870" s="1473"/>
      <c r="Z870" s="1473"/>
      <c r="AA870" s="1473"/>
      <c r="AB870" s="1473"/>
      <c r="AC870" s="1473"/>
      <c r="AU870" s="4"/>
      <c r="AZ870" s="34"/>
      <c r="BA870" s="34"/>
      <c r="BB870" s="34"/>
      <c r="BC870" s="34"/>
    </row>
    <row r="871" spans="3:55" ht="12.95" customHeight="1">
      <c r="J871" s="45" t="s">
        <v>170</v>
      </c>
      <c r="K871" s="5"/>
      <c r="L871" s="5"/>
      <c r="M871" s="1582" t="s">
        <v>2708</v>
      </c>
      <c r="N871" s="1583"/>
      <c r="O871" s="1583"/>
      <c r="P871" s="1583"/>
      <c r="Q871" s="1583"/>
      <c r="R871" s="1583"/>
      <c r="S871" s="1583"/>
      <c r="T871" s="1583"/>
      <c r="U871" s="1583"/>
      <c r="V871" s="1584"/>
      <c r="W871" s="1473">
        <v>20000</v>
      </c>
      <c r="X871" s="1473"/>
      <c r="Y871" s="1473"/>
      <c r="Z871" s="1473"/>
      <c r="AA871" s="1473"/>
      <c r="AB871" s="1473"/>
      <c r="AC871" s="1473"/>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2">
        <f>SUM(W865:W871)</f>
        <v>116500</v>
      </c>
      <c r="X872" s="1702"/>
      <c r="Y872" s="1702"/>
      <c r="Z872" s="1702"/>
      <c r="AA872" s="1702"/>
      <c r="AB872" s="1702"/>
      <c r="AC872" s="1702"/>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82" t="s">
        <v>2709</v>
      </c>
      <c r="N874" s="1583"/>
      <c r="O874" s="1583"/>
      <c r="P874" s="1583"/>
      <c r="Q874" s="1583"/>
      <c r="R874" s="1583"/>
      <c r="S874" s="1583"/>
      <c r="T874" s="1583"/>
      <c r="U874" s="1583"/>
      <c r="V874" s="1584"/>
      <c r="W874" s="1470">
        <v>7500</v>
      </c>
      <c r="X874" s="1471"/>
      <c r="Y874" s="1471"/>
      <c r="Z874" s="1471"/>
      <c r="AA874" s="1471"/>
      <c r="AB874" s="1471"/>
      <c r="AC874" s="1472"/>
      <c r="AD874" s="533"/>
      <c r="AV874" s="14"/>
      <c r="AW874" s="14"/>
      <c r="AX874" s="14"/>
      <c r="AY874" s="14"/>
      <c r="AZ874" s="34"/>
      <c r="BA874" s="34"/>
      <c r="BB874" s="34"/>
      <c r="BC874" s="34"/>
    </row>
    <row r="875" spans="3:55" ht="12.95" customHeight="1">
      <c r="C875" s="2" t="s">
        <v>1245</v>
      </c>
      <c r="J875" s="45" t="s">
        <v>170</v>
      </c>
      <c r="K875" s="5"/>
      <c r="L875" s="5"/>
      <c r="M875" s="1582" t="s">
        <v>2710</v>
      </c>
      <c r="N875" s="1583"/>
      <c r="O875" s="1583"/>
      <c r="P875" s="1583"/>
      <c r="Q875" s="1583"/>
      <c r="R875" s="1583"/>
      <c r="S875" s="1583"/>
      <c r="T875" s="1583"/>
      <c r="U875" s="1583"/>
      <c r="V875" s="1584"/>
      <c r="W875" s="1470">
        <v>4500</v>
      </c>
      <c r="X875" s="1471"/>
      <c r="Y875" s="1471"/>
      <c r="Z875" s="1471"/>
      <c r="AA875" s="1471"/>
      <c r="AB875" s="1471"/>
      <c r="AC875" s="1472"/>
      <c r="AD875" s="533"/>
      <c r="AV875" s="14"/>
      <c r="AW875" s="14"/>
      <c r="AX875" s="14"/>
      <c r="AY875" s="14"/>
      <c r="AZ875" s="34"/>
      <c r="BA875" s="34"/>
      <c r="BB875" s="34"/>
      <c r="BC875" s="34"/>
    </row>
    <row r="876" spans="3:55" ht="12.95" customHeight="1">
      <c r="J876" s="45" t="s">
        <v>170</v>
      </c>
      <c r="K876" s="5"/>
      <c r="L876" s="5"/>
      <c r="M876" s="1582" t="s">
        <v>334</v>
      </c>
      <c r="N876" s="1583"/>
      <c r="O876" s="1583"/>
      <c r="P876" s="1583"/>
      <c r="Q876" s="1583"/>
      <c r="R876" s="1583"/>
      <c r="S876" s="1583"/>
      <c r="T876" s="1583"/>
      <c r="U876" s="1583"/>
      <c r="V876" s="1584"/>
      <c r="W876" s="1470"/>
      <c r="X876" s="1471"/>
      <c r="Y876" s="1471"/>
      <c r="Z876" s="1471"/>
      <c r="AA876" s="1471"/>
      <c r="AB876" s="1471"/>
      <c r="AC876" s="1472"/>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82" t="s">
        <v>334</v>
      </c>
      <c r="N877" s="1583"/>
      <c r="O877" s="1583"/>
      <c r="P877" s="1583"/>
      <c r="Q877" s="1583"/>
      <c r="R877" s="1583"/>
      <c r="S877" s="1583"/>
      <c r="T877" s="1583"/>
      <c r="U877" s="1583"/>
      <c r="V877" s="1584"/>
      <c r="W877" s="1470"/>
      <c r="X877" s="1471"/>
      <c r="Y877" s="1471"/>
      <c r="Z877" s="1471"/>
      <c r="AA877" s="1471"/>
      <c r="AB877" s="1471"/>
      <c r="AC877" s="1472"/>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82" t="s">
        <v>334</v>
      </c>
      <c r="N878" s="1583"/>
      <c r="O878" s="1583"/>
      <c r="P878" s="1583"/>
      <c r="Q878" s="1583"/>
      <c r="R878" s="1583"/>
      <c r="S878" s="1583"/>
      <c r="T878" s="1583"/>
      <c r="U878" s="1583"/>
      <c r="V878" s="1584"/>
      <c r="W878" s="1470"/>
      <c r="X878" s="1471"/>
      <c r="Y878" s="1471"/>
      <c r="Z878" s="1471"/>
      <c r="AA878" s="1471"/>
      <c r="AB878" s="1471"/>
      <c r="AC878" s="1472"/>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04">
        <f>SUM(W874:W878)</f>
        <v>12000</v>
      </c>
      <c r="X879" s="1605"/>
      <c r="Y879" s="1605"/>
      <c r="Z879" s="1605"/>
      <c r="AA879" s="1605"/>
      <c r="AB879" s="1605"/>
      <c r="AC879" s="160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05">
        <f>W847+W855+W862+W863+W872+W879+W849</f>
        <v>651000</v>
      </c>
      <c r="AD883" s="1605"/>
      <c r="AE883" s="1605"/>
      <c r="AF883" s="1605"/>
      <c r="AG883" s="1605"/>
      <c r="AH883" s="160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3">
        <f>O797+O777+G753</f>
        <v>105</v>
      </c>
      <c r="AD884" s="1713"/>
      <c r="AE884" s="1713"/>
      <c r="AF884" s="1713"/>
      <c r="AG884" s="1713"/>
      <c r="AH884" s="1714"/>
      <c r="AL884" s="4"/>
      <c r="AM884" s="4"/>
      <c r="AN884" s="4"/>
      <c r="AO884" s="4"/>
      <c r="AP884" s="4"/>
      <c r="AQ884" s="4"/>
      <c r="AR884" s="4"/>
      <c r="AS884" s="4"/>
      <c r="AT884" s="4"/>
      <c r="AZ884" s="34"/>
      <c r="BA884" s="34"/>
      <c r="BB884" s="34"/>
      <c r="BC884" s="34"/>
    </row>
    <row r="885" spans="3:55" ht="12.95" customHeight="1">
      <c r="C885" s="41"/>
      <c r="D885" s="42"/>
      <c r="E885" s="1634" t="s">
        <v>32</v>
      </c>
      <c r="F885" s="1634"/>
      <c r="G885" s="1634"/>
      <c r="H885" s="1634"/>
      <c r="I885" s="1634"/>
      <c r="J885" s="1634"/>
      <c r="K885" s="1634"/>
      <c r="L885" s="1634"/>
      <c r="M885" s="1634"/>
      <c r="N885" s="1634"/>
      <c r="O885" s="1634"/>
      <c r="P885" s="1634"/>
      <c r="Q885" s="1634"/>
      <c r="R885" s="1634"/>
      <c r="S885" s="1634"/>
      <c r="T885" s="1634"/>
      <c r="U885" s="1634"/>
      <c r="V885" s="1634"/>
      <c r="W885" s="1634"/>
      <c r="X885" s="1634"/>
      <c r="Y885" s="1634"/>
      <c r="Z885" s="1634"/>
      <c r="AA885" s="1634"/>
      <c r="AB885" s="1635"/>
      <c r="AC885" s="1702">
        <f>IF(ISERROR((ROUNDDOWN(AC883/AC884,0))),0,(ROUNDDOWN(AC883/AC884,0)))</f>
        <v>6200</v>
      </c>
      <c r="AD885" s="1702"/>
      <c r="AE885" s="1702"/>
      <c r="AF885" s="1702"/>
      <c r="AG885" s="1702"/>
      <c r="AH885" s="1702"/>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5">
        <f>'Sources and Uses Budget'!C75</f>
        <v>573042</v>
      </c>
      <c r="AD886" s="1716"/>
      <c r="AE886" s="1716"/>
      <c r="AF886" s="1716"/>
      <c r="AG886" s="1716"/>
      <c r="AH886" s="1716"/>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72"/>
      <c r="AD887" s="1473"/>
      <c r="AE887" s="1473"/>
      <c r="AF887" s="1473"/>
      <c r="AG887" s="1473"/>
      <c r="AH887" s="1473"/>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71">
        <v>24300</v>
      </c>
      <c r="AD888" s="1471"/>
      <c r="AE888" s="1471"/>
      <c r="AF888" s="1471"/>
      <c r="AG888" s="1471"/>
      <c r="AH888" s="1472"/>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71">
        <v>31500</v>
      </c>
      <c r="AD889" s="1471"/>
      <c r="AE889" s="1471"/>
      <c r="AF889" s="1471"/>
      <c r="AG889" s="1471"/>
      <c r="AH889" s="1472"/>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47"/>
      <c r="AD890" s="1448"/>
      <c r="AE890" s="1448"/>
      <c r="AF890" s="1448"/>
      <c r="AG890" s="1448"/>
      <c r="AH890" s="1449"/>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71">
        <v>15750</v>
      </c>
      <c r="AD891" s="1471"/>
      <c r="AE891" s="1471"/>
      <c r="AF891" s="1471"/>
      <c r="AG891" s="1471"/>
      <c r="AH891" s="1472"/>
      <c r="AZ891" s="34"/>
      <c r="BA891" s="34"/>
      <c r="BB891" s="34"/>
      <c r="BC891" s="34"/>
    </row>
    <row r="892" spans="3:55" ht="12.95" hidden="1" customHeight="1">
      <c r="C892" s="1641" t="s">
        <v>2233</v>
      </c>
      <c r="D892" s="1642"/>
      <c r="E892" s="1642"/>
      <c r="F892" s="1642"/>
      <c r="G892" s="1642"/>
      <c r="H892" s="1642"/>
      <c r="I892" s="1642"/>
      <c r="J892" s="1642"/>
      <c r="K892" s="1642"/>
      <c r="L892" s="1642"/>
      <c r="M892" s="1642"/>
      <c r="N892" s="1642"/>
      <c r="O892" s="1642"/>
      <c r="P892" s="1642"/>
      <c r="Q892" s="1642"/>
      <c r="R892" s="1642"/>
      <c r="S892" s="1642"/>
      <c r="T892" s="1642"/>
      <c r="U892" s="1642"/>
      <c r="V892" s="1642"/>
      <c r="W892" s="1642"/>
      <c r="X892" s="1642"/>
      <c r="Y892" s="1642"/>
      <c r="Z892" s="1642"/>
      <c r="AA892" s="1642"/>
      <c r="AB892" s="1643"/>
      <c r="AC892" s="1471"/>
      <c r="AD892" s="1471"/>
      <c r="AE892" s="1471"/>
      <c r="AF892" s="1471"/>
      <c r="AG892" s="1471"/>
      <c r="AH892" s="1472"/>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71"/>
      <c r="AD893" s="1471"/>
      <c r="AE893" s="1471"/>
      <c r="AF893" s="1471"/>
      <c r="AG893" s="1471"/>
      <c r="AH893" s="1472"/>
      <c r="AZ893" s="34"/>
      <c r="BA893" s="34"/>
      <c r="BB893" s="34"/>
      <c r="BC893" s="34"/>
    </row>
    <row r="894" spans="3:55" ht="12.95" customHeight="1">
      <c r="C894" s="1621" t="s">
        <v>2711</v>
      </c>
      <c r="D894" s="1622"/>
      <c r="E894" s="1622"/>
      <c r="F894" s="1622"/>
      <c r="G894" s="1622"/>
      <c r="H894" s="1622"/>
      <c r="I894" s="1622"/>
      <c r="J894" s="1622"/>
      <c r="K894" s="1622"/>
      <c r="L894" s="1622"/>
      <c r="M894" s="1622"/>
      <c r="N894" s="1622"/>
      <c r="O894" s="1622"/>
      <c r="P894" s="1622"/>
      <c r="Q894" s="1622"/>
      <c r="R894" s="1622"/>
      <c r="S894" s="1622"/>
      <c r="T894" s="1622"/>
      <c r="U894" s="1622"/>
      <c r="V894" s="1622"/>
      <c r="W894" s="1622"/>
      <c r="X894" s="1622"/>
      <c r="Y894" s="1622"/>
      <c r="Z894" s="1622"/>
      <c r="AA894" s="1622"/>
      <c r="AB894" s="1623"/>
      <c r="AC894" s="1473">
        <v>7875</v>
      </c>
      <c r="AD894" s="1473"/>
      <c r="AE894" s="1473"/>
      <c r="AF894" s="1473"/>
      <c r="AG894" s="1473"/>
      <c r="AH894" s="1473"/>
      <c r="AZ894" s="34"/>
      <c r="BA894" s="34"/>
      <c r="BB894" s="34"/>
      <c r="BC894" s="34"/>
    </row>
    <row r="895" spans="3:55" ht="12.95" customHeight="1">
      <c r="C895" s="1621" t="s">
        <v>957</v>
      </c>
      <c r="D895" s="1622"/>
      <c r="E895" s="1622"/>
      <c r="F895" s="1622"/>
      <c r="G895" s="1622"/>
      <c r="H895" s="1622"/>
      <c r="I895" s="1622"/>
      <c r="J895" s="1622"/>
      <c r="K895" s="1622"/>
      <c r="L895" s="1622"/>
      <c r="M895" s="1622"/>
      <c r="N895" s="1622"/>
      <c r="O895" s="1622"/>
      <c r="P895" s="1622"/>
      <c r="Q895" s="1622"/>
      <c r="R895" s="1622"/>
      <c r="S895" s="1622"/>
      <c r="T895" s="1622"/>
      <c r="U895" s="1622"/>
      <c r="V895" s="1622"/>
      <c r="W895" s="1622"/>
      <c r="X895" s="1622"/>
      <c r="Y895" s="1622"/>
      <c r="Z895" s="1622"/>
      <c r="AA895" s="1622"/>
      <c r="AB895" s="1623"/>
      <c r="AC895" s="1473"/>
      <c r="AD895" s="1473"/>
      <c r="AE895" s="1473"/>
      <c r="AF895" s="1473"/>
      <c r="AG895" s="1473"/>
      <c r="AH895" s="1473"/>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0"/>
      <c r="AA899" s="1471"/>
      <c r="AB899" s="1471"/>
      <c r="AC899" s="1471"/>
      <c r="AD899" s="1471"/>
      <c r="AE899" s="1472"/>
      <c r="AF899" s="533"/>
      <c r="AZ899" s="34"/>
      <c r="BB899" s="30"/>
      <c r="BC899" s="816"/>
      <c r="BD899" s="1617"/>
      <c r="BE899" s="1617"/>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0"/>
      <c r="AA900" s="1471"/>
      <c r="AB900" s="1471"/>
      <c r="AC900" s="1471"/>
      <c r="AD900" s="1471"/>
      <c r="AE900" s="1472"/>
      <c r="AZ900" s="34"/>
      <c r="BB900" s="30"/>
      <c r="BC900" s="816"/>
      <c r="BD900" s="1617"/>
      <c r="BE900" s="1617"/>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0"/>
      <c r="AA901" s="1471"/>
      <c r="AB901" s="1471"/>
      <c r="AC901" s="1471"/>
      <c r="AD901" s="1471"/>
      <c r="AE901" s="1472"/>
      <c r="AZ901" s="34"/>
      <c r="BB901" s="30"/>
      <c r="BC901" s="816"/>
      <c r="BD901" s="1616"/>
      <c r="BE901" s="1616"/>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04">
        <f>Z899-(Z900+Z901)</f>
        <v>0</v>
      </c>
      <c r="AA902" s="1605"/>
      <c r="AB902" s="1605"/>
      <c r="AC902" s="1605"/>
      <c r="AD902" s="1605"/>
      <c r="AE902" s="1606"/>
      <c r="AZ902" s="34"/>
      <c r="BB902" s="30"/>
      <c r="BC902" s="816"/>
      <c r="BD902" s="1616"/>
      <c r="BE902" s="1616"/>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16"/>
      <c r="BE903" s="1616"/>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17"/>
      <c r="BE904" s="1616"/>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3"/>
      <c r="BE905" s="1703"/>
      <c r="BF905" s="1703"/>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1"/>
      <c r="BE906" s="1651"/>
      <c r="BF906" s="1651"/>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16"/>
      <c r="BE907" s="1616"/>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17"/>
      <c r="BE908" s="1616"/>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17"/>
      <c r="BE910" s="1616"/>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36" t="s">
        <v>793</v>
      </c>
      <c r="G915" s="1637"/>
      <c r="H915" s="1637"/>
      <c r="I915" s="1637"/>
      <c r="J915" s="1637"/>
      <c r="K915" s="1637"/>
      <c r="L915" s="1637"/>
      <c r="M915" s="1637"/>
      <c r="N915" s="1637"/>
      <c r="O915" s="1637"/>
      <c r="P915" s="1637"/>
      <c r="Q915" s="1637"/>
      <c r="R915" s="1637"/>
      <c r="S915" s="1637"/>
      <c r="T915" s="1638"/>
      <c r="U915" s="1573" t="s">
        <v>31</v>
      </c>
      <c r="V915" s="1574"/>
      <c r="W915" s="1574"/>
      <c r="X915" s="1574"/>
      <c r="Y915" s="1574"/>
      <c r="Z915" s="1574"/>
      <c r="AA915" s="43"/>
      <c r="AB915" s="105"/>
      <c r="AC915" s="105"/>
      <c r="AD915" s="105"/>
      <c r="AE915" s="105"/>
      <c r="AF915" s="106"/>
      <c r="AZ915" s="34"/>
      <c r="BA915" s="34"/>
      <c r="BB915" s="34"/>
      <c r="BC915" s="34"/>
    </row>
    <row r="916" spans="1:58" ht="12.95" customHeight="1">
      <c r="B916" s="2"/>
      <c r="F916" s="1575" t="s">
        <v>819</v>
      </c>
      <c r="G916" s="1576"/>
      <c r="H916" s="1576"/>
      <c r="I916" s="1576"/>
      <c r="J916" s="1576"/>
      <c r="K916" s="1576"/>
      <c r="L916" s="1576"/>
      <c r="M916" s="1576"/>
      <c r="N916" s="1576"/>
      <c r="O916" s="1576"/>
      <c r="P916" s="1576"/>
      <c r="Q916" s="1576"/>
      <c r="R916" s="1576"/>
      <c r="S916" s="1576"/>
      <c r="T916" s="1588"/>
      <c r="U916" s="1575"/>
      <c r="V916" s="1576"/>
      <c r="W916" s="1576"/>
      <c r="X916" s="1576"/>
      <c r="Y916" s="1576"/>
      <c r="Z916" s="1576"/>
      <c r="AA916" s="44"/>
      <c r="AB916" s="4"/>
      <c r="AC916" s="4"/>
      <c r="AD916" s="4"/>
      <c r="AE916" s="4"/>
      <c r="AF916" s="107"/>
      <c r="AZ916" s="34"/>
      <c r="BA916" s="34"/>
      <c r="BB916" s="34"/>
      <c r="BC916" s="34"/>
    </row>
    <row r="917" spans="1:58" ht="12.95" customHeight="1">
      <c r="B917" s="2"/>
      <c r="F917" s="1577"/>
      <c r="G917" s="1578"/>
      <c r="H917" s="1578"/>
      <c r="I917" s="1578"/>
      <c r="J917" s="1578"/>
      <c r="K917" s="1578"/>
      <c r="L917" s="1578"/>
      <c r="M917" s="1578"/>
      <c r="N917" s="1578"/>
      <c r="O917" s="1578"/>
      <c r="P917" s="1578"/>
      <c r="Q917" s="1578"/>
      <c r="R917" s="1578"/>
      <c r="S917" s="1578"/>
      <c r="T917" s="1589"/>
      <c r="U917" s="1577"/>
      <c r="V917" s="1578"/>
      <c r="W917" s="1578"/>
      <c r="X917" s="1578"/>
      <c r="Y917" s="1578"/>
      <c r="Z917" s="1578"/>
      <c r="AA917" s="108"/>
      <c r="AB917" s="1625" t="s">
        <v>391</v>
      </c>
      <c r="AC917" s="1625"/>
      <c r="AD917" s="1625"/>
      <c r="AE917" s="1625"/>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1" t="s">
        <v>546</v>
      </c>
      <c r="V918" s="1402"/>
      <c r="W918" s="1402"/>
      <c r="X918" s="1402"/>
      <c r="Y918" s="1402"/>
      <c r="Z918" s="1403"/>
      <c r="AA918" s="1407">
        <f>AM554+AM555</f>
        <v>17742278</v>
      </c>
      <c r="AB918" s="1408"/>
      <c r="AC918" s="1408"/>
      <c r="AD918" s="1408"/>
      <c r="AE918" s="1408"/>
      <c r="AF918" s="140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1" t="s">
        <v>546</v>
      </c>
      <c r="V919" s="1402"/>
      <c r="W919" s="1402"/>
      <c r="X919" s="1402"/>
      <c r="Y919" s="1402"/>
      <c r="Z919" s="1403"/>
      <c r="AA919" s="1407">
        <f>AM556</f>
        <v>25262802</v>
      </c>
      <c r="AB919" s="1408"/>
      <c r="AC919" s="1408"/>
      <c r="AD919" s="1408"/>
      <c r="AE919" s="1408"/>
      <c r="AF919" s="140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2.95" customHeight="1">
      <c r="F926" s="1590" t="s">
        <v>2193</v>
      </c>
      <c r="G926" s="1591"/>
      <c r="H926" s="1591"/>
      <c r="I926" s="1591"/>
      <c r="J926" s="1591"/>
      <c r="K926" s="1591"/>
      <c r="L926" s="1591"/>
      <c r="M926" s="1591"/>
      <c r="N926" s="1591"/>
      <c r="O926" s="1591"/>
      <c r="P926" s="1591"/>
      <c r="Q926" s="1591"/>
      <c r="R926" s="1591"/>
      <c r="S926" s="1591"/>
      <c r="T926" s="1592"/>
      <c r="U926" s="1401" t="s">
        <v>592</v>
      </c>
      <c r="V926" s="1402"/>
      <c r="W926" s="1402"/>
      <c r="X926" s="1402"/>
      <c r="Y926" s="1402"/>
      <c r="Z926" s="1403"/>
      <c r="AA926" s="1407"/>
      <c r="AB926" s="1408"/>
      <c r="AC926" s="1408"/>
      <c r="AD926" s="1408"/>
      <c r="AE926" s="1408"/>
      <c r="AF926" s="1409"/>
      <c r="AZ926" s="34"/>
      <c r="BA926" s="34"/>
      <c r="BB926" s="34"/>
      <c r="BC926" s="34"/>
    </row>
    <row r="927" spans="1:58" ht="12.95" customHeight="1">
      <c r="F927" s="1590" t="s">
        <v>680</v>
      </c>
      <c r="G927" s="1591"/>
      <c r="H927" s="1591"/>
      <c r="I927" s="1591"/>
      <c r="J927" s="1591"/>
      <c r="K927" s="1591"/>
      <c r="L927" s="1591"/>
      <c r="M927" s="1591"/>
      <c r="N927" s="1591"/>
      <c r="O927" s="1591"/>
      <c r="P927" s="1591"/>
      <c r="Q927" s="1591"/>
      <c r="R927" s="1591"/>
      <c r="S927" s="1591"/>
      <c r="T927" s="1592"/>
      <c r="U927" s="1401" t="s">
        <v>592</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590" t="s">
        <v>2194</v>
      </c>
      <c r="G928" s="1591"/>
      <c r="H928" s="1591"/>
      <c r="I928" s="1591"/>
      <c r="J928" s="1591"/>
      <c r="K928" s="1591"/>
      <c r="L928" s="1591"/>
      <c r="M928" s="1591"/>
      <c r="N928" s="1591"/>
      <c r="O928" s="1591"/>
      <c r="P928" s="1591"/>
      <c r="Q928" s="1591"/>
      <c r="R928" s="1591"/>
      <c r="S928" s="1591"/>
      <c r="T928" s="1592"/>
      <c r="U928" s="1401" t="s">
        <v>592</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590" t="s">
        <v>2195</v>
      </c>
      <c r="G929" s="1591"/>
      <c r="H929" s="1591"/>
      <c r="I929" s="1591"/>
      <c r="J929" s="1591"/>
      <c r="K929" s="1591"/>
      <c r="L929" s="1591"/>
      <c r="M929" s="1591"/>
      <c r="N929" s="1591"/>
      <c r="O929" s="1591"/>
      <c r="P929" s="1591"/>
      <c r="Q929" s="1591"/>
      <c r="R929" s="1591"/>
      <c r="S929" s="1591"/>
      <c r="T929" s="1592"/>
      <c r="U929" s="1401" t="s">
        <v>592</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590" t="s">
        <v>2196</v>
      </c>
      <c r="G930" s="1591"/>
      <c r="H930" s="1591"/>
      <c r="I930" s="1591"/>
      <c r="J930" s="1591"/>
      <c r="K930" s="1591"/>
      <c r="L930" s="1591"/>
      <c r="M930" s="1591"/>
      <c r="N930" s="1591"/>
      <c r="O930" s="1591"/>
      <c r="P930" s="1591"/>
      <c r="Q930" s="1591"/>
      <c r="R930" s="1591"/>
      <c r="S930" s="1591"/>
      <c r="T930" s="1592"/>
      <c r="U930" s="1401" t="s">
        <v>592</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590" t="s">
        <v>2197</v>
      </c>
      <c r="G931" s="1591"/>
      <c r="H931" s="1591"/>
      <c r="I931" s="1591"/>
      <c r="J931" s="1591"/>
      <c r="K931" s="1591"/>
      <c r="L931" s="1591"/>
      <c r="M931" s="1591"/>
      <c r="N931" s="1591"/>
      <c r="O931" s="1591"/>
      <c r="P931" s="1591"/>
      <c r="Q931" s="1591"/>
      <c r="R931" s="1591"/>
      <c r="S931" s="1591"/>
      <c r="T931" s="1592"/>
      <c r="U931" s="1401" t="s">
        <v>592</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590" t="s">
        <v>2198</v>
      </c>
      <c r="G932" s="1591"/>
      <c r="H932" s="1591"/>
      <c r="I932" s="1591"/>
      <c r="J932" s="1591"/>
      <c r="K932" s="1591"/>
      <c r="L932" s="1591"/>
      <c r="M932" s="1591"/>
      <c r="N932" s="1591"/>
      <c r="O932" s="1591"/>
      <c r="P932" s="1591"/>
      <c r="Q932" s="1591"/>
      <c r="R932" s="1591"/>
      <c r="S932" s="1591"/>
      <c r="T932" s="1592"/>
      <c r="U932" s="1401" t="s">
        <v>592</v>
      </c>
      <c r="V932" s="1402"/>
      <c r="W932" s="1402"/>
      <c r="X932" s="1402"/>
      <c r="Y932" s="1402"/>
      <c r="Z932" s="1403"/>
      <c r="AA932" s="1407"/>
      <c r="AB932" s="1408"/>
      <c r="AC932" s="1408"/>
      <c r="AD932" s="1408"/>
      <c r="AE932" s="1408"/>
      <c r="AF932" s="1409"/>
      <c r="AZ932" s="30"/>
      <c r="BA932" s="30"/>
    </row>
    <row r="933" spans="6:55" ht="12.95"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2.95" customHeight="1">
      <c r="F934" s="121" t="s">
        <v>1278</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2.95"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2.95" customHeight="1">
      <c r="F936" s="1627" t="s">
        <v>2202</v>
      </c>
      <c r="G936" s="1628"/>
      <c r="H936" s="1628"/>
      <c r="I936" s="1628"/>
      <c r="J936" s="1628"/>
      <c r="K936" s="1628"/>
      <c r="L936" s="1628"/>
      <c r="M936" s="1628"/>
      <c r="N936" s="1628"/>
      <c r="O936" s="1628"/>
      <c r="P936" s="1628"/>
      <c r="Q936" s="1628"/>
      <c r="R936" s="1628"/>
      <c r="S936" s="1628"/>
      <c r="T936" s="1629"/>
      <c r="U936" s="1401" t="s">
        <v>592</v>
      </c>
      <c r="V936" s="1402"/>
      <c r="W936" s="1402"/>
      <c r="X936" s="1402"/>
      <c r="Y936" s="1402"/>
      <c r="Z936" s="1403"/>
      <c r="AA936" s="1407"/>
      <c r="AB936" s="1408"/>
      <c r="AC936" s="1408"/>
      <c r="AD936" s="1408"/>
      <c r="AE936" s="1408"/>
      <c r="AF936" s="1409"/>
      <c r="AZ936" s="30"/>
      <c r="BA936" s="14"/>
    </row>
    <row r="937" spans="6:55" ht="12.95" customHeight="1">
      <c r="F937" s="1627" t="s">
        <v>2203</v>
      </c>
      <c r="G937" s="1628"/>
      <c r="H937" s="1628"/>
      <c r="I937" s="1628"/>
      <c r="J937" s="1628"/>
      <c r="K937" s="1628"/>
      <c r="L937" s="1628"/>
      <c r="M937" s="1628"/>
      <c r="N937" s="1628"/>
      <c r="O937" s="1628"/>
      <c r="P937" s="1628"/>
      <c r="Q937" s="1628"/>
      <c r="R937" s="1628"/>
      <c r="S937" s="1628"/>
      <c r="T937" s="1629"/>
      <c r="U937" s="1401" t="s">
        <v>592</v>
      </c>
      <c r="V937" s="1402"/>
      <c r="W937" s="1402"/>
      <c r="X937" s="1402"/>
      <c r="Y937" s="1402"/>
      <c r="Z937" s="1403"/>
      <c r="AA937" s="1407"/>
      <c r="AB937" s="1408"/>
      <c r="AC937" s="1408"/>
      <c r="AD937" s="1408"/>
      <c r="AE937" s="1408"/>
      <c r="AF937" s="1409"/>
      <c r="AZ937" s="30"/>
      <c r="BA937" s="30"/>
    </row>
    <row r="938" spans="6:55" ht="12.95" customHeight="1">
      <c r="F938" s="1590" t="s">
        <v>2199</v>
      </c>
      <c r="G938" s="1591"/>
      <c r="H938" s="1591"/>
      <c r="I938" s="1591"/>
      <c r="J938" s="1591"/>
      <c r="K938" s="1591"/>
      <c r="L938" s="1591"/>
      <c r="M938" s="1591"/>
      <c r="N938" s="1591"/>
      <c r="O938" s="1591"/>
      <c r="P938" s="1591"/>
      <c r="Q938" s="1591"/>
      <c r="R938" s="1591"/>
      <c r="S938" s="1591"/>
      <c r="T938" s="1592"/>
      <c r="U938" s="1401" t="s">
        <v>592</v>
      </c>
      <c r="V938" s="1402"/>
      <c r="W938" s="1402"/>
      <c r="X938" s="1402"/>
      <c r="Y938" s="1402"/>
      <c r="Z938" s="1403"/>
      <c r="AA938" s="1407"/>
      <c r="AB938" s="1408"/>
      <c r="AC938" s="1408"/>
      <c r="AD938" s="1408"/>
      <c r="AE938" s="1408"/>
      <c r="AF938" s="1409"/>
      <c r="AZ938" s="30"/>
      <c r="BA938" s="30"/>
    </row>
    <row r="939" spans="6:55" ht="12.95" customHeight="1">
      <c r="F939" s="1590" t="s">
        <v>2200</v>
      </c>
      <c r="G939" s="1591"/>
      <c r="H939" s="1591"/>
      <c r="I939" s="1591"/>
      <c r="J939" s="1591"/>
      <c r="K939" s="1591"/>
      <c r="L939" s="1591"/>
      <c r="M939" s="1591"/>
      <c r="N939" s="1591"/>
      <c r="O939" s="1591"/>
      <c r="P939" s="1591"/>
      <c r="Q939" s="1591"/>
      <c r="R939" s="1591"/>
      <c r="S939" s="1591"/>
      <c r="T939" s="1592"/>
      <c r="U939" s="1401" t="s">
        <v>592</v>
      </c>
      <c r="V939" s="1402"/>
      <c r="W939" s="1402"/>
      <c r="X939" s="1402"/>
      <c r="Y939" s="1402"/>
      <c r="Z939" s="1403"/>
      <c r="AA939" s="1407"/>
      <c r="AB939" s="1408"/>
      <c r="AC939" s="1408"/>
      <c r="AD939" s="1408"/>
      <c r="AE939" s="1408"/>
      <c r="AF939" s="1409"/>
      <c r="AZ939" s="30"/>
      <c r="BA939" s="30"/>
    </row>
    <row r="940" spans="6:55" ht="12.95" customHeight="1">
      <c r="F940" s="1590" t="s">
        <v>2201</v>
      </c>
      <c r="G940" s="1591"/>
      <c r="H940" s="1591"/>
      <c r="I940" s="1591"/>
      <c r="J940" s="1591"/>
      <c r="K940" s="1591"/>
      <c r="L940" s="1591"/>
      <c r="M940" s="1591"/>
      <c r="N940" s="1591"/>
      <c r="O940" s="1591"/>
      <c r="P940" s="1591"/>
      <c r="Q940" s="1591"/>
      <c r="R940" s="1591"/>
      <c r="S940" s="1591"/>
      <c r="T940" s="1592"/>
      <c r="U940" s="1401" t="s">
        <v>592</v>
      </c>
      <c r="V940" s="1402"/>
      <c r="W940" s="1402"/>
      <c r="X940" s="1402"/>
      <c r="Y940" s="1402"/>
      <c r="Z940" s="1403"/>
      <c r="AA940" s="1407"/>
      <c r="AB940" s="1408"/>
      <c r="AC940" s="1408"/>
      <c r="AD940" s="1408"/>
      <c r="AE940" s="1408"/>
      <c r="AF940" s="1409"/>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2.95" customHeight="1">
      <c r="F942" s="1627" t="s">
        <v>2204</v>
      </c>
      <c r="G942" s="1628"/>
      <c r="H942" s="1628"/>
      <c r="I942" s="1628"/>
      <c r="J942" s="1628"/>
      <c r="K942" s="1628"/>
      <c r="L942" s="1628"/>
      <c r="M942" s="1628"/>
      <c r="N942" s="1628"/>
      <c r="O942" s="1628"/>
      <c r="P942" s="1628"/>
      <c r="Q942" s="1628"/>
      <c r="R942" s="1628"/>
      <c r="S942" s="1628"/>
      <c r="T942" s="1629"/>
      <c r="U942" s="1401" t="s">
        <v>592</v>
      </c>
      <c r="V942" s="1402"/>
      <c r="W942" s="1402"/>
      <c r="X942" s="1402"/>
      <c r="Y942" s="1402"/>
      <c r="Z942" s="1403"/>
      <c r="AA942" s="1407"/>
      <c r="AB942" s="1408"/>
      <c r="AC942" s="1408"/>
      <c r="AD942" s="1408"/>
      <c r="AE942" s="1408"/>
      <c r="AF942" s="1409"/>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2.95" customHeight="1">
      <c r="F944" s="1627" t="s">
        <v>2205</v>
      </c>
      <c r="G944" s="1628"/>
      <c r="H944" s="1628"/>
      <c r="I944" s="1628"/>
      <c r="J944" s="1628"/>
      <c r="K944" s="1628"/>
      <c r="L944" s="1628"/>
      <c r="M944" s="1628"/>
      <c r="N944" s="1628"/>
      <c r="O944" s="1628"/>
      <c r="P944" s="1628"/>
      <c r="Q944" s="1628"/>
      <c r="R944" s="1628"/>
      <c r="S944" s="1628"/>
      <c r="T944" s="1629"/>
      <c r="U944" s="1401" t="s">
        <v>592</v>
      </c>
      <c r="V944" s="1402"/>
      <c r="W944" s="1402"/>
      <c r="X944" s="1402"/>
      <c r="Y944" s="1402"/>
      <c r="Z944" s="1403"/>
      <c r="AA944" s="1407"/>
      <c r="AB944" s="1408"/>
      <c r="AC944" s="1408"/>
      <c r="AD944" s="1408"/>
      <c r="AE944" s="1408"/>
      <c r="AF944" s="1409"/>
      <c r="AZ944" s="34"/>
      <c r="BA944" s="34"/>
      <c r="BB944" s="34"/>
      <c r="BC944" s="34"/>
    </row>
    <row r="945" spans="1:55" ht="12.95"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2.95" customHeight="1">
      <c r="F946" s="1590" t="s">
        <v>2192</v>
      </c>
      <c r="G946" s="1591"/>
      <c r="H946" s="1592"/>
      <c r="I946" s="1582" t="s">
        <v>334</v>
      </c>
      <c r="J946" s="1583"/>
      <c r="K946" s="1583"/>
      <c r="L946" s="1583"/>
      <c r="M946" s="1583"/>
      <c r="N946" s="1583"/>
      <c r="O946" s="1583"/>
      <c r="P946" s="1583"/>
      <c r="Q946" s="1583"/>
      <c r="R946" s="1583"/>
      <c r="S946" s="1583"/>
      <c r="T946" s="1584"/>
      <c r="U946" s="1401" t="s">
        <v>592</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82" t="s">
        <v>334</v>
      </c>
      <c r="J947" s="1583"/>
      <c r="K947" s="1583"/>
      <c r="L947" s="1583"/>
      <c r="M947" s="1583"/>
      <c r="N947" s="1583"/>
      <c r="O947" s="1583"/>
      <c r="P947" s="1583"/>
      <c r="Q947" s="1583"/>
      <c r="R947" s="1583"/>
      <c r="S947" s="1583"/>
      <c r="T947" s="1584"/>
      <c r="U947" s="1401" t="s">
        <v>592</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25" t="s">
        <v>334</v>
      </c>
      <c r="J948" s="1526"/>
      <c r="K948" s="1526"/>
      <c r="L948" s="1526"/>
      <c r="M948" s="1526"/>
      <c r="N948" s="1526"/>
      <c r="O948" s="1526"/>
      <c r="P948" s="1526"/>
      <c r="Q948" s="1526"/>
      <c r="R948" s="1526"/>
      <c r="S948" s="1526"/>
      <c r="T948" s="1527"/>
      <c r="U948" s="1401" t="s">
        <v>592</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2.95" customHeight="1">
      <c r="F949" s="47" t="s">
        <v>170</v>
      </c>
      <c r="G949" s="48"/>
      <c r="H949" s="48"/>
      <c r="I949" s="1525" t="s">
        <v>334</v>
      </c>
      <c r="J949" s="1526"/>
      <c r="K949" s="1526"/>
      <c r="L949" s="1526"/>
      <c r="M949" s="1526"/>
      <c r="N949" s="1526"/>
      <c r="O949" s="1526"/>
      <c r="P949" s="1526"/>
      <c r="Q949" s="1526"/>
      <c r="R949" s="1526"/>
      <c r="S949" s="1526"/>
      <c r="T949" s="1527"/>
      <c r="U949" s="1401" t="s">
        <v>592</v>
      </c>
      <c r="V949" s="1402"/>
      <c r="W949" s="1402"/>
      <c r="X949" s="1402"/>
      <c r="Y949" s="1402"/>
      <c r="Z949" s="1403"/>
      <c r="AA949" s="1407"/>
      <c r="AB949" s="1408"/>
      <c r="AC949" s="1408"/>
      <c r="AD949" s="1408"/>
      <c r="AE949" s="1408"/>
      <c r="AF949" s="1409"/>
      <c r="AU949" s="2"/>
      <c r="AZ949" s="34"/>
      <c r="BA949" s="34"/>
      <c r="BB949" s="34"/>
      <c r="BC949" s="34"/>
    </row>
    <row r="950" spans="1:55" ht="12.95" customHeight="1">
      <c r="F950" s="47" t="s">
        <v>170</v>
      </c>
      <c r="G950" s="48"/>
      <c r="H950" s="48"/>
      <c r="I950" s="1525" t="s">
        <v>334</v>
      </c>
      <c r="J950" s="1526"/>
      <c r="K950" s="1526"/>
      <c r="L950" s="1526"/>
      <c r="M950" s="1526"/>
      <c r="N950" s="1526"/>
      <c r="O950" s="1526"/>
      <c r="P950" s="1526"/>
      <c r="Q950" s="1526"/>
      <c r="R950" s="1526"/>
      <c r="S950" s="1526"/>
      <c r="T950" s="1527"/>
      <c r="U950" s="1401" t="s">
        <v>592</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22"/>
      <c r="N955" s="1523"/>
      <c r="O955" s="1523"/>
      <c r="P955" s="1523"/>
      <c r="Q955" s="1523"/>
      <c r="R955" s="1523"/>
      <c r="S955" s="1524"/>
      <c r="U955" s="66" t="s">
        <v>11</v>
      </c>
      <c r="V955" s="5"/>
      <c r="W955" s="5"/>
      <c r="X955" s="5"/>
      <c r="Y955" s="5"/>
      <c r="Z955" s="5"/>
      <c r="AA955" s="5"/>
      <c r="AB955" s="5"/>
      <c r="AC955" s="5"/>
      <c r="AD955" s="46"/>
      <c r="AE955" s="1522"/>
      <c r="AF955" s="1523"/>
      <c r="AG955" s="1523"/>
      <c r="AH955" s="1523"/>
      <c r="AI955" s="1523"/>
      <c r="AJ955" s="1523"/>
      <c r="AK955" s="1524"/>
      <c r="AZ955" s="34"/>
      <c r="BA955" s="34"/>
      <c r="BB955" s="34"/>
      <c r="BC955" s="34"/>
    </row>
    <row r="956" spans="1:55" ht="12.95" customHeight="1">
      <c r="C956" s="66" t="s">
        <v>12</v>
      </c>
      <c r="D956" s="5"/>
      <c r="E956" s="5"/>
      <c r="F956" s="5"/>
      <c r="G956" s="5"/>
      <c r="H956" s="5"/>
      <c r="I956" s="5"/>
      <c r="J956" s="5"/>
      <c r="K956" s="5"/>
      <c r="L956" s="46"/>
      <c r="M956" s="1534"/>
      <c r="N956" s="1535"/>
      <c r="O956" s="1535"/>
      <c r="P956" s="1535"/>
      <c r="Q956" s="1535"/>
      <c r="R956" s="1535"/>
      <c r="S956" s="1536"/>
      <c r="U956" s="66" t="s">
        <v>12</v>
      </c>
      <c r="V956" s="5"/>
      <c r="W956" s="5"/>
      <c r="X956" s="5"/>
      <c r="Y956" s="5"/>
      <c r="Z956" s="5"/>
      <c r="AA956" s="5"/>
      <c r="AB956" s="5"/>
      <c r="AC956" s="5"/>
      <c r="AD956" s="46"/>
      <c r="AE956" s="1534"/>
      <c r="AF956" s="1535"/>
      <c r="AG956" s="1535"/>
      <c r="AH956" s="1535"/>
      <c r="AI956" s="1535"/>
      <c r="AJ956" s="1535"/>
      <c r="AK956" s="1536"/>
      <c r="AZ956" s="34"/>
      <c r="BA956" s="34"/>
      <c r="BB956" s="34"/>
      <c r="BC956" s="34"/>
    </row>
    <row r="957" spans="1:55" ht="12.95" customHeight="1">
      <c r="C957" s="66" t="s">
        <v>881</v>
      </c>
      <c r="D957" s="5"/>
      <c r="E957" s="5"/>
      <c r="J957" s="1542" t="s">
        <v>307</v>
      </c>
      <c r="K957" s="1543"/>
      <c r="L957" s="1543"/>
      <c r="M957" s="1543"/>
      <c r="N957" s="1543"/>
      <c r="O957" s="1543"/>
      <c r="P957" s="1543"/>
      <c r="Q957" s="1543"/>
      <c r="R957" s="1543"/>
      <c r="S957" s="1544"/>
      <c r="U957" s="66" t="s">
        <v>881</v>
      </c>
      <c r="V957" s="5"/>
      <c r="W957" s="5"/>
      <c r="AB957" s="1542" t="s">
        <v>307</v>
      </c>
      <c r="AC957" s="1543"/>
      <c r="AD957" s="1543"/>
      <c r="AE957" s="1543"/>
      <c r="AF957" s="1543"/>
      <c r="AG957" s="1543"/>
      <c r="AH957" s="1543"/>
      <c r="AI957" s="1543"/>
      <c r="AJ957" s="1543"/>
      <c r="AK957" s="1544"/>
      <c r="AZ957" s="34"/>
      <c r="BA957" s="34"/>
      <c r="BB957" s="34"/>
      <c r="BC957" s="34"/>
    </row>
    <row r="958" spans="1:55" ht="12.95" customHeight="1">
      <c r="C958" s="66" t="s">
        <v>13</v>
      </c>
      <c r="D958" s="5"/>
      <c r="E958" s="5"/>
      <c r="F958" s="5"/>
      <c r="G958" s="5"/>
      <c r="H958" s="5"/>
      <c r="I958" s="5"/>
      <c r="J958" s="5"/>
      <c r="K958" s="5"/>
      <c r="L958" s="46"/>
      <c r="M958" s="1626"/>
      <c r="N958" s="1586"/>
      <c r="O958" s="1586"/>
      <c r="P958" s="1586"/>
      <c r="Q958" s="1586"/>
      <c r="R958" s="1586"/>
      <c r="S958" s="1587"/>
      <c r="U958" s="66" t="s">
        <v>13</v>
      </c>
      <c r="V958" s="5"/>
      <c r="W958" s="5"/>
      <c r="X958" s="5"/>
      <c r="Y958" s="5"/>
      <c r="Z958" s="5"/>
      <c r="AA958" s="5"/>
      <c r="AB958" s="5"/>
      <c r="AC958" s="5"/>
      <c r="AD958" s="46"/>
      <c r="AE958" s="1585"/>
      <c r="AF958" s="1586"/>
      <c r="AG958" s="1586"/>
      <c r="AH958" s="1586"/>
      <c r="AI958" s="1586"/>
      <c r="AJ958" s="1586"/>
      <c r="AK958" s="1587"/>
      <c r="AZ958" s="34"/>
      <c r="BA958" s="34"/>
      <c r="BB958" s="34"/>
      <c r="BC958" s="34"/>
    </row>
    <row r="959" spans="1:55" ht="12.95" customHeight="1">
      <c r="C959" s="66" t="s">
        <v>14</v>
      </c>
      <c r="D959" s="5"/>
      <c r="E959" s="5"/>
      <c r="F959" s="5"/>
      <c r="G959" s="5"/>
      <c r="H959" s="5"/>
      <c r="I959" s="5"/>
      <c r="J959" s="5"/>
      <c r="K959" s="5"/>
      <c r="L959" s="46"/>
      <c r="M959" s="1549"/>
      <c r="N959" s="1550"/>
      <c r="O959" s="1550"/>
      <c r="P959" s="1550"/>
      <c r="Q959" s="1550"/>
      <c r="R959" s="1550"/>
      <c r="S959" s="1551"/>
      <c r="U959" s="66" t="s">
        <v>14</v>
      </c>
      <c r="V959" s="5"/>
      <c r="W959" s="5"/>
      <c r="X959" s="5"/>
      <c r="Y959" s="5"/>
      <c r="Z959" s="5"/>
      <c r="AA959" s="5"/>
      <c r="AB959" s="5"/>
      <c r="AC959" s="5"/>
      <c r="AD959" s="46"/>
      <c r="AE959" s="1549"/>
      <c r="AF959" s="1550"/>
      <c r="AG959" s="1550"/>
      <c r="AH959" s="1550"/>
      <c r="AI959" s="1550"/>
      <c r="AJ959" s="1550"/>
      <c r="AK959" s="1551"/>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1662</v>
      </c>
      <c r="D962" s="5"/>
      <c r="E962" s="5"/>
      <c r="F962" s="5"/>
      <c r="G962" s="5"/>
      <c r="H962" s="5"/>
      <c r="I962" s="5"/>
      <c r="J962" s="5"/>
      <c r="K962" s="5"/>
      <c r="L962" s="46"/>
      <c r="M962" s="1404"/>
      <c r="N962" s="1405"/>
      <c r="O962" s="1405"/>
      <c r="P962" s="1405"/>
      <c r="Q962" s="1405"/>
      <c r="R962" s="1405"/>
      <c r="S962" s="1406"/>
      <c r="U962" s="121" t="s">
        <v>1662</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19"/>
      <c r="N967" s="1520"/>
      <c r="O967" s="1520"/>
      <c r="P967" s="1520"/>
      <c r="Q967" s="1520"/>
      <c r="R967" s="1520"/>
      <c r="S967" s="1521"/>
      <c r="T967" s="66" t="s">
        <v>791</v>
      </c>
      <c r="U967" s="5"/>
      <c r="V967" s="5"/>
      <c r="W967" s="5"/>
      <c r="X967" s="5"/>
      <c r="Y967" s="5"/>
      <c r="Z967" s="46"/>
      <c r="AA967" s="1519"/>
      <c r="AB967" s="1520"/>
      <c r="AC967" s="1520"/>
      <c r="AD967" s="1520"/>
      <c r="AE967" s="1520"/>
      <c r="AF967" s="1520"/>
      <c r="AG967" s="152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19"/>
      <c r="N968" s="1520"/>
      <c r="O968" s="1520"/>
      <c r="P968" s="1520"/>
      <c r="Q968" s="1520"/>
      <c r="R968" s="1520"/>
      <c r="S968" s="1521"/>
      <c r="T968" s="66" t="s">
        <v>790</v>
      </c>
      <c r="U968" s="5"/>
      <c r="V968" s="5"/>
      <c r="W968" s="5"/>
      <c r="X968" s="5"/>
      <c r="Y968" s="5"/>
      <c r="Z968" s="46"/>
      <c r="AA968" s="1519"/>
      <c r="AB968" s="1520"/>
      <c r="AC968" s="1520"/>
      <c r="AD968" s="1520"/>
      <c r="AE968" s="1520"/>
      <c r="AF968" s="1520"/>
      <c r="AG968" s="152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31" t="s">
        <v>592</v>
      </c>
      <c r="N969" s="1632"/>
      <c r="O969" s="1632"/>
      <c r="P969" s="1632"/>
      <c r="Q969" s="1632"/>
      <c r="R969" s="1632"/>
      <c r="S969" s="1633"/>
      <c r="T969" s="45" t="s">
        <v>337</v>
      </c>
      <c r="U969" s="5"/>
      <c r="V969" s="5"/>
      <c r="W969" s="5"/>
      <c r="X969" s="5"/>
      <c r="Y969" s="5"/>
      <c r="Z969" s="46"/>
      <c r="AA969" s="1519"/>
      <c r="AB969" s="1520"/>
      <c r="AC969" s="1520"/>
      <c r="AD969" s="1520"/>
      <c r="AE969" s="1520"/>
      <c r="AF969" s="1520"/>
      <c r="AG969" s="152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19"/>
      <c r="N970" s="1520"/>
      <c r="O970" s="1520"/>
      <c r="P970" s="1520"/>
      <c r="Q970" s="1520"/>
      <c r="R970" s="1520"/>
      <c r="S970" s="1521"/>
      <c r="T970" s="45" t="s">
        <v>338</v>
      </c>
      <c r="U970" s="5"/>
      <c r="V970" s="5"/>
      <c r="W970" s="5"/>
      <c r="X970" s="5"/>
      <c r="Y970" s="5"/>
      <c r="Z970" s="46"/>
      <c r="AA970" s="1519"/>
      <c r="AB970" s="1520"/>
      <c r="AC970" s="1520"/>
      <c r="AD970" s="1520"/>
      <c r="AE970" s="1520"/>
      <c r="AF970" s="1520"/>
      <c r="AG970" s="152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19"/>
      <c r="N971" s="1520"/>
      <c r="O971" s="1520"/>
      <c r="P971" s="1520"/>
      <c r="Q971" s="1520"/>
      <c r="R971" s="1520"/>
      <c r="S971" s="1521"/>
      <c r="T971" s="45" t="s">
        <v>376</v>
      </c>
      <c r="U971" s="5"/>
      <c r="V971" s="5"/>
      <c r="W971" s="5"/>
      <c r="X971" s="5"/>
      <c r="Y971" s="5"/>
      <c r="Z971" s="46"/>
      <c r="AA971" s="1519"/>
      <c r="AB971" s="1520"/>
      <c r="AC971" s="1520"/>
      <c r="AD971" s="1520"/>
      <c r="AE971" s="1520"/>
      <c r="AF971" s="1520"/>
      <c r="AG971" s="152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42" t="s">
        <v>307</v>
      </c>
      <c r="N972" s="1543"/>
      <c r="O972" s="1543"/>
      <c r="P972" s="1543"/>
      <c r="Q972" s="1543"/>
      <c r="R972" s="1543"/>
      <c r="S972" s="1544"/>
      <c r="T972" s="1546"/>
      <c r="U972" s="1547"/>
      <c r="V972" s="1547"/>
      <c r="W972" s="1547"/>
      <c r="X972" s="1547"/>
      <c r="Y972" s="1547"/>
      <c r="Z972" s="1548"/>
      <c r="AA972" s="1519"/>
      <c r="AB972" s="1520"/>
      <c r="AC972" s="1520"/>
      <c r="AD972" s="1520"/>
      <c r="AE972" s="1520"/>
      <c r="AF972" s="1520"/>
      <c r="AG972" s="152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19"/>
      <c r="N973" s="1520"/>
      <c r="O973" s="1520"/>
      <c r="P973" s="1520"/>
      <c r="Q973" s="1520"/>
      <c r="R973" s="1520"/>
      <c r="S973" s="1521"/>
      <c r="T973" s="1546"/>
      <c r="U973" s="1547"/>
      <c r="V973" s="1547"/>
      <c r="W973" s="1547"/>
      <c r="X973" s="1547"/>
      <c r="Y973" s="1547"/>
      <c r="Z973" s="1548"/>
      <c r="AA973" s="1519"/>
      <c r="AB973" s="1520"/>
      <c r="AC973" s="1520"/>
      <c r="AD973" s="1520"/>
      <c r="AE973" s="1520"/>
      <c r="AF973" s="1520"/>
      <c r="AG973" s="152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66" t="s">
        <v>670</v>
      </c>
      <c r="P974" s="1567"/>
      <c r="Q974" s="92"/>
      <c r="R974" s="92"/>
      <c r="S974" s="93"/>
      <c r="T974" s="41" t="s">
        <v>170</v>
      </c>
      <c r="U974" s="42"/>
      <c r="V974" s="42"/>
      <c r="W974" s="1552" t="s">
        <v>334</v>
      </c>
      <c r="X974" s="1553"/>
      <c r="Y974" s="1553"/>
      <c r="Z974" s="1553"/>
      <c r="AA974" s="1553"/>
      <c r="AB974" s="1553"/>
      <c r="AC974" s="1553"/>
      <c r="AD974" s="1553"/>
      <c r="AE974" s="1553"/>
      <c r="AF974" s="1553"/>
      <c r="AG974" s="1554"/>
      <c r="AU974" s="68"/>
      <c r="AV974" s="95"/>
      <c r="AW974" s="95"/>
      <c r="AX974" s="95"/>
      <c r="AY974" s="95"/>
      <c r="AZ974" s="34"/>
      <c r="BB974" s="34"/>
      <c r="BC974" s="34"/>
      <c r="BD974" s="34"/>
      <c r="BE974" s="34"/>
      <c r="BF974" s="34"/>
      <c r="BG974" s="34"/>
      <c r="BH974" s="34"/>
      <c r="BI974" s="34"/>
      <c r="BJ974" s="34"/>
      <c r="BK974" s="34"/>
      <c r="BL974" s="34"/>
    </row>
    <row r="975" spans="1:64" ht="12.95" customHeight="1">
      <c r="F975" s="1537" t="s">
        <v>33</v>
      </c>
      <c r="G975" s="1358"/>
      <c r="H975" s="1358"/>
      <c r="I975" s="1358"/>
      <c r="J975" s="1358"/>
      <c r="K975" s="1358"/>
      <c r="L975" s="1358"/>
      <c r="M975" s="1519"/>
      <c r="N975" s="1520"/>
      <c r="O975" s="1520"/>
      <c r="P975" s="1520"/>
      <c r="Q975" s="1520"/>
      <c r="R975" s="1520"/>
      <c r="S975" s="1521"/>
      <c r="T975" s="47"/>
      <c r="U975" s="48"/>
      <c r="V975" s="48"/>
      <c r="W975" s="48"/>
      <c r="X975" s="48"/>
      <c r="Y975" s="48"/>
      <c r="Z975" s="124" t="s">
        <v>134</v>
      </c>
      <c r="AA975" s="1579"/>
      <c r="AB975" s="1580"/>
      <c r="AC975" s="1580"/>
      <c r="AD975" s="1580"/>
      <c r="AE975" s="1580"/>
      <c r="AF975" s="1580"/>
      <c r="AG975" s="158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16"/>
      <c r="BH976" s="1616"/>
      <c r="BI976" s="1616"/>
      <c r="BJ976" s="1616"/>
      <c r="BK976" s="1616"/>
      <c r="BL976" s="1616"/>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38" t="s">
        <v>639</v>
      </c>
      <c r="E985" s="1539"/>
      <c r="F985" s="1539"/>
      <c r="G985" s="1539"/>
      <c r="H985" s="1539"/>
      <c r="I985" s="1539"/>
      <c r="J985" s="1539"/>
      <c r="K985" s="1539"/>
      <c r="L985" s="1539"/>
      <c r="M985" s="1539"/>
      <c r="N985" s="1539"/>
      <c r="O985" s="1539"/>
      <c r="P985" s="1539"/>
      <c r="Q985" s="1540"/>
      <c r="R985" s="1538" t="s">
        <v>640</v>
      </c>
      <c r="S985" s="1539"/>
      <c r="T985" s="1539"/>
      <c r="U985" s="1539"/>
      <c r="V985" s="1539"/>
      <c r="W985" s="1539"/>
      <c r="X985" s="1539"/>
      <c r="Y985" s="1539"/>
      <c r="Z985" s="1539"/>
      <c r="AA985" s="1540"/>
      <c r="AB985" s="1538" t="s">
        <v>641</v>
      </c>
      <c r="AC985" s="1539"/>
      <c r="AD985" s="1539"/>
      <c r="AE985" s="1539"/>
      <c r="AF985" s="1539"/>
      <c r="AG985" s="1539"/>
      <c r="AH985" s="1539"/>
      <c r="AI985" s="1540"/>
      <c r="AJ985" s="1538" t="s">
        <v>642</v>
      </c>
      <c r="AK985" s="1539"/>
      <c r="AL985" s="1539"/>
      <c r="AM985" s="1539"/>
      <c r="AN985" s="1539"/>
      <c r="AO985" s="1539"/>
      <c r="AP985" s="1539"/>
      <c r="AQ985" s="1540"/>
      <c r="AR985" s="68"/>
      <c r="AS985" s="68"/>
      <c r="AT985" s="68"/>
      <c r="AU985" s="68"/>
      <c r="AV985" s="68"/>
      <c r="AW985" s="68"/>
      <c r="AX985" s="68"/>
      <c r="AY985" s="68"/>
      <c r="AZ985" s="30"/>
      <c r="BB985" s="14"/>
      <c r="BC985" s="14"/>
    </row>
    <row r="986" spans="1:64" ht="12.95" customHeight="1">
      <c r="A986" s="14"/>
      <c r="B986" s="73"/>
      <c r="C986" s="929"/>
      <c r="D986" s="1386" t="s">
        <v>634</v>
      </c>
      <c r="E986" s="1387"/>
      <c r="F986" s="1387"/>
      <c r="G986" s="1387"/>
      <c r="H986" s="1387"/>
      <c r="I986" s="1387"/>
      <c r="J986" s="1387"/>
      <c r="K986" s="1387"/>
      <c r="L986" s="1387"/>
      <c r="M986" s="1387"/>
      <c r="N986" s="1387"/>
      <c r="O986" s="1387"/>
      <c r="P986" s="1387"/>
      <c r="Q986" s="1388"/>
      <c r="R986" s="1541">
        <f>IF(ISNA(IF($CU$122="4%",(INDEX($CS$160:$CW$217,MATCH($DG$122,$CR$160:$CR$217,0),MATCH(D986,$CS$159:$CW$159,0))),(INDEX($CZ$160:$DD$217,MATCH($DG$122,$CY$160:$CY$217,0),MATCH(D986,$CZ$159:$DD$159,0))))),0,IF($CU$122="4%",(INDEX($CS$160:$CW$217,MATCH($DG$122,$CR$160:$CR$217,0),MATCH(D986,$CS$159:$CW$159,0))),(INDEX($CZ$160:$DD$217,MATCH($DG$122,$CY$160:$CY$217,0),MATCH(D986,$CZ$159:$DD$159,0)))))</f>
        <v>437727</v>
      </c>
      <c r="S986" s="1541"/>
      <c r="T986" s="1541"/>
      <c r="U986" s="1541"/>
      <c r="V986" s="1541"/>
      <c r="W986" s="1541"/>
      <c r="X986" s="1541"/>
      <c r="Y986" s="1541"/>
      <c r="Z986" s="1541"/>
      <c r="AA986" s="1541"/>
      <c r="AB986" s="1389">
        <f>CP802</f>
        <v>0</v>
      </c>
      <c r="AC986" s="1390"/>
      <c r="AD986" s="1390"/>
      <c r="AE986" s="1390"/>
      <c r="AF986" s="1390"/>
      <c r="AG986" s="1390"/>
      <c r="AH986" s="1390"/>
      <c r="AI986" s="1391"/>
      <c r="AJ986" s="1477">
        <f>IF(ISERROR((R986*AB986)),0,(R986*AB986))</f>
        <v>0</v>
      </c>
      <c r="AK986" s="1478"/>
      <c r="AL986" s="1478"/>
      <c r="AM986" s="1478"/>
      <c r="AN986" s="1478"/>
      <c r="AO986" s="1478"/>
      <c r="AP986" s="1478"/>
      <c r="AQ986" s="1479"/>
      <c r="AR986" s="68"/>
      <c r="AS986" s="68"/>
      <c r="AT986" s="68"/>
      <c r="AU986" s="68"/>
      <c r="AV986" s="68"/>
      <c r="AW986" s="68"/>
      <c r="AX986" s="68"/>
      <c r="AY986" s="68"/>
      <c r="AZ986" s="30"/>
      <c r="BB986" s="14"/>
      <c r="BC986" s="14"/>
    </row>
    <row r="987" spans="1:64" ht="12.95" customHeight="1">
      <c r="A987" s="14"/>
      <c r="B987" s="73"/>
      <c r="C987" s="83"/>
      <c r="D987" s="1386" t="s">
        <v>325</v>
      </c>
      <c r="E987" s="1387"/>
      <c r="F987" s="1387"/>
      <c r="G987" s="1387"/>
      <c r="H987" s="1387"/>
      <c r="I987" s="1387"/>
      <c r="J987" s="1387"/>
      <c r="K987" s="1387"/>
      <c r="L987" s="1387"/>
      <c r="M987" s="1387"/>
      <c r="N987" s="1387"/>
      <c r="O987" s="1387"/>
      <c r="P987" s="1387"/>
      <c r="Q987" s="1388"/>
      <c r="R987" s="1541">
        <f>IF(ISNA(IF($CU$122="4%",(INDEX($CS$160:$CW$217,MATCH($DG$122,$CR$160:$CR$217,0),MATCH(D987,$CS$159:$CW$159,0))),(INDEX($CZ$160:$DD$217,MATCH($DG$122,$CY$160:$CY$217,0),MATCH(D987,$CZ$159:$DD$159,0))))),0,IF($CU$122="4%",(INDEX($CS$160:$CW$217,MATCH($DG$122,$CR$160:$CR$217,0),MATCH(D987,$CS$159:$CW$159,0))),(INDEX($CZ$160:$DD$217,MATCH($DG$122,$CY$160:$CY$217,0),MATCH(D987,$CZ$159:$DD$159,0)))))</f>
        <v>504695</v>
      </c>
      <c r="S987" s="1541"/>
      <c r="T987" s="1541"/>
      <c r="U987" s="1541"/>
      <c r="V987" s="1541"/>
      <c r="W987" s="1541"/>
      <c r="X987" s="1541"/>
      <c r="Y987" s="1541"/>
      <c r="Z987" s="1541"/>
      <c r="AA987" s="1541"/>
      <c r="AB987" s="1389">
        <f>CU802</f>
        <v>45</v>
      </c>
      <c r="AC987" s="1390"/>
      <c r="AD987" s="1390"/>
      <c r="AE987" s="1390"/>
      <c r="AF987" s="1390"/>
      <c r="AG987" s="1390"/>
      <c r="AH987" s="1390"/>
      <c r="AI987" s="1391"/>
      <c r="AJ987" s="1477">
        <f>IF(ISERROR((R987*AB987)),0,(R987*AB987))</f>
        <v>22711275</v>
      </c>
      <c r="AK987" s="1478"/>
      <c r="AL987" s="1478"/>
      <c r="AM987" s="1478"/>
      <c r="AN987" s="1478"/>
      <c r="AO987" s="1478"/>
      <c r="AP987" s="1478"/>
      <c r="AQ987" s="1479"/>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41">
        <f>IF(ISNA(IF($CU$122="4%",(INDEX($CS$160:$CW$217,MATCH($DG$122,$CR$160:$CR$217,0),MATCH(D988,$CS$159:$CW$159,0))),(INDEX($CZ$160:$DD$217,MATCH($DG$122,$CY$160:$CY$217,0),MATCH(D988,$CZ$159:$DD$159,0))))),0,IF($CU$122="4%",(INDEX($CS$160:$CW$217,MATCH($DG$122,$CR$160:$CR$217,0),MATCH(D988,$CS$159:$CW$159,0))),(INDEX($CZ$160:$DD$217,MATCH($DG$122,$CY$160:$CY$217,0),MATCH(D988,$CZ$159:$DD$159,0)))))</f>
        <v>608800</v>
      </c>
      <c r="S988" s="1541"/>
      <c r="T988" s="1541"/>
      <c r="U988" s="1541"/>
      <c r="V988" s="1541"/>
      <c r="W988" s="1541"/>
      <c r="X988" s="1541"/>
      <c r="Y988" s="1541"/>
      <c r="Z988" s="1541"/>
      <c r="AA988" s="1541"/>
      <c r="AB988" s="1389">
        <f>CZ802</f>
        <v>30</v>
      </c>
      <c r="AC988" s="1390"/>
      <c r="AD988" s="1390"/>
      <c r="AE988" s="1390"/>
      <c r="AF988" s="1390"/>
      <c r="AG988" s="1390"/>
      <c r="AH988" s="1390"/>
      <c r="AI988" s="1391"/>
      <c r="AJ988" s="1477">
        <f>IF(ISERROR((R988*AB988)),0,(R988*AB988))</f>
        <v>18264000</v>
      </c>
      <c r="AK988" s="1478"/>
      <c r="AL988" s="1478"/>
      <c r="AM988" s="1478"/>
      <c r="AN988" s="1478"/>
      <c r="AO988" s="1478"/>
      <c r="AP988" s="1478"/>
      <c r="AQ988" s="1479"/>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41">
        <f>IF(ISNA(IF($CU$122="4%",(INDEX($CS$160:$CW$217,MATCH($DG$122,$CR$160:$CR$217,0),MATCH(D989,$CS$159:$CW$159,0))),(INDEX($CZ$160:$DD$217,MATCH($DG$122,$CY$160:$CY$217,0),MATCH(D989,$CZ$159:$DD$159,0))))),0,IF($CU$122="4%",(INDEX($CS$160:$CW$217,MATCH($DG$122,$CR$160:$CR$217,0),MATCH(D989,$CS$159:$CW$159,0))),(INDEX($CZ$160:$DD$217,MATCH($DG$122,$CY$160:$CY$217,0),MATCH(D989,$CZ$159:$DD$159,0)))))</f>
        <v>779264</v>
      </c>
      <c r="S989" s="1541"/>
      <c r="T989" s="1541"/>
      <c r="U989" s="1541"/>
      <c r="V989" s="1541"/>
      <c r="W989" s="1541"/>
      <c r="X989" s="1541"/>
      <c r="Y989" s="1541"/>
      <c r="Z989" s="1541"/>
      <c r="AA989" s="1541"/>
      <c r="AB989" s="1389">
        <f>DE802</f>
        <v>30</v>
      </c>
      <c r="AC989" s="1390"/>
      <c r="AD989" s="1390"/>
      <c r="AE989" s="1390"/>
      <c r="AF989" s="1390"/>
      <c r="AG989" s="1390"/>
      <c r="AH989" s="1390"/>
      <c r="AI989" s="1391"/>
      <c r="AJ989" s="1477">
        <f>IF(ISERROR((R989*AB989)),0,(R989*AB989))</f>
        <v>23377920</v>
      </c>
      <c r="AK989" s="1478"/>
      <c r="AL989" s="1478"/>
      <c r="AM989" s="1478"/>
      <c r="AN989" s="1478"/>
      <c r="AO989" s="1478"/>
      <c r="AP989" s="1478"/>
      <c r="AQ989" s="1479"/>
      <c r="AR989" s="68"/>
      <c r="AS989" s="68"/>
      <c r="AT989" s="68"/>
      <c r="AU989" s="68"/>
      <c r="AV989" s="68"/>
      <c r="AW989" s="68"/>
      <c r="AX989" s="68"/>
      <c r="AY989" s="68"/>
      <c r="AZ989" s="30"/>
      <c r="BA989" s="34"/>
      <c r="BB989" s="14"/>
      <c r="BC989" s="14"/>
    </row>
    <row r="990" spans="1:64" ht="12.95" customHeight="1">
      <c r="A990" s="14"/>
      <c r="B990" s="47"/>
      <c r="C990" s="78"/>
      <c r="D990" s="1386" t="s">
        <v>461</v>
      </c>
      <c r="E990" s="1387"/>
      <c r="F990" s="1387"/>
      <c r="G990" s="1387"/>
      <c r="H990" s="1387"/>
      <c r="I990" s="1387"/>
      <c r="J990" s="1387"/>
      <c r="K990" s="1387"/>
      <c r="L990" s="1387"/>
      <c r="M990" s="1387"/>
      <c r="N990" s="1387"/>
      <c r="O990" s="1387"/>
      <c r="P990" s="1387"/>
      <c r="Q990" s="1388"/>
      <c r="R990" s="1541">
        <f>IF(ISNA(IF($CU$122="4%",(INDEX($CS$160:$CW$217,MATCH($DG$122,$CR$160:$CR$217,0),MATCH(D990,$CS$159:$CW$159,0))),(INDEX($CZ$160:$DD$217,MATCH($DG$122,$CY$160:$CY$217,0),MATCH(D990,$CZ$159:$DD$159,0))))),0,IF($CU$122="4%",(INDEX($CS$160:$CW$217,MATCH($DG$122,$CR$160:$CR$217,0),MATCH(D990,$CS$159:$CW$159,0))),(INDEX($CZ$160:$DD$217,MATCH($DG$122,$CY$160:$CY$217,0),MATCH(D990,$CZ$159:$DD$159,0)))))</f>
        <v>868149</v>
      </c>
      <c r="S990" s="1541"/>
      <c r="T990" s="1541"/>
      <c r="U990" s="1541"/>
      <c r="V990" s="1541"/>
      <c r="W990" s="1541"/>
      <c r="X990" s="1541"/>
      <c r="Y990" s="1541"/>
      <c r="Z990" s="1541"/>
      <c r="AA990" s="1541"/>
      <c r="AB990" s="1389">
        <f>DO802+DJ802</f>
        <v>0</v>
      </c>
      <c r="AC990" s="1390"/>
      <c r="AD990" s="1390"/>
      <c r="AE990" s="1390"/>
      <c r="AF990" s="1390"/>
      <c r="AG990" s="1390"/>
      <c r="AH990" s="1390"/>
      <c r="AI990" s="1391"/>
      <c r="AJ990" s="1477">
        <f>IF(ISERROR((R990*AB990)),0,(R990*AB990))</f>
        <v>0</v>
      </c>
      <c r="AK990" s="1478"/>
      <c r="AL990" s="1478"/>
      <c r="AM990" s="1478"/>
      <c r="AN990" s="1478"/>
      <c r="AO990" s="1478"/>
      <c r="AP990" s="1478"/>
      <c r="AQ990" s="1479"/>
      <c r="AR990" s="68"/>
      <c r="AS990" s="68"/>
      <c r="AT990" s="68"/>
      <c r="AU990" s="68"/>
      <c r="AV990" s="68"/>
      <c r="AW990" s="68"/>
      <c r="AX990" s="68"/>
      <c r="AY990" s="68"/>
      <c r="AZ990" s="30"/>
      <c r="BB990" s="14"/>
      <c r="BC990" s="14"/>
    </row>
    <row r="991" spans="1:64" ht="12.95" customHeight="1">
      <c r="A991" s="14"/>
      <c r="B991" s="1596" t="s">
        <v>792</v>
      </c>
      <c r="C991" s="1597"/>
      <c r="D991" s="1597"/>
      <c r="E991" s="1597"/>
      <c r="F991" s="1597"/>
      <c r="G991" s="1597"/>
      <c r="H991" s="1597"/>
      <c r="I991" s="1597"/>
      <c r="J991" s="1597"/>
      <c r="K991" s="1597"/>
      <c r="L991" s="1597"/>
      <c r="M991" s="1597"/>
      <c r="N991" s="1597"/>
      <c r="O991" s="1597"/>
      <c r="P991" s="1597"/>
      <c r="Q991" s="1597"/>
      <c r="R991" s="1597"/>
      <c r="S991" s="1597"/>
      <c r="T991" s="1597"/>
      <c r="U991" s="1597"/>
      <c r="V991" s="1597"/>
      <c r="W991" s="1597"/>
      <c r="X991" s="1597"/>
      <c r="Y991" s="1597"/>
      <c r="Z991" s="1597"/>
      <c r="AA991" s="1598"/>
      <c r="AB991" s="1389">
        <f>SUM(AB986:AI990)</f>
        <v>105</v>
      </c>
      <c r="AC991" s="1390"/>
      <c r="AD991" s="1390"/>
      <c r="AE991" s="1390"/>
      <c r="AF991" s="1390"/>
      <c r="AG991" s="1390"/>
      <c r="AH991" s="1390"/>
      <c r="AI991" s="1391"/>
      <c r="AJ991" s="1477"/>
      <c r="AK991" s="1478"/>
      <c r="AL991" s="1478"/>
      <c r="AM991" s="1478"/>
      <c r="AN991" s="1478"/>
      <c r="AO991" s="1478"/>
      <c r="AP991" s="1478"/>
      <c r="AQ991" s="1479"/>
      <c r="AR991" s="68"/>
      <c r="AS991" s="68"/>
      <c r="AT991" s="68"/>
      <c r="AU991" s="68"/>
      <c r="AV991" s="68"/>
      <c r="AW991" s="68"/>
      <c r="AX991" s="68"/>
      <c r="AY991" s="68"/>
      <c r="AZ991" s="34"/>
      <c r="BA991" s="34"/>
      <c r="BB991" s="14"/>
      <c r="BC991" s="14"/>
    </row>
    <row r="992" spans="1:64" ht="12.95" customHeight="1">
      <c r="A992" s="14"/>
      <c r="B992" s="1563" t="s">
        <v>513</v>
      </c>
      <c r="C992" s="1564"/>
      <c r="D992" s="1564"/>
      <c r="E992" s="1564"/>
      <c r="F992" s="1564"/>
      <c r="G992" s="1564"/>
      <c r="H992" s="1564"/>
      <c r="I992" s="1564"/>
      <c r="J992" s="1564"/>
      <c r="K992" s="1564"/>
      <c r="L992" s="1564"/>
      <c r="M992" s="1564"/>
      <c r="N992" s="1564"/>
      <c r="O992" s="1564"/>
      <c r="P992" s="1564"/>
      <c r="Q992" s="1564"/>
      <c r="R992" s="1564"/>
      <c r="S992" s="1564"/>
      <c r="T992" s="1564"/>
      <c r="U992" s="1564"/>
      <c r="V992" s="1564"/>
      <c r="W992" s="1564"/>
      <c r="X992" s="1564"/>
      <c r="Y992" s="1564"/>
      <c r="Z992" s="1564"/>
      <c r="AA992" s="1564"/>
      <c r="AB992" s="1564"/>
      <c r="AC992" s="1564"/>
      <c r="AD992" s="1564"/>
      <c r="AE992" s="1564"/>
      <c r="AF992" s="1564"/>
      <c r="AG992" s="1564"/>
      <c r="AH992" s="1564"/>
      <c r="AI992" s="1565"/>
      <c r="AJ992" s="1477">
        <f>SUM(AJ986:AQ990)</f>
        <v>64353195</v>
      </c>
      <c r="AK992" s="1478"/>
      <c r="AL992" s="1478"/>
      <c r="AM992" s="1478"/>
      <c r="AN992" s="1478"/>
      <c r="AO992" s="1478"/>
      <c r="AP992" s="1478"/>
      <c r="AQ992" s="1479"/>
      <c r="AR992" s="68"/>
      <c r="AS992" s="68"/>
      <c r="AT992" s="68"/>
      <c r="AU992" s="68"/>
      <c r="AV992" s="68"/>
      <c r="AW992" s="68"/>
      <c r="AX992" s="68"/>
      <c r="AY992" s="68"/>
      <c r="AZ992" s="34"/>
      <c r="BB992" s="34"/>
      <c r="BC992" s="34"/>
    </row>
    <row r="993" spans="1:55" ht="12.95" customHeight="1">
      <c r="A993" s="14"/>
      <c r="B993" s="1480"/>
      <c r="C993" s="1481"/>
      <c r="D993" s="1481"/>
      <c r="E993" s="1481"/>
      <c r="F993" s="1481"/>
      <c r="G993" s="1481"/>
      <c r="H993" s="1481"/>
      <c r="I993" s="1481"/>
      <c r="J993" s="1481"/>
      <c r="K993" s="1481"/>
      <c r="L993" s="1481"/>
      <c r="M993" s="1481"/>
      <c r="N993" s="1481"/>
      <c r="O993" s="1481"/>
      <c r="P993" s="1481"/>
      <c r="Q993" s="1481"/>
      <c r="R993" s="1481"/>
      <c r="S993" s="1481"/>
      <c r="T993" s="1481"/>
      <c r="U993" s="1481"/>
      <c r="V993" s="1481"/>
      <c r="W993" s="1481"/>
      <c r="X993" s="1481"/>
      <c r="Y993" s="1481"/>
      <c r="Z993" s="1481"/>
      <c r="AA993" s="1481"/>
      <c r="AB993" s="1481"/>
      <c r="AC993" s="1481"/>
      <c r="AD993" s="1481"/>
      <c r="AE993" s="1482"/>
      <c r="AF993" s="1486" t="s">
        <v>667</v>
      </c>
      <c r="AG993" s="1487"/>
      <c r="AH993" s="1487"/>
      <c r="AI993" s="1488"/>
      <c r="AJ993" s="1480"/>
      <c r="AK993" s="1481"/>
      <c r="AL993" s="1481"/>
      <c r="AM993" s="1481"/>
      <c r="AN993" s="1481"/>
      <c r="AO993" s="1481"/>
      <c r="AP993" s="1481"/>
      <c r="AQ993" s="1482"/>
      <c r="AR993" s="68"/>
      <c r="AS993" s="68"/>
      <c r="AT993" s="68"/>
      <c r="AU993" s="68"/>
      <c r="AV993" s="68"/>
      <c r="AW993" s="68"/>
      <c r="AX993" s="68"/>
      <c r="AY993" s="68"/>
      <c r="AZ993" s="34"/>
      <c r="BA993" s="34"/>
      <c r="BB993" s="34"/>
      <c r="BC993" s="34"/>
    </row>
    <row r="994" spans="1:55" ht="12.95" customHeight="1">
      <c r="A994" s="14"/>
      <c r="B994" s="73"/>
      <c r="C994" s="927" t="s">
        <v>669</v>
      </c>
      <c r="D994" s="1493" t="s">
        <v>1221</v>
      </c>
      <c r="E994" s="1494"/>
      <c r="F994" s="1494"/>
      <c r="G994" s="1494"/>
      <c r="H994" s="1494"/>
      <c r="I994" s="1494"/>
      <c r="J994" s="1494"/>
      <c r="K994" s="1494"/>
      <c r="L994" s="1494"/>
      <c r="M994" s="1494"/>
      <c r="N994" s="1494"/>
      <c r="O994" s="1494"/>
      <c r="P994" s="1494"/>
      <c r="Q994" s="1494"/>
      <c r="R994" s="1494"/>
      <c r="S994" s="1494"/>
      <c r="T994" s="1494"/>
      <c r="U994" s="1494"/>
      <c r="V994" s="1494"/>
      <c r="W994" s="1494"/>
      <c r="X994" s="1494"/>
      <c r="Y994" s="1494"/>
      <c r="Z994" s="1494"/>
      <c r="AA994" s="1494"/>
      <c r="AB994" s="1494"/>
      <c r="AC994" s="1494"/>
      <c r="AD994" s="1494"/>
      <c r="AE994" s="1495"/>
      <c r="AF994" s="79"/>
      <c r="AG994" s="1489" t="s">
        <v>670</v>
      </c>
      <c r="AH994" s="1490"/>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28" t="s">
        <v>2235</v>
      </c>
      <c r="E995" s="1529"/>
      <c r="F995" s="1529"/>
      <c r="G995" s="1529"/>
      <c r="H995" s="1529"/>
      <c r="I995" s="1529"/>
      <c r="J995" s="1529"/>
      <c r="K995" s="1529"/>
      <c r="L995" s="1529"/>
      <c r="M995" s="1529"/>
      <c r="N995" s="1529"/>
      <c r="O995" s="1529"/>
      <c r="P995" s="1529"/>
      <c r="Q995" s="1529"/>
      <c r="R995" s="1529"/>
      <c r="S995" s="1529"/>
      <c r="T995" s="1529"/>
      <c r="U995" s="1529"/>
      <c r="V995" s="1529"/>
      <c r="W995" s="1529"/>
      <c r="X995" s="1529"/>
      <c r="Y995" s="1529"/>
      <c r="Z995" s="1529"/>
      <c r="AA995" s="1529"/>
      <c r="AB995" s="1529"/>
      <c r="AC995" s="1529"/>
      <c r="AD995" s="1529"/>
      <c r="AE995" s="1530"/>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28"/>
      <c r="E996" s="1529"/>
      <c r="F996" s="1529"/>
      <c r="G996" s="1529"/>
      <c r="H996" s="1529"/>
      <c r="I996" s="1529"/>
      <c r="J996" s="1529"/>
      <c r="K996" s="1529"/>
      <c r="L996" s="1529"/>
      <c r="M996" s="1529"/>
      <c r="N996" s="1529"/>
      <c r="O996" s="1529"/>
      <c r="P996" s="1529"/>
      <c r="Q996" s="1529"/>
      <c r="R996" s="1529"/>
      <c r="S996" s="1529"/>
      <c r="T996" s="1529"/>
      <c r="U996" s="1529"/>
      <c r="V996" s="1529"/>
      <c r="W996" s="1529"/>
      <c r="X996" s="1529"/>
      <c r="Y996" s="1529"/>
      <c r="Z996" s="1529"/>
      <c r="AA996" s="1529"/>
      <c r="AB996" s="1529"/>
      <c r="AC996" s="1529"/>
      <c r="AD996" s="1529"/>
      <c r="AE996" s="1530"/>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28"/>
      <c r="E997" s="1529"/>
      <c r="F997" s="1529"/>
      <c r="G997" s="1529"/>
      <c r="H997" s="1529"/>
      <c r="I997" s="1529"/>
      <c r="J997" s="1529"/>
      <c r="K997" s="1529"/>
      <c r="L997" s="1529"/>
      <c r="M997" s="1529"/>
      <c r="N997" s="1529"/>
      <c r="O997" s="1529"/>
      <c r="P997" s="1529"/>
      <c r="Q997" s="1529"/>
      <c r="R997" s="1529"/>
      <c r="S997" s="1529"/>
      <c r="T997" s="1529"/>
      <c r="U997" s="1529"/>
      <c r="V997" s="1529"/>
      <c r="W997" s="1529"/>
      <c r="X997" s="1529"/>
      <c r="Y997" s="1529"/>
      <c r="Z997" s="1529"/>
      <c r="AA997" s="1529"/>
      <c r="AB997" s="1529"/>
      <c r="AC997" s="1529"/>
      <c r="AD997" s="1529"/>
      <c r="AE997" s="1530"/>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28"/>
      <c r="E998" s="1529"/>
      <c r="F998" s="1529"/>
      <c r="G998" s="1529"/>
      <c r="H998" s="1529"/>
      <c r="I998" s="1529"/>
      <c r="J998" s="1529"/>
      <c r="K998" s="1529"/>
      <c r="L998" s="1529"/>
      <c r="M998" s="1529"/>
      <c r="N998" s="1529"/>
      <c r="O998" s="1529"/>
      <c r="P998" s="1529"/>
      <c r="Q998" s="1529"/>
      <c r="R998" s="1529"/>
      <c r="S998" s="1529"/>
      <c r="T998" s="1529"/>
      <c r="U998" s="1529"/>
      <c r="V998" s="1529"/>
      <c r="W998" s="1529"/>
      <c r="X998" s="1529"/>
      <c r="Y998" s="1529"/>
      <c r="Z998" s="1529"/>
      <c r="AA998" s="1529"/>
      <c r="AB998" s="1529"/>
      <c r="AC998" s="1529"/>
      <c r="AD998" s="1529"/>
      <c r="AE998" s="1530"/>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31" t="s">
        <v>2206</v>
      </c>
      <c r="E999" s="1532"/>
      <c r="F999" s="1532"/>
      <c r="G999" s="1532"/>
      <c r="H999" s="1532"/>
      <c r="I999" s="1532"/>
      <c r="J999" s="1532"/>
      <c r="K999" s="1532"/>
      <c r="L999" s="1532"/>
      <c r="M999" s="1532"/>
      <c r="N999" s="1532"/>
      <c r="O999" s="1532"/>
      <c r="P999" s="1532"/>
      <c r="Q999" s="1532"/>
      <c r="R999" s="1532"/>
      <c r="S999" s="1532"/>
      <c r="T999" s="1532"/>
      <c r="U999" s="1532"/>
      <c r="V999" s="1532"/>
      <c r="W999" s="1532"/>
      <c r="X999" s="1532"/>
      <c r="Y999" s="1532"/>
      <c r="Z999" s="1532"/>
      <c r="AA999" s="1532"/>
      <c r="AB999" s="1532"/>
      <c r="AC999" s="1532"/>
      <c r="AD999" s="1532"/>
      <c r="AE999" s="1533"/>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599"/>
      <c r="E1000" s="1600"/>
      <c r="F1000" s="1600"/>
      <c r="G1000" s="1600"/>
      <c r="H1000" s="1600"/>
      <c r="I1000" s="1600"/>
      <c r="J1000" s="1600"/>
      <c r="K1000" s="1600"/>
      <c r="L1000" s="1600"/>
      <c r="M1000" s="1600"/>
      <c r="N1000" s="1600"/>
      <c r="O1000" s="1600"/>
      <c r="P1000" s="1600"/>
      <c r="Q1000" s="1600"/>
      <c r="R1000" s="1600"/>
      <c r="S1000" s="1600"/>
      <c r="T1000" s="1600"/>
      <c r="U1000" s="1600"/>
      <c r="V1000" s="1600"/>
      <c r="W1000" s="1600"/>
      <c r="X1000" s="1600"/>
      <c r="Y1000" s="1600"/>
      <c r="Z1000" s="1600"/>
      <c r="AA1000" s="1600"/>
      <c r="AB1000" s="1600"/>
      <c r="AC1000" s="1600"/>
      <c r="AD1000" s="1600"/>
      <c r="AE1000" s="1601"/>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83" t="s">
        <v>1287</v>
      </c>
      <c r="E1001" s="1484"/>
      <c r="F1001" s="1484"/>
      <c r="G1001" s="1484"/>
      <c r="H1001" s="1484"/>
      <c r="I1001" s="1484"/>
      <c r="J1001" s="1484"/>
      <c r="K1001" s="1484"/>
      <c r="L1001" s="1484"/>
      <c r="M1001" s="1484"/>
      <c r="N1001" s="1484"/>
      <c r="O1001" s="1484"/>
      <c r="P1001" s="1484"/>
      <c r="Q1001" s="1484"/>
      <c r="R1001" s="1484"/>
      <c r="S1001" s="1484"/>
      <c r="T1001" s="1484"/>
      <c r="U1001" s="1484"/>
      <c r="V1001" s="1484"/>
      <c r="W1001" s="1484"/>
      <c r="X1001" s="1484"/>
      <c r="Y1001" s="1484"/>
      <c r="Z1001" s="1484"/>
      <c r="AA1001" s="1484"/>
      <c r="AB1001" s="1484"/>
      <c r="AC1001" s="1484"/>
      <c r="AD1001" s="1484"/>
      <c r="AE1001" s="1485"/>
      <c r="AF1001" s="79"/>
      <c r="AG1001" s="1491" t="s">
        <v>670</v>
      </c>
      <c r="AH1001" s="1492"/>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28" t="s">
        <v>1285</v>
      </c>
      <c r="E1002" s="1529"/>
      <c r="F1002" s="1529"/>
      <c r="G1002" s="1529"/>
      <c r="H1002" s="1529"/>
      <c r="I1002" s="1529"/>
      <c r="J1002" s="1529"/>
      <c r="K1002" s="1529"/>
      <c r="L1002" s="1529"/>
      <c r="M1002" s="1529"/>
      <c r="N1002" s="1529"/>
      <c r="O1002" s="1529"/>
      <c r="P1002" s="1529"/>
      <c r="Q1002" s="1529"/>
      <c r="R1002" s="1529"/>
      <c r="S1002" s="1529"/>
      <c r="T1002" s="1529"/>
      <c r="U1002" s="1529"/>
      <c r="V1002" s="1529"/>
      <c r="W1002" s="1529"/>
      <c r="X1002" s="1529"/>
      <c r="Y1002" s="1529"/>
      <c r="Z1002" s="1529"/>
      <c r="AA1002" s="1529"/>
      <c r="AB1002" s="1529"/>
      <c r="AC1002" s="1529"/>
      <c r="AD1002" s="1529"/>
      <c r="AE1002" s="1530"/>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28"/>
      <c r="E1003" s="1529"/>
      <c r="F1003" s="1529"/>
      <c r="G1003" s="1529"/>
      <c r="H1003" s="1529"/>
      <c r="I1003" s="1529"/>
      <c r="J1003" s="1529"/>
      <c r="K1003" s="1529"/>
      <c r="L1003" s="1529"/>
      <c r="M1003" s="1529"/>
      <c r="N1003" s="1529"/>
      <c r="O1003" s="1529"/>
      <c r="P1003" s="1529"/>
      <c r="Q1003" s="1529"/>
      <c r="R1003" s="1529"/>
      <c r="S1003" s="1529"/>
      <c r="T1003" s="1529"/>
      <c r="U1003" s="1529"/>
      <c r="V1003" s="1529"/>
      <c r="W1003" s="1529"/>
      <c r="X1003" s="1529"/>
      <c r="Y1003" s="1529"/>
      <c r="Z1003" s="1529"/>
      <c r="AA1003" s="1529"/>
      <c r="AB1003" s="1529"/>
      <c r="AC1003" s="1529"/>
      <c r="AD1003" s="1529"/>
      <c r="AE1003" s="1530"/>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104</v>
      </c>
      <c r="AZ1003" s="34"/>
      <c r="BB1003" s="34"/>
    </row>
    <row r="1004" spans="1:55" ht="12.95" customHeight="1">
      <c r="A1004" s="14"/>
      <c r="B1004" s="257"/>
      <c r="C1004" s="82"/>
      <c r="D1004" s="1528"/>
      <c r="E1004" s="1529"/>
      <c r="F1004" s="1529"/>
      <c r="G1004" s="1529"/>
      <c r="H1004" s="1529"/>
      <c r="I1004" s="1529"/>
      <c r="J1004" s="1529"/>
      <c r="K1004" s="1529"/>
      <c r="L1004" s="1529"/>
      <c r="M1004" s="1529"/>
      <c r="N1004" s="1529"/>
      <c r="O1004" s="1529"/>
      <c r="P1004" s="1529"/>
      <c r="Q1004" s="1529"/>
      <c r="R1004" s="1529"/>
      <c r="S1004" s="1529"/>
      <c r="T1004" s="1529"/>
      <c r="U1004" s="1529"/>
      <c r="V1004" s="1529"/>
      <c r="W1004" s="1529"/>
      <c r="X1004" s="1529"/>
      <c r="Y1004" s="1529"/>
      <c r="Z1004" s="1529"/>
      <c r="AA1004" s="1529"/>
      <c r="AB1004" s="1529"/>
      <c r="AC1004" s="1529"/>
      <c r="AD1004" s="1529"/>
      <c r="AE1004" s="1530"/>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28"/>
      <c r="E1005" s="1529"/>
      <c r="F1005" s="1529"/>
      <c r="G1005" s="1529"/>
      <c r="H1005" s="1529"/>
      <c r="I1005" s="1529"/>
      <c r="J1005" s="1529"/>
      <c r="K1005" s="1529"/>
      <c r="L1005" s="1529"/>
      <c r="M1005" s="1529"/>
      <c r="N1005" s="1529"/>
      <c r="O1005" s="1529"/>
      <c r="P1005" s="1529"/>
      <c r="Q1005" s="1529"/>
      <c r="R1005" s="1529"/>
      <c r="S1005" s="1529"/>
      <c r="T1005" s="1529"/>
      <c r="U1005" s="1529"/>
      <c r="V1005" s="1529"/>
      <c r="W1005" s="1529"/>
      <c r="X1005" s="1529"/>
      <c r="Y1005" s="1529"/>
      <c r="Z1005" s="1529"/>
      <c r="AA1005" s="1529"/>
      <c r="AB1005" s="1529"/>
      <c r="AC1005" s="1529"/>
      <c r="AD1005" s="1529"/>
      <c r="AE1005" s="1530"/>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0.05</v>
      </c>
      <c r="AZ1005" s="34"/>
      <c r="BB1005" s="34"/>
    </row>
    <row r="1006" spans="1:55" ht="12.95" customHeight="1">
      <c r="A1006" s="14"/>
      <c r="B1006" s="75"/>
      <c r="C1006" s="76"/>
      <c r="D1006" s="1531"/>
      <c r="E1006" s="1532"/>
      <c r="F1006" s="1532"/>
      <c r="G1006" s="1532"/>
      <c r="H1006" s="1532"/>
      <c r="I1006" s="1532"/>
      <c r="J1006" s="1532"/>
      <c r="K1006" s="1532"/>
      <c r="L1006" s="1532"/>
      <c r="M1006" s="1532"/>
      <c r="N1006" s="1532"/>
      <c r="O1006" s="1532"/>
      <c r="P1006" s="1532"/>
      <c r="Q1006" s="1532"/>
      <c r="R1006" s="1532"/>
      <c r="S1006" s="1532"/>
      <c r="T1006" s="1532"/>
      <c r="U1006" s="1532"/>
      <c r="V1006" s="1532"/>
      <c r="W1006" s="1532"/>
      <c r="X1006" s="1532"/>
      <c r="Y1006" s="1532"/>
      <c r="Z1006" s="1532"/>
      <c r="AA1006" s="1532"/>
      <c r="AB1006" s="1532"/>
      <c r="AC1006" s="1532"/>
      <c r="AD1006" s="1532"/>
      <c r="AE1006" s="1533"/>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0.36</v>
      </c>
      <c r="AZ1006" s="34"/>
      <c r="BB1006" s="34"/>
    </row>
    <row r="1007" spans="1:55" ht="12.95" customHeight="1">
      <c r="A1007" s="14"/>
      <c r="B1007" s="255"/>
      <c r="C1007" s="80" t="s">
        <v>673</v>
      </c>
      <c r="D1007" s="1483" t="s">
        <v>1684</v>
      </c>
      <c r="E1007" s="1484"/>
      <c r="F1007" s="1484"/>
      <c r="G1007" s="1484"/>
      <c r="H1007" s="1484"/>
      <c r="I1007" s="1484"/>
      <c r="J1007" s="1484"/>
      <c r="K1007" s="1484"/>
      <c r="L1007" s="1484"/>
      <c r="M1007" s="1484"/>
      <c r="N1007" s="1484"/>
      <c r="O1007" s="1484"/>
      <c r="P1007" s="1484"/>
      <c r="Q1007" s="1484"/>
      <c r="R1007" s="1484"/>
      <c r="S1007" s="1484"/>
      <c r="T1007" s="1484"/>
      <c r="U1007" s="1484"/>
      <c r="V1007" s="1484"/>
      <c r="W1007" s="1484"/>
      <c r="X1007" s="1484"/>
      <c r="Y1007" s="1484"/>
      <c r="Z1007" s="1484"/>
      <c r="AA1007" s="1484"/>
      <c r="AB1007" s="1484"/>
      <c r="AC1007" s="1484"/>
      <c r="AD1007" s="1484"/>
      <c r="AE1007" s="1485"/>
      <c r="AF1007" s="86"/>
      <c r="AG1007" s="1491" t="s">
        <v>670</v>
      </c>
      <c r="AH1007" s="1492"/>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496" t="s">
        <v>1286</v>
      </c>
      <c r="E1008" s="1497"/>
      <c r="F1008" s="1497"/>
      <c r="G1008" s="1497"/>
      <c r="H1008" s="1497"/>
      <c r="I1008" s="1497"/>
      <c r="J1008" s="1497"/>
      <c r="K1008" s="1497"/>
      <c r="L1008" s="1497"/>
      <c r="M1008" s="1497"/>
      <c r="N1008" s="1497"/>
      <c r="O1008" s="1497"/>
      <c r="P1008" s="1497"/>
      <c r="Q1008" s="1497"/>
      <c r="R1008" s="1497"/>
      <c r="S1008" s="1497"/>
      <c r="T1008" s="1497"/>
      <c r="U1008" s="1497"/>
      <c r="V1008" s="1497"/>
      <c r="W1008" s="1497"/>
      <c r="X1008" s="1497"/>
      <c r="Y1008" s="1497"/>
      <c r="Z1008" s="1497"/>
      <c r="AA1008" s="1497"/>
      <c r="AB1008" s="1497"/>
      <c r="AC1008" s="1497"/>
      <c r="AD1008" s="1497"/>
      <c r="AE1008" s="1498"/>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496"/>
      <c r="E1009" s="1497"/>
      <c r="F1009" s="1497"/>
      <c r="G1009" s="1497"/>
      <c r="H1009" s="1497"/>
      <c r="I1009" s="1497"/>
      <c r="J1009" s="1497"/>
      <c r="K1009" s="1497"/>
      <c r="L1009" s="1497"/>
      <c r="M1009" s="1497"/>
      <c r="N1009" s="1497"/>
      <c r="O1009" s="1497"/>
      <c r="P1009" s="1497"/>
      <c r="Q1009" s="1497"/>
      <c r="R1009" s="1497"/>
      <c r="S1009" s="1497"/>
      <c r="T1009" s="1497"/>
      <c r="U1009" s="1497"/>
      <c r="V1009" s="1497"/>
      <c r="W1009" s="1497"/>
      <c r="X1009" s="1497"/>
      <c r="Y1009" s="1497"/>
      <c r="Z1009" s="1497"/>
      <c r="AA1009" s="1497"/>
      <c r="AB1009" s="1497"/>
      <c r="AC1009" s="1497"/>
      <c r="AD1009" s="1497"/>
      <c r="AE1009" s="1498"/>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499"/>
      <c r="E1010" s="1500"/>
      <c r="F1010" s="1500"/>
      <c r="G1010" s="1500"/>
      <c r="H1010" s="1500"/>
      <c r="I1010" s="1500"/>
      <c r="J1010" s="1500"/>
      <c r="K1010" s="1500"/>
      <c r="L1010" s="1500"/>
      <c r="M1010" s="1500"/>
      <c r="N1010" s="1500"/>
      <c r="O1010" s="1500"/>
      <c r="P1010" s="1500"/>
      <c r="Q1010" s="1500"/>
      <c r="R1010" s="1500"/>
      <c r="S1010" s="1500"/>
      <c r="T1010" s="1500"/>
      <c r="U1010" s="1500"/>
      <c r="V1010" s="1500"/>
      <c r="W1010" s="1500"/>
      <c r="X1010" s="1500"/>
      <c r="Y1010" s="1500"/>
      <c r="Z1010" s="1500"/>
      <c r="AA1010" s="1500"/>
      <c r="AB1010" s="1500"/>
      <c r="AC1010" s="1500"/>
      <c r="AD1010" s="1500"/>
      <c r="AE1010" s="1501"/>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212</v>
      </c>
      <c r="D1011" s="1483" t="s">
        <v>1288</v>
      </c>
      <c r="E1011" s="1484"/>
      <c r="F1011" s="1484"/>
      <c r="G1011" s="1484"/>
      <c r="H1011" s="1484"/>
      <c r="I1011" s="1484"/>
      <c r="J1011" s="1484"/>
      <c r="K1011" s="1484"/>
      <c r="L1011" s="1484"/>
      <c r="M1011" s="1484"/>
      <c r="N1011" s="1484"/>
      <c r="O1011" s="1484"/>
      <c r="P1011" s="1484"/>
      <c r="Q1011" s="1484"/>
      <c r="R1011" s="1484"/>
      <c r="S1011" s="1484"/>
      <c r="T1011" s="1484"/>
      <c r="U1011" s="1484"/>
      <c r="V1011" s="1484"/>
      <c r="W1011" s="1484"/>
      <c r="X1011" s="1484"/>
      <c r="Y1011" s="1484"/>
      <c r="Z1011" s="1484"/>
      <c r="AA1011" s="1484"/>
      <c r="AB1011" s="1484"/>
      <c r="AC1011" s="1484"/>
      <c r="AD1011" s="1484"/>
      <c r="AE1011" s="1485"/>
      <c r="AF1011" s="79"/>
      <c r="AG1011" s="1491" t="s">
        <v>670</v>
      </c>
      <c r="AH1011" s="1492"/>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499" t="s">
        <v>1289</v>
      </c>
      <c r="E1012" s="1500"/>
      <c r="F1012" s="1500"/>
      <c r="G1012" s="1500"/>
      <c r="H1012" s="1500"/>
      <c r="I1012" s="1500"/>
      <c r="J1012" s="1500"/>
      <c r="K1012" s="1500"/>
      <c r="L1012" s="1500"/>
      <c r="M1012" s="1500"/>
      <c r="N1012" s="1500"/>
      <c r="O1012" s="1500"/>
      <c r="P1012" s="1500"/>
      <c r="Q1012" s="1500"/>
      <c r="R1012" s="1500"/>
      <c r="S1012" s="1500"/>
      <c r="T1012" s="1500"/>
      <c r="U1012" s="1500"/>
      <c r="V1012" s="1500"/>
      <c r="W1012" s="1500"/>
      <c r="X1012" s="1500"/>
      <c r="Y1012" s="1500"/>
      <c r="Z1012" s="1500"/>
      <c r="AA1012" s="1500"/>
      <c r="AB1012" s="1500"/>
      <c r="AC1012" s="1500"/>
      <c r="AD1012" s="1500"/>
      <c r="AE1012" s="1501"/>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1842</v>
      </c>
      <c r="AZ1012" s="3" t="s">
        <v>2607</v>
      </c>
    </row>
    <row r="1013" spans="1:52" ht="12.95" customHeight="1">
      <c r="A1013" s="14"/>
      <c r="B1013" s="79"/>
      <c r="C1013" s="80" t="s">
        <v>215</v>
      </c>
      <c r="D1013" s="1483" t="s">
        <v>1290</v>
      </c>
      <c r="E1013" s="1484"/>
      <c r="F1013" s="1484"/>
      <c r="G1013" s="1484"/>
      <c r="H1013" s="1484"/>
      <c r="I1013" s="1484"/>
      <c r="J1013" s="1484"/>
      <c r="K1013" s="1484"/>
      <c r="L1013" s="1484"/>
      <c r="M1013" s="1484"/>
      <c r="N1013" s="1484"/>
      <c r="O1013" s="1484"/>
      <c r="P1013" s="1484"/>
      <c r="Q1013" s="1484"/>
      <c r="R1013" s="1484"/>
      <c r="S1013" s="1484"/>
      <c r="T1013" s="1484"/>
      <c r="U1013" s="1484"/>
      <c r="V1013" s="1484"/>
      <c r="W1013" s="1484"/>
      <c r="X1013" s="1484"/>
      <c r="Y1013" s="1484"/>
      <c r="Z1013" s="1484"/>
      <c r="AA1013" s="1484"/>
      <c r="AB1013" s="1484"/>
      <c r="AC1013" s="1484"/>
      <c r="AD1013" s="1484"/>
      <c r="AE1013" s="1485"/>
      <c r="AF1013" s="79"/>
      <c r="AG1013" s="1491" t="s">
        <v>670</v>
      </c>
      <c r="AH1013" s="1492"/>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496" t="s">
        <v>1291</v>
      </c>
      <c r="E1014" s="1497"/>
      <c r="F1014" s="1497"/>
      <c r="G1014" s="1497"/>
      <c r="H1014" s="1497"/>
      <c r="I1014" s="1497"/>
      <c r="J1014" s="1497"/>
      <c r="K1014" s="1497"/>
      <c r="L1014" s="1497"/>
      <c r="M1014" s="1497"/>
      <c r="N1014" s="1497"/>
      <c r="O1014" s="1497"/>
      <c r="P1014" s="1497"/>
      <c r="Q1014" s="1497"/>
      <c r="R1014" s="1497"/>
      <c r="S1014" s="1497"/>
      <c r="T1014" s="1497"/>
      <c r="U1014" s="1497"/>
      <c r="V1014" s="1497"/>
      <c r="W1014" s="1497"/>
      <c r="X1014" s="1497"/>
      <c r="Y1014" s="1497"/>
      <c r="Z1014" s="1497"/>
      <c r="AA1014" s="1497"/>
      <c r="AB1014" s="1497"/>
      <c r="AC1014" s="1497"/>
      <c r="AD1014" s="1497"/>
      <c r="AE1014" s="1498"/>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499"/>
      <c r="E1015" s="1500"/>
      <c r="F1015" s="1500"/>
      <c r="G1015" s="1500"/>
      <c r="H1015" s="1500"/>
      <c r="I1015" s="1500"/>
      <c r="J1015" s="1500"/>
      <c r="K1015" s="1500"/>
      <c r="L1015" s="1500"/>
      <c r="M1015" s="1500"/>
      <c r="N1015" s="1500"/>
      <c r="O1015" s="1500"/>
      <c r="P1015" s="1500"/>
      <c r="Q1015" s="1500"/>
      <c r="R1015" s="1500"/>
      <c r="S1015" s="1500"/>
      <c r="T1015" s="1500"/>
      <c r="U1015" s="1500"/>
      <c r="V1015" s="1500"/>
      <c r="W1015" s="1500"/>
      <c r="X1015" s="1500"/>
      <c r="Y1015" s="1500"/>
      <c r="Z1015" s="1500"/>
      <c r="AA1015" s="1500"/>
      <c r="AB1015" s="1500"/>
      <c r="AC1015" s="1500"/>
      <c r="AD1015" s="1500"/>
      <c r="AE1015" s="1501"/>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3"/>
        <v>0</v>
      </c>
      <c r="AZ1015" s="1255">
        <v>0.05</v>
      </c>
    </row>
    <row r="1016" spans="1:52" ht="12.95" customHeight="1">
      <c r="A1016" s="14"/>
      <c r="B1016" s="79"/>
      <c r="C1016" s="80" t="s">
        <v>218</v>
      </c>
      <c r="D1016" s="1493" t="s">
        <v>2236</v>
      </c>
      <c r="E1016" s="1494"/>
      <c r="F1016" s="1494"/>
      <c r="G1016" s="1494"/>
      <c r="H1016" s="1494"/>
      <c r="I1016" s="1494"/>
      <c r="J1016" s="1494"/>
      <c r="K1016" s="1494"/>
      <c r="L1016" s="1494"/>
      <c r="M1016" s="1494"/>
      <c r="N1016" s="1494"/>
      <c r="O1016" s="1494"/>
      <c r="P1016" s="1494"/>
      <c r="Q1016" s="1494"/>
      <c r="R1016" s="1494"/>
      <c r="S1016" s="1494"/>
      <c r="T1016" s="1494"/>
      <c r="U1016" s="1494"/>
      <c r="V1016" s="1494"/>
      <c r="W1016" s="1494"/>
      <c r="X1016" s="1494"/>
      <c r="Y1016" s="1494"/>
      <c r="Z1016" s="1494"/>
      <c r="AA1016" s="1494"/>
      <c r="AB1016" s="1494"/>
      <c r="AC1016" s="1494"/>
      <c r="AD1016" s="1494"/>
      <c r="AE1016" s="1495"/>
      <c r="AF1016" s="79"/>
      <c r="AG1016" s="1491" t="s">
        <v>670</v>
      </c>
      <c r="AH1016" s="1492"/>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3"/>
        <v>0</v>
      </c>
      <c r="AZ1016" s="1255">
        <v>0.02</v>
      </c>
    </row>
    <row r="1017" spans="1:52" ht="12.95" customHeight="1">
      <c r="A1017" s="14"/>
      <c r="B1017" s="73"/>
      <c r="C1017" s="74"/>
      <c r="D1017" s="1496" t="s">
        <v>1292</v>
      </c>
      <c r="E1017" s="1497"/>
      <c r="F1017" s="1497"/>
      <c r="G1017" s="1497"/>
      <c r="H1017" s="1497"/>
      <c r="I1017" s="1497"/>
      <c r="J1017" s="1497"/>
      <c r="K1017" s="1497"/>
      <c r="L1017" s="1497"/>
      <c r="M1017" s="1497"/>
      <c r="N1017" s="1497"/>
      <c r="O1017" s="1497"/>
      <c r="P1017" s="1497"/>
      <c r="Q1017" s="1497"/>
      <c r="R1017" s="1497"/>
      <c r="S1017" s="1497"/>
      <c r="T1017" s="1497"/>
      <c r="U1017" s="1497"/>
      <c r="V1017" s="1497"/>
      <c r="W1017" s="1497"/>
      <c r="X1017" s="1497"/>
      <c r="Y1017" s="1497"/>
      <c r="Z1017" s="1497"/>
      <c r="AA1017" s="1497"/>
      <c r="AB1017" s="1497"/>
      <c r="AC1017" s="1497"/>
      <c r="AD1017" s="1497"/>
      <c r="AE1017" s="1498"/>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3"/>
        <v>0</v>
      </c>
      <c r="AZ1017" s="1255">
        <v>0.04</v>
      </c>
    </row>
    <row r="1018" spans="1:52" ht="12.95" customHeight="1">
      <c r="A1018" s="14"/>
      <c r="B1018" s="73"/>
      <c r="C1018" s="74"/>
      <c r="D1018" s="1496"/>
      <c r="E1018" s="1497"/>
      <c r="F1018" s="1497"/>
      <c r="G1018" s="1497"/>
      <c r="H1018" s="1497"/>
      <c r="I1018" s="1497"/>
      <c r="J1018" s="1497"/>
      <c r="K1018" s="1497"/>
      <c r="L1018" s="1497"/>
      <c r="M1018" s="1497"/>
      <c r="N1018" s="1497"/>
      <c r="O1018" s="1497"/>
      <c r="P1018" s="1497"/>
      <c r="Q1018" s="1497"/>
      <c r="R1018" s="1497"/>
      <c r="S1018" s="1497"/>
      <c r="T1018" s="1497"/>
      <c r="U1018" s="1497"/>
      <c r="V1018" s="1497"/>
      <c r="W1018" s="1497"/>
      <c r="X1018" s="1497"/>
      <c r="Y1018" s="1497"/>
      <c r="Z1018" s="1497"/>
      <c r="AA1018" s="1497"/>
      <c r="AB1018" s="1497"/>
      <c r="AC1018" s="1497"/>
      <c r="AD1018" s="1497"/>
      <c r="AE1018" s="1498"/>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3"/>
        <v>0</v>
      </c>
      <c r="AZ1018" s="1255">
        <v>0.04</v>
      </c>
    </row>
    <row r="1019" spans="1:52" ht="12.95" customHeight="1">
      <c r="A1019" s="14"/>
      <c r="B1019" s="81"/>
      <c r="C1019" s="82"/>
      <c r="D1019" s="1499"/>
      <c r="E1019" s="1500"/>
      <c r="F1019" s="1500"/>
      <c r="G1019" s="1500"/>
      <c r="H1019" s="1500"/>
      <c r="I1019" s="1500"/>
      <c r="J1019" s="1500"/>
      <c r="K1019" s="1500"/>
      <c r="L1019" s="1500"/>
      <c r="M1019" s="1500"/>
      <c r="N1019" s="1500"/>
      <c r="O1019" s="1500"/>
      <c r="P1019" s="1500"/>
      <c r="Q1019" s="1500"/>
      <c r="R1019" s="1500"/>
      <c r="S1019" s="1500"/>
      <c r="T1019" s="1500"/>
      <c r="U1019" s="1500"/>
      <c r="V1019" s="1500"/>
      <c r="W1019" s="1500"/>
      <c r="X1019" s="1500"/>
      <c r="Y1019" s="1500"/>
      <c r="Z1019" s="1500"/>
      <c r="AA1019" s="1500"/>
      <c r="AB1019" s="1500"/>
      <c r="AC1019" s="1500"/>
      <c r="AD1019" s="1500"/>
      <c r="AE1019" s="1501"/>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3"/>
        <v>0</v>
      </c>
      <c r="AZ1019" s="1255">
        <v>0.01</v>
      </c>
    </row>
    <row r="1020" spans="1:52" ht="12.95" customHeight="1">
      <c r="A1020" s="14"/>
      <c r="B1020" s="79"/>
      <c r="C1020" s="80" t="s">
        <v>223</v>
      </c>
      <c r="D1020" s="1510" t="s">
        <v>1293</v>
      </c>
      <c r="E1020" s="1511"/>
      <c r="F1020" s="1511"/>
      <c r="G1020" s="1511"/>
      <c r="H1020" s="1511"/>
      <c r="I1020" s="1511"/>
      <c r="J1020" s="1511"/>
      <c r="K1020" s="1511"/>
      <c r="L1020" s="1511"/>
      <c r="M1020" s="1511"/>
      <c r="N1020" s="1511"/>
      <c r="O1020" s="1511"/>
      <c r="P1020" s="1511"/>
      <c r="Q1020" s="1511"/>
      <c r="R1020" s="1511"/>
      <c r="S1020" s="1511"/>
      <c r="T1020" s="1511"/>
      <c r="U1020" s="1511"/>
      <c r="V1020" s="1511"/>
      <c r="W1020" s="1511"/>
      <c r="X1020" s="1511"/>
      <c r="Y1020" s="1511"/>
      <c r="Z1020" s="1511"/>
      <c r="AA1020" s="1511"/>
      <c r="AB1020" s="1511"/>
      <c r="AC1020" s="1511"/>
      <c r="AD1020" s="1511"/>
      <c r="AE1020" s="1512"/>
      <c r="AF1020" s="79"/>
      <c r="AG1020" s="1491" t="s">
        <v>670</v>
      </c>
      <c r="AH1020" s="1492"/>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3"/>
        <v>0</v>
      </c>
      <c r="AZ1020" s="1255">
        <v>0.01</v>
      </c>
    </row>
    <row r="1021" spans="1:52" ht="12.95" customHeight="1">
      <c r="A1021" s="14"/>
      <c r="B1021" s="81"/>
      <c r="C1021" s="84"/>
      <c r="D1021" s="1513"/>
      <c r="E1021" s="1514"/>
      <c r="F1021" s="1514"/>
      <c r="G1021" s="1514"/>
      <c r="H1021" s="1514"/>
      <c r="I1021" s="1514"/>
      <c r="J1021" s="1514"/>
      <c r="K1021" s="1514"/>
      <c r="L1021" s="1514"/>
      <c r="M1021" s="1514"/>
      <c r="N1021" s="1514"/>
      <c r="O1021" s="1514"/>
      <c r="P1021" s="1514"/>
      <c r="Q1021" s="1514"/>
      <c r="R1021" s="1514"/>
      <c r="S1021" s="1514"/>
      <c r="T1021" s="1514"/>
      <c r="U1021" s="1514"/>
      <c r="V1021" s="1514"/>
      <c r="W1021" s="1514"/>
      <c r="X1021" s="1514"/>
      <c r="Y1021" s="1514"/>
      <c r="Z1021" s="1514"/>
      <c r="AA1021" s="1514"/>
      <c r="AB1021" s="1514"/>
      <c r="AC1021" s="1514"/>
      <c r="AD1021" s="1514"/>
      <c r="AE1021" s="1515"/>
      <c r="AF1021" s="1502" t="str">
        <f>IF(AG1020="yes","Please Select Type and Enter Amount:","")</f>
        <v/>
      </c>
      <c r="AG1021" s="1503"/>
      <c r="AH1021" s="1503"/>
      <c r="AI1021" s="1504"/>
      <c r="AJ1021" s="1395"/>
      <c r="AK1021" s="1396"/>
      <c r="AL1021" s="1396"/>
      <c r="AM1021" s="1396"/>
      <c r="AN1021" s="1396"/>
      <c r="AO1021" s="1396"/>
      <c r="AP1021" s="1396"/>
      <c r="AQ1021" s="1397"/>
      <c r="AR1021" s="68"/>
      <c r="AS1021" s="68"/>
      <c r="AT1021" s="68"/>
      <c r="AU1021" s="68"/>
      <c r="AV1021" s="68"/>
      <c r="AW1021" s="68"/>
      <c r="AX1021" s="3">
        <v>9</v>
      </c>
      <c r="AY1021" s="200">
        <f t="shared" si="53"/>
        <v>0</v>
      </c>
      <c r="AZ1021" s="1255">
        <v>0.01</v>
      </c>
    </row>
    <row r="1022" spans="1:52" ht="12.95" customHeight="1">
      <c r="A1022" s="14"/>
      <c r="B1022" s="81"/>
      <c r="C1022" s="84"/>
      <c r="D1022" s="1496" t="s">
        <v>1294</v>
      </c>
      <c r="E1022" s="1497"/>
      <c r="F1022" s="1497"/>
      <c r="G1022" s="1497"/>
      <c r="H1022" s="1497"/>
      <c r="I1022" s="1497"/>
      <c r="J1022" s="1497"/>
      <c r="K1022" s="1497"/>
      <c r="L1022" s="1497"/>
      <c r="M1022" s="1497"/>
      <c r="N1022" s="1497"/>
      <c r="O1022" s="1497"/>
      <c r="P1022" s="1497"/>
      <c r="Q1022" s="1497"/>
      <c r="R1022" s="1497"/>
      <c r="S1022" s="1497"/>
      <c r="T1022" s="1497"/>
      <c r="U1022" s="1497"/>
      <c r="V1022" s="1497"/>
      <c r="W1022" s="1497"/>
      <c r="X1022" s="1497"/>
      <c r="Y1022" s="1497"/>
      <c r="Z1022" s="1497"/>
      <c r="AA1022" s="1497"/>
      <c r="AB1022" s="1497"/>
      <c r="AC1022" s="1497"/>
      <c r="AD1022" s="1497"/>
      <c r="AE1022" s="1498"/>
      <c r="AF1022" s="1502"/>
      <c r="AG1022" s="1503"/>
      <c r="AH1022" s="1503"/>
      <c r="AI1022" s="1504"/>
      <c r="AJ1022" s="1395"/>
      <c r="AK1022" s="1396"/>
      <c r="AL1022" s="1396"/>
      <c r="AM1022" s="1396"/>
      <c r="AN1022" s="1396"/>
      <c r="AO1022" s="1396"/>
      <c r="AP1022" s="1396"/>
      <c r="AQ1022" s="1397"/>
      <c r="AR1022" s="68"/>
      <c r="AS1022" s="68"/>
      <c r="AT1022" s="68"/>
      <c r="AU1022" s="68"/>
      <c r="AV1022" s="68"/>
      <c r="AW1022" s="68"/>
      <c r="AX1022" s="3">
        <v>10</v>
      </c>
      <c r="AY1022" s="200">
        <f t="shared" si="53"/>
        <v>0</v>
      </c>
      <c r="AZ1022" s="1255">
        <v>0.02</v>
      </c>
    </row>
    <row r="1023" spans="1:52" ht="12.95" customHeight="1">
      <c r="A1023" s="14"/>
      <c r="B1023" s="81"/>
      <c r="C1023" s="84"/>
      <c r="D1023" s="1496"/>
      <c r="E1023" s="1497"/>
      <c r="F1023" s="1497"/>
      <c r="G1023" s="1497"/>
      <c r="H1023" s="1497"/>
      <c r="I1023" s="1497"/>
      <c r="J1023" s="1497"/>
      <c r="K1023" s="1497"/>
      <c r="L1023" s="1497"/>
      <c r="M1023" s="1497"/>
      <c r="N1023" s="1497"/>
      <c r="O1023" s="1497"/>
      <c r="P1023" s="1497"/>
      <c r="Q1023" s="1497"/>
      <c r="R1023" s="1497"/>
      <c r="S1023" s="1497"/>
      <c r="T1023" s="1497"/>
      <c r="U1023" s="1497"/>
      <c r="V1023" s="1497"/>
      <c r="W1023" s="1497"/>
      <c r="X1023" s="1497"/>
      <c r="Y1023" s="1497"/>
      <c r="Z1023" s="1497"/>
      <c r="AA1023" s="1497"/>
      <c r="AB1023" s="1497"/>
      <c r="AC1023" s="1497"/>
      <c r="AD1023" s="1497"/>
      <c r="AE1023" s="1498"/>
      <c r="AF1023" s="1545"/>
      <c r="AG1023" s="1545"/>
      <c r="AH1023" s="1545"/>
      <c r="AI1023" s="1545"/>
      <c r="AJ1023" s="1395"/>
      <c r="AK1023" s="1396"/>
      <c r="AL1023" s="1396"/>
      <c r="AM1023" s="1396"/>
      <c r="AN1023" s="1396"/>
      <c r="AO1023" s="1396"/>
      <c r="AP1023" s="1396"/>
      <c r="AQ1023" s="1397"/>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74" t="s">
        <v>592</v>
      </c>
      <c r="K1024" s="1475"/>
      <c r="L1024" s="1475"/>
      <c r="M1024" s="1475"/>
      <c r="N1024" s="1475"/>
      <c r="O1024" s="1475"/>
      <c r="P1024" s="1475"/>
      <c r="Q1024" s="1475"/>
      <c r="R1024" s="1475"/>
      <c r="S1024" s="1475"/>
      <c r="T1024" s="1475"/>
      <c r="U1024" s="1475"/>
      <c r="V1024" s="1475"/>
      <c r="W1024" s="1475"/>
      <c r="X1024" s="1475"/>
      <c r="Y1024" s="1475"/>
      <c r="Z1024" s="1475"/>
      <c r="AA1024" s="1475"/>
      <c r="AB1024" s="1475"/>
      <c r="AC1024" s="1475"/>
      <c r="AD1024" s="1475"/>
      <c r="AE1024" s="1476"/>
      <c r="AF1024" s="1545"/>
      <c r="AG1024" s="1545"/>
      <c r="AH1024" s="1545"/>
      <c r="AI1024" s="1545"/>
      <c r="AJ1024" s="1398"/>
      <c r="AK1024" s="1399"/>
      <c r="AL1024" s="1399"/>
      <c r="AM1024" s="1399"/>
      <c r="AN1024" s="1399"/>
      <c r="AO1024" s="1399"/>
      <c r="AP1024" s="1399"/>
      <c r="AQ1024" s="1400"/>
      <c r="AR1024" s="68"/>
      <c r="AS1024" s="68"/>
      <c r="AT1024" s="68"/>
      <c r="AU1024" s="68"/>
      <c r="AV1024" s="68"/>
      <c r="AW1024" s="68"/>
      <c r="AX1024" s="1032" t="s">
        <v>2606</v>
      </c>
      <c r="AY1024" s="201">
        <f>IF(SUM(AY1013:AY1023)&lt;=0.2,SUM(AY1013:AY1023),0.2)</f>
        <v>0</v>
      </c>
    </row>
    <row r="1025" spans="1:57" ht="12.95" customHeight="1">
      <c r="A1025" s="14"/>
      <c r="B1025" s="79"/>
      <c r="C1025" s="80" t="s">
        <v>229</v>
      </c>
      <c r="D1025" s="1483" t="s">
        <v>1295</v>
      </c>
      <c r="E1025" s="1484"/>
      <c r="F1025" s="1484"/>
      <c r="G1025" s="1484"/>
      <c r="H1025" s="1484"/>
      <c r="I1025" s="1484"/>
      <c r="J1025" s="1484"/>
      <c r="K1025" s="1484"/>
      <c r="L1025" s="1484"/>
      <c r="M1025" s="1484"/>
      <c r="N1025" s="1484"/>
      <c r="O1025" s="1484"/>
      <c r="P1025" s="1484"/>
      <c r="Q1025" s="1484"/>
      <c r="R1025" s="1484"/>
      <c r="S1025" s="1484"/>
      <c r="T1025" s="1484"/>
      <c r="U1025" s="1484"/>
      <c r="V1025" s="1484"/>
      <c r="W1025" s="1484"/>
      <c r="X1025" s="1484"/>
      <c r="Y1025" s="1484"/>
      <c r="Z1025" s="1484"/>
      <c r="AA1025" s="1484"/>
      <c r="AB1025" s="1484"/>
      <c r="AC1025" s="1484"/>
      <c r="AD1025" s="1484"/>
      <c r="AE1025" s="1485"/>
      <c r="AF1025" s="79"/>
      <c r="AG1025" s="1491" t="s">
        <v>670</v>
      </c>
      <c r="AH1025" s="1492"/>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496" t="s">
        <v>1691</v>
      </c>
      <c r="E1026" s="1497"/>
      <c r="F1026" s="1497"/>
      <c r="G1026" s="1497"/>
      <c r="H1026" s="1497"/>
      <c r="I1026" s="1497"/>
      <c r="J1026" s="1497"/>
      <c r="K1026" s="1497"/>
      <c r="L1026" s="1497"/>
      <c r="M1026" s="1497"/>
      <c r="N1026" s="1497"/>
      <c r="O1026" s="1497"/>
      <c r="P1026" s="1497"/>
      <c r="Q1026" s="1497"/>
      <c r="R1026" s="1497"/>
      <c r="S1026" s="1497"/>
      <c r="T1026" s="1497"/>
      <c r="U1026" s="1497"/>
      <c r="V1026" s="1497"/>
      <c r="W1026" s="1497"/>
      <c r="X1026" s="1497"/>
      <c r="Y1026" s="1497"/>
      <c r="Z1026" s="1497"/>
      <c r="AA1026" s="1497"/>
      <c r="AB1026" s="1497"/>
      <c r="AC1026" s="1497"/>
      <c r="AD1026" s="1497"/>
      <c r="AE1026" s="1498"/>
      <c r="AF1026" s="1516" t="str">
        <f>IF(AG1025="yes","Enter Amount:","")</f>
        <v/>
      </c>
      <c r="AG1026" s="1517"/>
      <c r="AH1026" s="1517"/>
      <c r="AI1026" s="1518"/>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496"/>
      <c r="E1027" s="1497"/>
      <c r="F1027" s="1497"/>
      <c r="G1027" s="1497"/>
      <c r="H1027" s="1497"/>
      <c r="I1027" s="1497"/>
      <c r="J1027" s="1497"/>
      <c r="K1027" s="1497"/>
      <c r="L1027" s="1497"/>
      <c r="M1027" s="1497"/>
      <c r="N1027" s="1497"/>
      <c r="O1027" s="1497"/>
      <c r="P1027" s="1497"/>
      <c r="Q1027" s="1497"/>
      <c r="R1027" s="1497"/>
      <c r="S1027" s="1497"/>
      <c r="T1027" s="1497"/>
      <c r="U1027" s="1497"/>
      <c r="V1027" s="1497"/>
      <c r="W1027" s="1497"/>
      <c r="X1027" s="1497"/>
      <c r="Y1027" s="1497"/>
      <c r="Z1027" s="1497"/>
      <c r="AA1027" s="1497"/>
      <c r="AB1027" s="1497"/>
      <c r="AC1027" s="1497"/>
      <c r="AD1027" s="1497"/>
      <c r="AE1027" s="1498"/>
      <c r="AF1027" s="1545"/>
      <c r="AG1027" s="1545"/>
      <c r="AH1027" s="1545"/>
      <c r="AI1027" s="1545"/>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499"/>
      <c r="E1028" s="1500"/>
      <c r="F1028" s="1500"/>
      <c r="G1028" s="1500"/>
      <c r="H1028" s="1500"/>
      <c r="I1028" s="1500"/>
      <c r="J1028" s="1500"/>
      <c r="K1028" s="1500"/>
      <c r="L1028" s="1500"/>
      <c r="M1028" s="1500"/>
      <c r="N1028" s="1500"/>
      <c r="O1028" s="1500"/>
      <c r="P1028" s="1500"/>
      <c r="Q1028" s="1500"/>
      <c r="R1028" s="1500"/>
      <c r="S1028" s="1500"/>
      <c r="T1028" s="1500"/>
      <c r="U1028" s="1500"/>
      <c r="V1028" s="1500"/>
      <c r="W1028" s="1500"/>
      <c r="X1028" s="1500"/>
      <c r="Y1028" s="1500"/>
      <c r="Z1028" s="1500"/>
      <c r="AA1028" s="1500"/>
      <c r="AB1028" s="1500"/>
      <c r="AC1028" s="1500"/>
      <c r="AD1028" s="1500"/>
      <c r="AE1028" s="1501"/>
      <c r="AF1028" s="1545"/>
      <c r="AG1028" s="1545"/>
      <c r="AH1028" s="1545"/>
      <c r="AI1028" s="1545"/>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234</v>
      </c>
      <c r="D1029" s="1493" t="s">
        <v>1296</v>
      </c>
      <c r="E1029" s="1494"/>
      <c r="F1029" s="1494"/>
      <c r="G1029" s="1494"/>
      <c r="H1029" s="1494"/>
      <c r="I1029" s="1494"/>
      <c r="J1029" s="1494"/>
      <c r="K1029" s="1494"/>
      <c r="L1029" s="1494"/>
      <c r="M1029" s="1494"/>
      <c r="N1029" s="1494"/>
      <c r="O1029" s="1494"/>
      <c r="P1029" s="1494"/>
      <c r="Q1029" s="1494"/>
      <c r="R1029" s="1494"/>
      <c r="S1029" s="1494"/>
      <c r="T1029" s="1494"/>
      <c r="U1029" s="1494"/>
      <c r="V1029" s="1494"/>
      <c r="W1029" s="1494"/>
      <c r="X1029" s="1494"/>
      <c r="Y1029" s="1494"/>
      <c r="Z1029" s="1494"/>
      <c r="AA1029" s="1494"/>
      <c r="AB1029" s="1494"/>
      <c r="AC1029" s="1494"/>
      <c r="AD1029" s="1494"/>
      <c r="AE1029" s="1495"/>
      <c r="AF1029" s="79"/>
      <c r="AG1029" s="1491" t="s">
        <v>546</v>
      </c>
      <c r="AH1029" s="1492"/>
      <c r="AI1029" s="87"/>
      <c r="AJ1029" s="1392">
        <f>ROUND(IF(AG1029="yes",(AJ992*0.1),0),0)</f>
        <v>6435320</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496" t="s">
        <v>1297</v>
      </c>
      <c r="E1030" s="1497"/>
      <c r="F1030" s="1497"/>
      <c r="G1030" s="1497"/>
      <c r="H1030" s="1497"/>
      <c r="I1030" s="1497"/>
      <c r="J1030" s="1497"/>
      <c r="K1030" s="1497"/>
      <c r="L1030" s="1497"/>
      <c r="M1030" s="1497"/>
      <c r="N1030" s="1497"/>
      <c r="O1030" s="1497"/>
      <c r="P1030" s="1497"/>
      <c r="Q1030" s="1497"/>
      <c r="R1030" s="1497"/>
      <c r="S1030" s="1497"/>
      <c r="T1030" s="1497"/>
      <c r="U1030" s="1497"/>
      <c r="V1030" s="1497"/>
      <c r="W1030" s="1497"/>
      <c r="X1030" s="1497"/>
      <c r="Y1030" s="1497"/>
      <c r="Z1030" s="1497"/>
      <c r="AA1030" s="1497"/>
      <c r="AB1030" s="1497"/>
      <c r="AC1030" s="1497"/>
      <c r="AD1030" s="1497"/>
      <c r="AE1030" s="1498"/>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499"/>
      <c r="E1031" s="1500"/>
      <c r="F1031" s="1500"/>
      <c r="G1031" s="1500"/>
      <c r="H1031" s="1500"/>
      <c r="I1031" s="1500"/>
      <c r="J1031" s="1500"/>
      <c r="K1031" s="1500"/>
      <c r="L1031" s="1500"/>
      <c r="M1031" s="1500"/>
      <c r="N1031" s="1500"/>
      <c r="O1031" s="1500"/>
      <c r="P1031" s="1500"/>
      <c r="Q1031" s="1500"/>
      <c r="R1031" s="1500"/>
      <c r="S1031" s="1500"/>
      <c r="T1031" s="1500"/>
      <c r="U1031" s="1500"/>
      <c r="V1031" s="1500"/>
      <c r="W1031" s="1500"/>
      <c r="X1031" s="1500"/>
      <c r="Y1031" s="1500"/>
      <c r="Z1031" s="1500"/>
      <c r="AA1031" s="1500"/>
      <c r="AB1031" s="1500"/>
      <c r="AC1031" s="1500"/>
      <c r="AD1031" s="1500"/>
      <c r="AE1031" s="1501"/>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688</v>
      </c>
      <c r="D1032" s="1483" t="s">
        <v>1687</v>
      </c>
      <c r="E1032" s="1484"/>
      <c r="F1032" s="1484"/>
      <c r="G1032" s="1484"/>
      <c r="H1032" s="1484"/>
      <c r="I1032" s="1484"/>
      <c r="J1032" s="1484"/>
      <c r="K1032" s="1484"/>
      <c r="L1032" s="1484"/>
      <c r="M1032" s="1484"/>
      <c r="N1032" s="1484"/>
      <c r="O1032" s="1484"/>
      <c r="P1032" s="1484"/>
      <c r="Q1032" s="1484"/>
      <c r="R1032" s="1484"/>
      <c r="S1032" s="1484"/>
      <c r="T1032" s="1484"/>
      <c r="U1032" s="1484"/>
      <c r="V1032" s="1484"/>
      <c r="W1032" s="1484"/>
      <c r="X1032" s="1484"/>
      <c r="Y1032" s="1484"/>
      <c r="Z1032" s="1484"/>
      <c r="AA1032" s="1484"/>
      <c r="AB1032" s="1484"/>
      <c r="AC1032" s="1484"/>
      <c r="AD1032" s="1484"/>
      <c r="AE1032" s="1485"/>
      <c r="AF1032" s="79"/>
      <c r="AG1032" s="1491" t="s">
        <v>670</v>
      </c>
      <c r="AH1032" s="1492"/>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05"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06"/>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05"/>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06"/>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07"/>
      <c r="E1035" s="1508"/>
      <c r="F1035" s="1508"/>
      <c r="G1035" s="1508"/>
      <c r="H1035" s="1508"/>
      <c r="I1035" s="1508"/>
      <c r="J1035" s="1508"/>
      <c r="K1035" s="1508"/>
      <c r="L1035" s="1508"/>
      <c r="M1035" s="1508"/>
      <c r="N1035" s="1508"/>
      <c r="O1035" s="1508"/>
      <c r="P1035" s="1508"/>
      <c r="Q1035" s="1508"/>
      <c r="R1035" s="1508"/>
      <c r="S1035" s="1508"/>
      <c r="T1035" s="1508"/>
      <c r="U1035" s="1508"/>
      <c r="V1035" s="1508"/>
      <c r="W1035" s="1508"/>
      <c r="X1035" s="1508"/>
      <c r="Y1035" s="1508"/>
      <c r="Z1035" s="1508"/>
      <c r="AA1035" s="1508"/>
      <c r="AB1035" s="1508"/>
      <c r="AC1035" s="1508"/>
      <c r="AD1035" s="1508"/>
      <c r="AE1035" s="1509"/>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688</v>
      </c>
      <c r="D1036" s="1493" t="s">
        <v>1689</v>
      </c>
      <c r="E1036" s="1494"/>
      <c r="F1036" s="1494"/>
      <c r="G1036" s="1494"/>
      <c r="H1036" s="1494"/>
      <c r="I1036" s="1494"/>
      <c r="J1036" s="1494"/>
      <c r="K1036" s="1494"/>
      <c r="L1036" s="1494"/>
      <c r="M1036" s="1494"/>
      <c r="N1036" s="1494"/>
      <c r="O1036" s="1494"/>
      <c r="P1036" s="1494"/>
      <c r="Q1036" s="1494"/>
      <c r="R1036" s="1494"/>
      <c r="S1036" s="1494"/>
      <c r="T1036" s="1494"/>
      <c r="U1036" s="1494"/>
      <c r="V1036" s="1494"/>
      <c r="W1036" s="1494"/>
      <c r="X1036" s="1494"/>
      <c r="Y1036" s="1494"/>
      <c r="Z1036" s="1494"/>
      <c r="AA1036" s="1494"/>
      <c r="AB1036" s="1494"/>
      <c r="AC1036" s="1494"/>
      <c r="AD1036" s="1494"/>
      <c r="AE1036" s="1495"/>
      <c r="AF1036" s="73"/>
      <c r="AG1036" s="1571" t="s">
        <v>546</v>
      </c>
      <c r="AH1036" s="1572"/>
      <c r="AI1036" s="83"/>
      <c r="AJ1036" s="1392">
        <f>ROUND(IF(AND(AG1036="yes",AJ1032=0),(AJ992*0.1),0),0)</f>
        <v>6435320</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05"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06"/>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05"/>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06"/>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505"/>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06"/>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0.42307692307692307</v>
      </c>
      <c r="BB1039" s="3" t="s">
        <v>2493</v>
      </c>
    </row>
    <row r="1040" spans="1:57" ht="12.95" customHeight="1">
      <c r="A1040" s="14"/>
      <c r="B1040" s="73"/>
      <c r="C1040" s="74"/>
      <c r="D1040" s="1507"/>
      <c r="E1040" s="1508"/>
      <c r="F1040" s="1508"/>
      <c r="G1040" s="1508"/>
      <c r="H1040" s="1508"/>
      <c r="I1040" s="1508"/>
      <c r="J1040" s="1508"/>
      <c r="K1040" s="1508"/>
      <c r="L1040" s="1508"/>
      <c r="M1040" s="1508"/>
      <c r="N1040" s="1508"/>
      <c r="O1040" s="1508"/>
      <c r="P1040" s="1508"/>
      <c r="Q1040" s="1508"/>
      <c r="R1040" s="1508"/>
      <c r="S1040" s="1508"/>
      <c r="T1040" s="1508"/>
      <c r="U1040" s="1508"/>
      <c r="V1040" s="1508"/>
      <c r="W1040" s="1508"/>
      <c r="X1040" s="1508"/>
      <c r="Y1040" s="1508"/>
      <c r="Z1040" s="1508"/>
      <c r="AA1040" s="1508"/>
      <c r="AB1040" s="1508"/>
      <c r="AC1040" s="1508"/>
      <c r="AD1040" s="1508"/>
      <c r="AE1040" s="1509"/>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1</v>
      </c>
      <c r="BB1040" s="3" t="s">
        <v>2490</v>
      </c>
    </row>
    <row r="1041" spans="1:56" ht="12.95" customHeight="1">
      <c r="A1041" s="14"/>
      <c r="B1041" s="79"/>
      <c r="C1041" s="131" t="s">
        <v>1011</v>
      </c>
      <c r="D1041" s="1483" t="s">
        <v>1298</v>
      </c>
      <c r="E1041" s="1484"/>
      <c r="F1041" s="1484"/>
      <c r="G1041" s="1484"/>
      <c r="H1041" s="1484"/>
      <c r="I1041" s="1484"/>
      <c r="J1041" s="1484"/>
      <c r="K1041" s="1484"/>
      <c r="L1041" s="1484"/>
      <c r="M1041" s="1484"/>
      <c r="N1041" s="1484"/>
      <c r="O1041" s="1484"/>
      <c r="P1041" s="1484"/>
      <c r="Q1041" s="1484"/>
      <c r="R1041" s="1484"/>
      <c r="S1041" s="1484"/>
      <c r="T1041" s="1484"/>
      <c r="U1041" s="1484"/>
      <c r="V1041" s="1484"/>
      <c r="W1041" s="1484"/>
      <c r="X1041" s="1484"/>
      <c r="Y1041" s="1484"/>
      <c r="Z1041" s="1484"/>
      <c r="AA1041" s="1484"/>
      <c r="AB1041" s="1484"/>
      <c r="AC1041" s="1484"/>
      <c r="AD1041" s="1484"/>
      <c r="AE1041" s="1485"/>
      <c r="AF1041" s="79"/>
      <c r="AG1041" s="1491" t="s">
        <v>670</v>
      </c>
      <c r="AH1041" s="1492"/>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2491</v>
      </c>
    </row>
    <row r="1042" spans="1:56" ht="12.95" customHeight="1">
      <c r="A1042" s="14"/>
      <c r="B1042" s="73"/>
      <c r="C1042" s="74"/>
      <c r="D1042" s="1496" t="s">
        <v>2145</v>
      </c>
      <c r="E1042" s="1497"/>
      <c r="F1042" s="1497"/>
      <c r="G1042" s="1497"/>
      <c r="H1042" s="1497"/>
      <c r="I1042" s="1497"/>
      <c r="J1042" s="1497"/>
      <c r="K1042" s="1497"/>
      <c r="L1042" s="1497"/>
      <c r="M1042" s="1497"/>
      <c r="N1042" s="1497"/>
      <c r="O1042" s="1497"/>
      <c r="P1042" s="1497"/>
      <c r="Q1042" s="1497"/>
      <c r="R1042" s="1497"/>
      <c r="S1042" s="1497"/>
      <c r="T1042" s="1497"/>
      <c r="U1042" s="1497"/>
      <c r="V1042" s="1497"/>
      <c r="W1042" s="1497"/>
      <c r="X1042" s="1497"/>
      <c r="Y1042" s="1497"/>
      <c r="Z1042" s="1497"/>
      <c r="AA1042" s="1497"/>
      <c r="AB1042" s="1497"/>
      <c r="AC1042" s="1497"/>
      <c r="AD1042" s="1497"/>
      <c r="AE1042" s="1498"/>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0</v>
      </c>
      <c r="BB1042" s="3" t="s">
        <v>2492</v>
      </c>
    </row>
    <row r="1043" spans="1:56" ht="12.95" customHeight="1">
      <c r="A1043" s="14"/>
      <c r="B1043" s="73"/>
      <c r="C1043" s="74"/>
      <c r="D1043" s="1496"/>
      <c r="E1043" s="1497"/>
      <c r="F1043" s="1497"/>
      <c r="G1043" s="1497"/>
      <c r="H1043" s="1497"/>
      <c r="I1043" s="1497"/>
      <c r="J1043" s="1497"/>
      <c r="K1043" s="1497"/>
      <c r="L1043" s="1497"/>
      <c r="M1043" s="1497"/>
      <c r="N1043" s="1497"/>
      <c r="O1043" s="1497"/>
      <c r="P1043" s="1497"/>
      <c r="Q1043" s="1497"/>
      <c r="R1043" s="1497"/>
      <c r="S1043" s="1497"/>
      <c r="T1043" s="1497"/>
      <c r="U1043" s="1497"/>
      <c r="V1043" s="1497"/>
      <c r="W1043" s="1497"/>
      <c r="X1043" s="1497"/>
      <c r="Y1043" s="1497"/>
      <c r="Z1043" s="1497"/>
      <c r="AA1043" s="1497"/>
      <c r="AB1043" s="1497"/>
      <c r="AC1043" s="1497"/>
      <c r="AD1043" s="1497"/>
      <c r="AE1043" s="1498"/>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499"/>
      <c r="E1044" s="1500"/>
      <c r="F1044" s="1500"/>
      <c r="G1044" s="1500"/>
      <c r="H1044" s="1500"/>
      <c r="I1044" s="1500"/>
      <c r="J1044" s="1500"/>
      <c r="K1044" s="1500"/>
      <c r="L1044" s="1500"/>
      <c r="M1044" s="1500"/>
      <c r="N1044" s="1500"/>
      <c r="O1044" s="1500"/>
      <c r="P1044" s="1500"/>
      <c r="Q1044" s="1500"/>
      <c r="R1044" s="1500"/>
      <c r="S1044" s="1500"/>
      <c r="T1044" s="1500"/>
      <c r="U1044" s="1500"/>
      <c r="V1044" s="1500"/>
      <c r="W1044" s="1500"/>
      <c r="X1044" s="1500"/>
      <c r="Y1044" s="1500"/>
      <c r="Z1044" s="1500"/>
      <c r="AA1044" s="1500"/>
      <c r="AB1044" s="1500"/>
      <c r="AC1044" s="1500"/>
      <c r="AD1044" s="1500"/>
      <c r="AE1044" s="1501"/>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1685</v>
      </c>
      <c r="D1045" s="1493" t="s">
        <v>1865</v>
      </c>
      <c r="E1045" s="1494"/>
      <c r="F1045" s="1494"/>
      <c r="G1045" s="1494"/>
      <c r="H1045" s="1494"/>
      <c r="I1045" s="1494"/>
      <c r="J1045" s="1494"/>
      <c r="K1045" s="1494"/>
      <c r="L1045" s="1494"/>
      <c r="M1045" s="1494"/>
      <c r="N1045" s="1494"/>
      <c r="O1045" s="1494"/>
      <c r="P1045" s="1494"/>
      <c r="Q1045" s="1494"/>
      <c r="R1045" s="1494"/>
      <c r="S1045" s="1494"/>
      <c r="T1045" s="1494"/>
      <c r="U1045" s="1494"/>
      <c r="V1045" s="1494"/>
      <c r="W1045" s="1494"/>
      <c r="X1045" s="1494"/>
      <c r="Y1045" s="1494"/>
      <c r="Z1045" s="1494"/>
      <c r="AA1045" s="1494"/>
      <c r="AB1045" s="1494"/>
      <c r="AC1045" s="1494"/>
      <c r="AD1045" s="1494"/>
      <c r="AE1045" s="1495"/>
      <c r="AF1045" s="79"/>
      <c r="AG1045" s="1561" t="str">
        <f>IF(X1048&gt;0,"Yes","No")</f>
        <v>Yes</v>
      </c>
      <c r="AH1045" s="1562"/>
      <c r="AI1045" s="87"/>
      <c r="AJ1045" s="1392">
        <f>IF((X1048=0),0,AY1005*AJ992)</f>
        <v>3217659.75</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496" t="s">
        <v>1300</v>
      </c>
      <c r="E1046" s="1497"/>
      <c r="F1046" s="1497"/>
      <c r="G1046" s="1497"/>
      <c r="H1046" s="1497"/>
      <c r="I1046" s="1497"/>
      <c r="J1046" s="1497"/>
      <c r="K1046" s="1497"/>
      <c r="L1046" s="1497"/>
      <c r="M1046" s="1497"/>
      <c r="N1046" s="1497"/>
      <c r="O1046" s="1497"/>
      <c r="P1046" s="1497"/>
      <c r="Q1046" s="1497"/>
      <c r="R1046" s="1497"/>
      <c r="S1046" s="1497"/>
      <c r="T1046" s="1497"/>
      <c r="U1046" s="1497"/>
      <c r="V1046" s="1497"/>
      <c r="W1046" s="1497"/>
      <c r="X1046" s="1497"/>
      <c r="Y1046" s="1497"/>
      <c r="Z1046" s="1497"/>
      <c r="AA1046" s="1497"/>
      <c r="AB1046" s="1497"/>
      <c r="AC1046" s="1497"/>
      <c r="AD1046" s="1497"/>
      <c r="AE1046" s="1498"/>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7970413.2000000002</v>
      </c>
      <c r="BA1046" s="1182">
        <f>IF(BA1040,20%,15%)</f>
        <v>0.2</v>
      </c>
      <c r="BB1046" s="3" t="s">
        <v>2479</v>
      </c>
      <c r="BC1046" s="3" t="s">
        <v>2480</v>
      </c>
      <c r="BD1046" s="3"/>
    </row>
    <row r="1047" spans="1:56" ht="12.95" customHeight="1">
      <c r="A1047" s="14"/>
      <c r="B1047" s="73"/>
      <c r="C1047" s="442"/>
      <c r="D1047" s="1496"/>
      <c r="E1047" s="1497"/>
      <c r="F1047" s="1497"/>
      <c r="G1047" s="1497"/>
      <c r="H1047" s="1497"/>
      <c r="I1047" s="1497"/>
      <c r="J1047" s="1497"/>
      <c r="K1047" s="1497"/>
      <c r="L1047" s="1497"/>
      <c r="M1047" s="1497"/>
      <c r="N1047" s="1497"/>
      <c r="O1047" s="1497"/>
      <c r="P1047" s="1497"/>
      <c r="Q1047" s="1497"/>
      <c r="R1047" s="1497"/>
      <c r="S1047" s="1497"/>
      <c r="T1047" s="1497"/>
      <c r="U1047" s="1497"/>
      <c r="V1047" s="1497"/>
      <c r="W1047" s="1497"/>
      <c r="X1047" s="1497"/>
      <c r="Y1047" s="1497"/>
      <c r="Z1047" s="1497"/>
      <c r="AA1047" s="1497"/>
      <c r="AB1047" s="1497"/>
      <c r="AC1047" s="1497"/>
      <c r="AD1047" s="1497"/>
      <c r="AE1047" s="1498"/>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559">
        <f>AY1003</f>
        <v>104</v>
      </c>
      <c r="J1048" s="1560"/>
      <c r="K1048" s="7"/>
      <c r="L1048" s="133"/>
      <c r="M1048" s="133"/>
      <c r="N1048" s="133"/>
      <c r="O1048" s="133"/>
      <c r="P1048" s="133"/>
      <c r="Q1048" s="133"/>
      <c r="R1048" s="133"/>
      <c r="S1048" s="133"/>
      <c r="T1048" s="133"/>
      <c r="U1048" s="133"/>
      <c r="V1048" s="134" t="s">
        <v>974</v>
      </c>
      <c r="W1048" s="48"/>
      <c r="X1048" s="1557">
        <f>CI753</f>
        <v>6</v>
      </c>
      <c r="Y1048" s="1558"/>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2.95" customHeight="1">
      <c r="A1049" s="14"/>
      <c r="B1049" s="79"/>
      <c r="C1049" s="131" t="s">
        <v>1686</v>
      </c>
      <c r="D1049" s="1483" t="s">
        <v>2171</v>
      </c>
      <c r="E1049" s="1484"/>
      <c r="F1049" s="1484"/>
      <c r="G1049" s="1484"/>
      <c r="H1049" s="1484"/>
      <c r="I1049" s="1484"/>
      <c r="J1049" s="1484"/>
      <c r="K1049" s="1484"/>
      <c r="L1049" s="1484"/>
      <c r="M1049" s="1484"/>
      <c r="N1049" s="1484"/>
      <c r="O1049" s="1484"/>
      <c r="P1049" s="1484"/>
      <c r="Q1049" s="1484"/>
      <c r="R1049" s="1484"/>
      <c r="S1049" s="1484"/>
      <c r="T1049" s="1484"/>
      <c r="U1049" s="1484"/>
      <c r="V1049" s="1484"/>
      <c r="W1049" s="1484"/>
      <c r="X1049" s="1484"/>
      <c r="Y1049" s="1484"/>
      <c r="Z1049" s="1484"/>
      <c r="AA1049" s="1484"/>
      <c r="AB1049" s="1484"/>
      <c r="AC1049" s="1484"/>
      <c r="AD1049" s="1484"/>
      <c r="AE1049" s="1485"/>
      <c r="AF1049" s="73"/>
      <c r="AG1049" s="1561" t="str">
        <f>IF(X1052&gt;0,"Yes","No")</f>
        <v>Yes</v>
      </c>
      <c r="AH1049" s="1562"/>
      <c r="AI1049" s="83"/>
      <c r="AJ1049" s="1392">
        <f>IF((X1052=0),0,(2*AY1006)*AJ992)</f>
        <v>46334300.399999999</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496" t="s">
        <v>1299</v>
      </c>
      <c r="E1050" s="1497"/>
      <c r="F1050" s="1497"/>
      <c r="G1050" s="1497"/>
      <c r="H1050" s="1497"/>
      <c r="I1050" s="1497"/>
      <c r="J1050" s="1497"/>
      <c r="K1050" s="1497"/>
      <c r="L1050" s="1497"/>
      <c r="M1050" s="1497"/>
      <c r="N1050" s="1497"/>
      <c r="O1050" s="1497"/>
      <c r="P1050" s="1497"/>
      <c r="Q1050" s="1497"/>
      <c r="R1050" s="1497"/>
      <c r="S1050" s="1497"/>
      <c r="T1050" s="1497"/>
      <c r="U1050" s="1497"/>
      <c r="V1050" s="1497"/>
      <c r="W1050" s="1497"/>
      <c r="X1050" s="1497"/>
      <c r="Y1050" s="1497"/>
      <c r="Z1050" s="1497"/>
      <c r="AA1050" s="1497"/>
      <c r="AB1050" s="1497"/>
      <c r="AC1050" s="1497"/>
      <c r="AD1050" s="1497"/>
      <c r="AE1050" s="1498"/>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496"/>
      <c r="E1051" s="1497"/>
      <c r="F1051" s="1497"/>
      <c r="G1051" s="1497"/>
      <c r="H1051" s="1497"/>
      <c r="I1051" s="1497"/>
      <c r="J1051" s="1497"/>
      <c r="K1051" s="1497"/>
      <c r="L1051" s="1497"/>
      <c r="M1051" s="1497"/>
      <c r="N1051" s="1497"/>
      <c r="O1051" s="1497"/>
      <c r="P1051" s="1497"/>
      <c r="Q1051" s="1497"/>
      <c r="R1051" s="1497"/>
      <c r="S1051" s="1497"/>
      <c r="T1051" s="1497"/>
      <c r="U1051" s="1497"/>
      <c r="V1051" s="1497"/>
      <c r="W1051" s="1497"/>
      <c r="X1051" s="1497"/>
      <c r="Y1051" s="1497"/>
      <c r="Z1051" s="1497"/>
      <c r="AA1051" s="1497"/>
      <c r="AB1051" s="1497"/>
      <c r="AC1051" s="1497"/>
      <c r="AD1051" s="1497"/>
      <c r="AE1051" s="1498"/>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3000000</v>
      </c>
      <c r="BA1051" s="3" t="s">
        <v>2484</v>
      </c>
      <c r="BB1051" s="3"/>
      <c r="BC1051" s="3"/>
      <c r="BD1051" s="3" cm="1">
        <f t="array" ref="BD1051">_xlfn.IFS(BA1040,3000000,AND(BA1041&gt;=25%,BA1042&gt;=15),2800000,TRUE,2500000)</f>
        <v>3000000</v>
      </c>
    </row>
    <row r="1052" spans="1:56" ht="12.95" customHeight="1">
      <c r="A1052" s="14"/>
      <c r="B1052" s="77"/>
      <c r="C1052" s="78"/>
      <c r="D1052" s="132" t="s">
        <v>973</v>
      </c>
      <c r="E1052" s="133"/>
      <c r="F1052" s="133"/>
      <c r="G1052" s="133"/>
      <c r="H1052" s="133"/>
      <c r="I1052" s="1559">
        <f>AY1003</f>
        <v>104</v>
      </c>
      <c r="J1052" s="1560"/>
      <c r="K1052" s="14"/>
      <c r="L1052" s="133"/>
      <c r="M1052" s="133"/>
      <c r="N1052" s="133"/>
      <c r="O1052" s="133"/>
      <c r="P1052" s="133"/>
      <c r="Q1052" s="133"/>
      <c r="R1052" s="133"/>
      <c r="S1052" s="133"/>
      <c r="T1052" s="133"/>
      <c r="U1052" s="133"/>
      <c r="V1052" s="134" t="s">
        <v>975</v>
      </c>
      <c r="X1052" s="1557">
        <f>CM753</f>
        <v>38</v>
      </c>
      <c r="Y1052" s="1558"/>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555" t="s">
        <v>514</v>
      </c>
      <c r="E1053" s="1555"/>
      <c r="F1053" s="1555"/>
      <c r="G1053" s="1555"/>
      <c r="H1053" s="1555"/>
      <c r="I1053" s="1555"/>
      <c r="J1053" s="1555"/>
      <c r="K1053" s="1555"/>
      <c r="L1053" s="1555"/>
      <c r="M1053" s="1555"/>
      <c r="N1053" s="1555"/>
      <c r="O1053" s="1555"/>
      <c r="P1053" s="1555"/>
      <c r="Q1053" s="1555"/>
      <c r="R1053" s="1555"/>
      <c r="S1053" s="1555"/>
      <c r="T1053" s="1555"/>
      <c r="U1053" s="1555"/>
      <c r="V1053" s="1555"/>
      <c r="W1053" s="1555"/>
      <c r="X1053" s="1555"/>
      <c r="Y1053" s="1555"/>
      <c r="Z1053" s="1555"/>
      <c r="AA1053" s="1555"/>
      <c r="AB1053" s="1555"/>
      <c r="AC1053" s="1555"/>
      <c r="AD1053" s="1555"/>
      <c r="AE1053" s="1555"/>
      <c r="AF1053" s="1555"/>
      <c r="AG1053" s="1555"/>
      <c r="AH1053" s="1555"/>
      <c r="AI1053" s="1556"/>
      <c r="AJ1053" s="1568">
        <f>SUM(AJ992:AQ1052)</f>
        <v>126775795.15000001</v>
      </c>
      <c r="AK1053" s="1569"/>
      <c r="AL1053" s="1569"/>
      <c r="AM1053" s="1569"/>
      <c r="AN1053" s="1569"/>
      <c r="AO1053" s="1569"/>
      <c r="AP1053" s="1569"/>
      <c r="AQ1053" s="1570"/>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3000000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0">
        <f>'Sources and Uses Budget'!S107+'Sources and Uses Budget'!T107</f>
        <v>47822479</v>
      </c>
      <c r="AB1056" s="1850"/>
      <c r="AC1056" s="1850"/>
      <c r="AD1056" s="1850"/>
      <c r="AE1056" s="1850"/>
      <c r="AF1056" s="185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7970413.2000000002</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1">
        <f>IFERROR((AA1056-BA1059)/(AJ1053-AJ1045-AJ1049),"")</f>
        <v>0.5549072511097124</v>
      </c>
      <c r="AB1057" s="1852"/>
      <c r="AC1057" s="1852"/>
      <c r="AD1057" s="1852"/>
      <c r="AE1057" s="1852"/>
      <c r="AF1057" s="185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4"/>
      <c r="I1058" s="1854"/>
      <c r="J1058" s="1854"/>
      <c r="K1058" s="1854"/>
      <c r="L1058" s="1854"/>
      <c r="M1058" s="1854"/>
      <c r="N1058" s="1854"/>
      <c r="O1058" s="1854"/>
      <c r="P1058" s="1854"/>
      <c r="Q1058" s="1854"/>
      <c r="R1058" s="1854"/>
      <c r="S1058" s="1854"/>
      <c r="T1058" s="1854"/>
      <c r="U1058" s="1854"/>
      <c r="V1058" s="1854"/>
      <c r="W1058" s="1854"/>
      <c r="X1058" s="1854"/>
      <c r="Y1058" s="1854"/>
      <c r="Z1058" s="1854"/>
      <c r="AA1058" s="1854"/>
      <c r="AB1058" s="1854"/>
      <c r="AC1058" s="1854"/>
      <c r="AD1058" s="1854"/>
      <c r="AE1058" s="1854"/>
      <c r="AF1058" s="1854"/>
      <c r="AG1058" s="1854"/>
      <c r="AH1058" s="1854"/>
      <c r="AI1058" s="1854"/>
      <c r="AJ1058" s="1854"/>
      <c r="AK1058" s="1854"/>
      <c r="AL1058" s="1854"/>
      <c r="AM1058" s="1854"/>
      <c r="AN1058" s="1854"/>
      <c r="AO1058" s="68"/>
      <c r="AP1058" s="68"/>
      <c r="AQ1058" s="68"/>
      <c r="AR1058" s="68"/>
      <c r="AS1058" s="68"/>
      <c r="AT1058" s="68"/>
      <c r="AU1058" s="68"/>
      <c r="AV1058" s="14"/>
      <c r="AW1058" s="14"/>
      <c r="AX1058" s="14"/>
      <c r="AY1058" s="14"/>
      <c r="BA1058" s="1185">
        <f>'Sources and Uses Budget'!$S$104+'Sources and Uses Budget'!$T$104</f>
        <v>7970413</v>
      </c>
      <c r="BB1058" s="3" t="s">
        <v>2494</v>
      </c>
    </row>
    <row r="1059" spans="1:54" ht="12.95" customHeight="1">
      <c r="A1059" s="14"/>
      <c r="B1059" s="14"/>
      <c r="C1059" s="208"/>
      <c r="D1059" s="858"/>
      <c r="E1059" s="858"/>
      <c r="F1059" s="858"/>
      <c r="G1059" s="1854"/>
      <c r="H1059" s="1854"/>
      <c r="I1059" s="1854"/>
      <c r="J1059" s="1854"/>
      <c r="K1059" s="1854"/>
      <c r="L1059" s="1854"/>
      <c r="M1059" s="1854"/>
      <c r="N1059" s="1854"/>
      <c r="O1059" s="1854"/>
      <c r="P1059" s="1854"/>
      <c r="Q1059" s="1854"/>
      <c r="R1059" s="1854"/>
      <c r="S1059" s="1854"/>
      <c r="T1059" s="1854"/>
      <c r="U1059" s="1854"/>
      <c r="V1059" s="1854"/>
      <c r="W1059" s="1854"/>
      <c r="X1059" s="1854"/>
      <c r="Y1059" s="1854"/>
      <c r="Z1059" s="1854"/>
      <c r="AA1059" s="1854"/>
      <c r="AB1059" s="1854"/>
      <c r="AC1059" s="1854"/>
      <c r="AD1059" s="1854"/>
      <c r="AE1059" s="1854"/>
      <c r="AF1059" s="1854"/>
      <c r="AG1059" s="1854"/>
      <c r="AH1059" s="1854"/>
      <c r="AI1059" s="1854"/>
      <c r="AJ1059" s="1854"/>
      <c r="AK1059" s="1854"/>
      <c r="AL1059" s="1854"/>
      <c r="AM1059" s="1854"/>
      <c r="AN1059" s="1854"/>
      <c r="AO1059" s="68"/>
      <c r="AP1059" s="68"/>
      <c r="AQ1059" s="68"/>
      <c r="AR1059" s="68"/>
      <c r="AS1059" s="68"/>
      <c r="AT1059" s="68"/>
      <c r="AU1059" s="68"/>
      <c r="AV1059" s="14"/>
      <c r="AW1059" s="14"/>
      <c r="AX1059" s="14"/>
      <c r="AY1059" s="14"/>
      <c r="BA1059" s="1186">
        <f>MAX($BA$1058-$BA$1055,0)</f>
        <v>4970413</v>
      </c>
      <c r="BB1059" s="3" t="s">
        <v>2495</v>
      </c>
    </row>
    <row r="1060" spans="1:54" ht="12.95" customHeight="1">
      <c r="A1060" s="88"/>
      <c r="B1060" s="1172"/>
      <c r="C1060" s="1172"/>
      <c r="D1060" s="1172"/>
      <c r="E1060" s="1172"/>
      <c r="F1060" s="1172"/>
      <c r="G1060" s="1854"/>
      <c r="H1060" s="1854"/>
      <c r="I1060" s="1854"/>
      <c r="J1060" s="1854"/>
      <c r="K1060" s="1854"/>
      <c r="L1060" s="1854"/>
      <c r="M1060" s="1854"/>
      <c r="N1060" s="1854"/>
      <c r="O1060" s="1854"/>
      <c r="P1060" s="1854"/>
      <c r="Q1060" s="1854"/>
      <c r="R1060" s="1854"/>
      <c r="S1060" s="1854"/>
      <c r="T1060" s="1854"/>
      <c r="U1060" s="1854"/>
      <c r="V1060" s="1854"/>
      <c r="W1060" s="1854"/>
      <c r="X1060" s="1854"/>
      <c r="Y1060" s="1854"/>
      <c r="Z1060" s="1854"/>
      <c r="AA1060" s="1854"/>
      <c r="AB1060" s="1854"/>
      <c r="AC1060" s="1854"/>
      <c r="AD1060" s="1854"/>
      <c r="AE1060" s="1854"/>
      <c r="AF1060" s="1854"/>
      <c r="AG1060" s="1854"/>
      <c r="AH1060" s="1854"/>
      <c r="AI1060" s="1854"/>
      <c r="AJ1060" s="1854"/>
      <c r="AK1060" s="1854"/>
      <c r="AL1060" s="1854"/>
      <c r="AM1060" s="1854"/>
      <c r="AN1060" s="1854"/>
      <c r="AO1060" s="1172"/>
      <c r="AP1060" s="1172"/>
      <c r="AQ1060" s="68"/>
      <c r="AR1060" s="68"/>
      <c r="AS1060" s="68"/>
      <c r="AT1060" s="68"/>
      <c r="AU1060" s="68"/>
      <c r="AV1060" s="68"/>
      <c r="AW1060" s="68"/>
      <c r="AX1060" s="68"/>
      <c r="AY1060" s="68"/>
    </row>
    <row r="1061" spans="1:54" ht="12.95"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2238</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2242</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2243</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2239</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2241</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H312:R312"/>
    <mergeCell ref="H335:R335"/>
    <mergeCell ref="H336:R336"/>
    <mergeCell ref="H338:R338"/>
    <mergeCell ref="H337:R337"/>
    <mergeCell ref="H339:M339"/>
    <mergeCell ref="H341:R341"/>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AZ851:BA851"/>
    <mergeCell ref="AC890:AH890"/>
    <mergeCell ref="Z814:AE814"/>
    <mergeCell ref="Y827:AB827"/>
    <mergeCell ref="AG827:AJ827"/>
    <mergeCell ref="Z817:AE817"/>
    <mergeCell ref="EO788:ES788"/>
    <mergeCell ref="EO789:ES789"/>
    <mergeCell ref="EO790:ES790"/>
    <mergeCell ref="EO791:ES791"/>
    <mergeCell ref="EO792:ES792"/>
    <mergeCell ref="EO793:ES793"/>
    <mergeCell ref="EO794:ES794"/>
    <mergeCell ref="EO795:ES795"/>
    <mergeCell ref="DO792:DS792"/>
    <mergeCell ref="EO797:ES797"/>
    <mergeCell ref="DZ787:ED787"/>
    <mergeCell ref="DZ788:ED788"/>
    <mergeCell ref="DZ789:ED789"/>
    <mergeCell ref="DZ790:ED790"/>
    <mergeCell ref="DZ791:ED791"/>
    <mergeCell ref="DZ792:ED792"/>
    <mergeCell ref="DZ793:ED793"/>
    <mergeCell ref="DZ794:ED794"/>
    <mergeCell ref="DZ795:ED795"/>
    <mergeCell ref="DZ796:ED796"/>
    <mergeCell ref="DU792:DY792"/>
    <mergeCell ref="DU793:DY793"/>
    <mergeCell ref="DU794:DY794"/>
    <mergeCell ref="DU795:DY795"/>
    <mergeCell ref="DU796:DY796"/>
    <mergeCell ref="EE787:EI787"/>
    <mergeCell ref="EE788:EI788"/>
    <mergeCell ref="EE789:EI789"/>
    <mergeCell ref="EE790:EI790"/>
    <mergeCell ref="EE791:EI791"/>
    <mergeCell ref="EE792:EI792"/>
    <mergeCell ref="EE793:EI793"/>
    <mergeCell ref="EE794:EI794"/>
    <mergeCell ref="EE795:EI795"/>
    <mergeCell ref="EE796:EI796"/>
    <mergeCell ref="EE797:EI797"/>
    <mergeCell ref="CU797:CY797"/>
    <mergeCell ref="CZ787:DD787"/>
    <mergeCell ref="CZ788:DD788"/>
    <mergeCell ref="CZ789:DD789"/>
    <mergeCell ref="CZ790:DD790"/>
    <mergeCell ref="CZ791:DD791"/>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CP790:CT790"/>
    <mergeCell ref="CZ793:DD793"/>
    <mergeCell ref="CZ794:DD794"/>
    <mergeCell ref="CZ795:DD795"/>
    <mergeCell ref="CZ796:DD796"/>
    <mergeCell ref="CZ797:DD797"/>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CU787:CY787"/>
    <mergeCell ref="CU788:CY788"/>
    <mergeCell ref="CU789:CY789"/>
    <mergeCell ref="CU790:CY790"/>
    <mergeCell ref="CU791:CY791"/>
    <mergeCell ref="CU792:CY792"/>
    <mergeCell ref="CU793:CY793"/>
    <mergeCell ref="CU794:CY794"/>
    <mergeCell ref="CU795:CY795"/>
    <mergeCell ref="CU796:CY796"/>
    <mergeCell ref="CZ792:DD792"/>
    <mergeCell ref="DE789:DI789"/>
    <mergeCell ref="CU750:CY750"/>
    <mergeCell ref="CP751:CT751"/>
    <mergeCell ref="CM751:CN751"/>
    <mergeCell ref="CP789:CT789"/>
    <mergeCell ref="CP787:CT787"/>
    <mergeCell ref="CI753:CJ753"/>
    <mergeCell ref="CM753:CN753"/>
    <mergeCell ref="CP748:CT748"/>
    <mergeCell ref="CU748:CY748"/>
    <mergeCell ref="AH747:AJ747"/>
    <mergeCell ref="CP773:CT773"/>
    <mergeCell ref="CU752:CY752"/>
    <mergeCell ref="CU773:CY773"/>
    <mergeCell ref="CK751:CL751"/>
    <mergeCell ref="CK750:CL750"/>
    <mergeCell ref="CM750:CN750"/>
    <mergeCell ref="CM746:CN746"/>
    <mergeCell ref="CI747:CJ747"/>
    <mergeCell ref="CK747:CL747"/>
    <mergeCell ref="CM747:CN747"/>
    <mergeCell ref="CP797:CT797"/>
    <mergeCell ref="CP739:CT739"/>
    <mergeCell ref="CM738:CN738"/>
    <mergeCell ref="CZ775:DD775"/>
    <mergeCell ref="CZ776:DD776"/>
    <mergeCell ref="CK743:CL743"/>
    <mergeCell ref="CM743:CN743"/>
    <mergeCell ref="CP740:CT740"/>
    <mergeCell ref="DE734:DI734"/>
    <mergeCell ref="CM741:CN741"/>
    <mergeCell ref="CP795:CT795"/>
    <mergeCell ref="CP796:CT796"/>
    <mergeCell ref="CP793:CT793"/>
    <mergeCell ref="CP792:CT792"/>
    <mergeCell ref="DE787:DI787"/>
    <mergeCell ref="DE788:DI788"/>
    <mergeCell ref="DE790:DI790"/>
    <mergeCell ref="DE791:DI791"/>
    <mergeCell ref="DE792:DI792"/>
    <mergeCell ref="DE793:DI793"/>
    <mergeCell ref="DE794:DI794"/>
    <mergeCell ref="CP794:CT794"/>
    <mergeCell ref="CP791:CT791"/>
    <mergeCell ref="CK752:CL752"/>
    <mergeCell ref="CZ739:DD739"/>
    <mergeCell ref="CK741:CL741"/>
    <mergeCell ref="CZ738:DD738"/>
    <mergeCell ref="CP737:CT737"/>
    <mergeCell ref="CP777:CT777"/>
    <mergeCell ref="DE746:DI746"/>
    <mergeCell ref="CU751:CY751"/>
    <mergeCell ref="CU776:CY776"/>
    <mergeCell ref="DO750:DS750"/>
    <mergeCell ref="DJ745:DN745"/>
    <mergeCell ref="DO745:DS745"/>
    <mergeCell ref="CG744:CH744"/>
    <mergeCell ref="CI744:CJ744"/>
    <mergeCell ref="CG750:CH750"/>
    <mergeCell ref="CU742:CY742"/>
    <mergeCell ref="CZ742:DD742"/>
    <mergeCell ref="DE742:DI742"/>
    <mergeCell ref="DJ742:DN742"/>
    <mergeCell ref="DO742:DS742"/>
    <mergeCell ref="CU743:CY743"/>
    <mergeCell ref="CZ743:DD743"/>
    <mergeCell ref="DE743:DI743"/>
    <mergeCell ref="CP746:CT746"/>
    <mergeCell ref="CU746:CY746"/>
    <mergeCell ref="CI743:CJ743"/>
    <mergeCell ref="CG742:CH742"/>
    <mergeCell ref="CG743:CH743"/>
    <mergeCell ref="CK746:CL746"/>
    <mergeCell ref="CI750:CJ750"/>
    <mergeCell ref="CG747:CH747"/>
    <mergeCell ref="CP747:CT747"/>
    <mergeCell ref="CG748:CH748"/>
    <mergeCell ref="CZ750:DD750"/>
    <mergeCell ref="CZ745:DD745"/>
    <mergeCell ref="DE745:DI745"/>
    <mergeCell ref="DE744:DI744"/>
    <mergeCell ref="DE750:DI750"/>
    <mergeCell ref="DJ750:DN750"/>
    <mergeCell ref="CU744:CY744"/>
    <mergeCell ref="CP750:CT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FJ753:FN753"/>
    <mergeCell ref="ET752:EX752"/>
    <mergeCell ref="EO751:ES751"/>
    <mergeCell ref="CZ752:DD752"/>
    <mergeCell ref="ET753:EX753"/>
    <mergeCell ref="FE751:FI751"/>
    <mergeCell ref="FJ751:FN751"/>
    <mergeCell ref="FO751:FS751"/>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CI742:CJ742"/>
    <mergeCell ref="CK742:CL742"/>
    <mergeCell ref="CZ744:DD744"/>
    <mergeCell ref="T742:W742"/>
    <mergeCell ref="X745:AB745"/>
    <mergeCell ref="AC508:AF508"/>
    <mergeCell ref="AH537:AK537"/>
    <mergeCell ref="AC534:AF534"/>
    <mergeCell ref="AH542:AK542"/>
    <mergeCell ref="AH507:AK507"/>
    <mergeCell ref="C559:L559"/>
    <mergeCell ref="Z569:AK569"/>
    <mergeCell ref="AE558:AH558"/>
    <mergeCell ref="C557:L557"/>
    <mergeCell ref="Z570:AK570"/>
    <mergeCell ref="T565:V565"/>
    <mergeCell ref="CP742:CT742"/>
    <mergeCell ref="CP743:CT743"/>
    <mergeCell ref="DJ743:DN743"/>
    <mergeCell ref="DO743:DS743"/>
    <mergeCell ref="DO744:DS744"/>
    <mergeCell ref="CM745:CN745"/>
    <mergeCell ref="DE741:DI741"/>
    <mergeCell ref="CK733:CL733"/>
    <mergeCell ref="AK743:AO743"/>
    <mergeCell ref="AK744:AO744"/>
    <mergeCell ref="X743:AB743"/>
    <mergeCell ref="X744:AB744"/>
    <mergeCell ref="AH743:AJ743"/>
    <mergeCell ref="AH744:AJ744"/>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I558:AL558"/>
    <mergeCell ref="Q551:S553"/>
    <mergeCell ref="T551:V553"/>
    <mergeCell ref="M555:P555"/>
    <mergeCell ref="Q557:S557"/>
    <mergeCell ref="Z557:AD557"/>
    <mergeCell ref="C555:L555"/>
    <mergeCell ref="C556:L556"/>
    <mergeCell ref="M556:P556"/>
    <mergeCell ref="T554:V554"/>
    <mergeCell ref="Z554:AD554"/>
    <mergeCell ref="L508:AB508"/>
    <mergeCell ref="O520:AA520"/>
    <mergeCell ref="AM555:AS555"/>
    <mergeCell ref="AM551:AS553"/>
    <mergeCell ref="AC516:AF516"/>
    <mergeCell ref="D472:V472"/>
    <mergeCell ref="W472:Y472"/>
    <mergeCell ref="AE551:AH553"/>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G450:AJ450"/>
    <mergeCell ref="D467:V467"/>
    <mergeCell ref="AG441:AJ441"/>
    <mergeCell ref="AC538:AF538"/>
    <mergeCell ref="AC531:AF531"/>
    <mergeCell ref="AC539:AF539"/>
    <mergeCell ref="AM554:AS554"/>
    <mergeCell ref="AO639:AS639"/>
    <mergeCell ref="AO629:AS629"/>
    <mergeCell ref="AO638:AS638"/>
    <mergeCell ref="AC519:AF519"/>
    <mergeCell ref="AC523:AF523"/>
    <mergeCell ref="AH516:AK516"/>
    <mergeCell ref="Z628:AB628"/>
    <mergeCell ref="AH540:AK540"/>
    <mergeCell ref="B566:AL566"/>
    <mergeCell ref="AE560:AH560"/>
    <mergeCell ref="N575:O575"/>
    <mergeCell ref="G721:J721"/>
    <mergeCell ref="G722:J722"/>
    <mergeCell ref="G602:R602"/>
    <mergeCell ref="G609:R609"/>
    <mergeCell ref="M628:P628"/>
    <mergeCell ref="N607:O607"/>
    <mergeCell ref="C560:L560"/>
    <mergeCell ref="Z560:AD560"/>
    <mergeCell ref="AM560:AS560"/>
    <mergeCell ref="AM557:AS557"/>
    <mergeCell ref="W630:Y630"/>
    <mergeCell ref="W557:Y557"/>
    <mergeCell ref="AE557:AH557"/>
    <mergeCell ref="AH531:AK531"/>
    <mergeCell ref="Z655:AE655"/>
    <mergeCell ref="T559:V559"/>
    <mergeCell ref="AH538:AK538"/>
    <mergeCell ref="Z551:AD553"/>
    <mergeCell ref="AI551:AL553"/>
    <mergeCell ref="AA582:AK582"/>
    <mergeCell ref="Z588:AK588"/>
    <mergeCell ref="B731:F731"/>
    <mergeCell ref="B730:F730"/>
    <mergeCell ref="G683:R683"/>
    <mergeCell ref="N681:O681"/>
    <mergeCell ref="T562:V562"/>
    <mergeCell ref="AK742:AO742"/>
    <mergeCell ref="X742:AB742"/>
    <mergeCell ref="AH742:AJ742"/>
    <mergeCell ref="AK739:AO739"/>
    <mergeCell ref="B741:F741"/>
    <mergeCell ref="X738:AB738"/>
    <mergeCell ref="X729:AB729"/>
    <mergeCell ref="X728:AB728"/>
    <mergeCell ref="K724:N724"/>
    <mergeCell ref="AI655:AK655"/>
    <mergeCell ref="G662:R662"/>
    <mergeCell ref="AG681:AH681"/>
    <mergeCell ref="AI687:AK687"/>
    <mergeCell ref="J705:O705"/>
    <mergeCell ref="T724:W724"/>
    <mergeCell ref="B736:F736"/>
    <mergeCell ref="AH722:AJ722"/>
    <mergeCell ref="Z587:AK587"/>
    <mergeCell ref="AI572:AK572"/>
    <mergeCell ref="T564:V564"/>
    <mergeCell ref="H573:R573"/>
    <mergeCell ref="AI597:AK597"/>
    <mergeCell ref="C565:L565"/>
    <mergeCell ref="B729:F729"/>
    <mergeCell ref="AK732:AO732"/>
    <mergeCell ref="AK733:AO733"/>
    <mergeCell ref="AK734:AO734"/>
    <mergeCell ref="AK735:AO735"/>
    <mergeCell ref="Z659:AK659"/>
    <mergeCell ref="CG734:CH734"/>
    <mergeCell ref="AK634:AN634"/>
    <mergeCell ref="AK635:AN635"/>
    <mergeCell ref="Z633:AB633"/>
    <mergeCell ref="B723:F723"/>
    <mergeCell ref="AF630:AJ630"/>
    <mergeCell ref="G685:R685"/>
    <mergeCell ref="M635:P635"/>
    <mergeCell ref="G646:R646"/>
    <mergeCell ref="G714:J717"/>
    <mergeCell ref="G668:R668"/>
    <mergeCell ref="CG724:CH724"/>
    <mergeCell ref="CG730:CH730"/>
    <mergeCell ref="CG728:CH728"/>
    <mergeCell ref="X718:AB718"/>
    <mergeCell ref="Z643:AK643"/>
    <mergeCell ref="Z652:AK652"/>
    <mergeCell ref="AG689:AH689"/>
    <mergeCell ref="CG731:CH731"/>
    <mergeCell ref="P679:R679"/>
    <mergeCell ref="G597:L597"/>
    <mergeCell ref="G571:R571"/>
    <mergeCell ref="C627:L627"/>
    <mergeCell ref="Q565:S565"/>
    <mergeCell ref="CM718:CN718"/>
    <mergeCell ref="CI732:CJ732"/>
    <mergeCell ref="CM728:CN728"/>
    <mergeCell ref="CU726:CY726"/>
    <mergeCell ref="CZ726:DD726"/>
    <mergeCell ref="CK722:CL722"/>
    <mergeCell ref="CK719:CL719"/>
    <mergeCell ref="CK748:CL748"/>
    <mergeCell ref="CM748:CN748"/>
    <mergeCell ref="CG749:CH749"/>
    <mergeCell ref="CI748:CJ748"/>
    <mergeCell ref="CM731:CN731"/>
    <mergeCell ref="CM720:CN720"/>
    <mergeCell ref="CI739:CJ739"/>
    <mergeCell ref="CI719:CJ719"/>
    <mergeCell ref="CM739:CN739"/>
    <mergeCell ref="CP745:CT745"/>
    <mergeCell ref="CG746:CH746"/>
    <mergeCell ref="CI746:CJ746"/>
    <mergeCell ref="CG739:CH739"/>
    <mergeCell ref="CU740:CY740"/>
    <mergeCell ref="CG740:CH740"/>
    <mergeCell ref="CK737:CL737"/>
    <mergeCell ref="CG732:CH732"/>
    <mergeCell ref="CK718:CL718"/>
    <mergeCell ref="CP733:CT733"/>
    <mergeCell ref="CZ741:DD741"/>
    <mergeCell ref="CZ740:DD740"/>
    <mergeCell ref="CU741:CY741"/>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D441:AF441"/>
    <mergeCell ref="AG447:AJ447"/>
    <mergeCell ref="AC454:AF454"/>
    <mergeCell ref="P425:Q425"/>
    <mergeCell ref="I418:K418"/>
    <mergeCell ref="S413:T413"/>
    <mergeCell ref="AG393:AJ393"/>
    <mergeCell ref="AG391:AJ391"/>
    <mergeCell ref="K404:AJ404"/>
    <mergeCell ref="AC386:AJ386"/>
    <mergeCell ref="AC533:AF533"/>
    <mergeCell ref="K403:AJ403"/>
    <mergeCell ref="J387:U387"/>
    <mergeCell ref="AC521:AF521"/>
    <mergeCell ref="AH527:AK527"/>
    <mergeCell ref="AC517:AF517"/>
    <mergeCell ref="D473:V473"/>
    <mergeCell ref="AC504:AF504"/>
    <mergeCell ref="D470:V470"/>
    <mergeCell ref="D438:AF438"/>
    <mergeCell ref="T556:V556"/>
    <mergeCell ref="W551:Y553"/>
    <mergeCell ref="Z555:AD555"/>
    <mergeCell ref="AE554:AH554"/>
    <mergeCell ref="I421:K421"/>
    <mergeCell ref="AH524:AK524"/>
    <mergeCell ref="AH525:AK525"/>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AA335:AK335"/>
    <mergeCell ref="AC347:AE347"/>
    <mergeCell ref="P343:AE343"/>
    <mergeCell ref="AA340:AF340"/>
    <mergeCell ref="P344:AE344"/>
    <mergeCell ref="AA338:AK338"/>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A308:AF308"/>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H314:R314"/>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AI307:AK307"/>
    <mergeCell ref="H304:R304"/>
    <mergeCell ref="H303:R303"/>
    <mergeCell ref="P424:Q42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AA333:AK333"/>
    <mergeCell ref="D469:V469"/>
    <mergeCell ref="W473:Y473"/>
    <mergeCell ref="Q394:U394"/>
    <mergeCell ref="AD412:AE412"/>
    <mergeCell ref="H414:AE415"/>
    <mergeCell ref="AE425:AF425"/>
    <mergeCell ref="AC520:AF520"/>
    <mergeCell ref="AC527:AF527"/>
    <mergeCell ref="AH521:AK521"/>
    <mergeCell ref="AC530:AF530"/>
    <mergeCell ref="O535:AA535"/>
    <mergeCell ref="AH523:AK523"/>
    <mergeCell ref="W471:Y471"/>
    <mergeCell ref="M495:P495"/>
    <mergeCell ref="AC501:AF501"/>
    <mergeCell ref="AG438:AJ438"/>
    <mergeCell ref="O523:AA523"/>
    <mergeCell ref="M558:P558"/>
    <mergeCell ref="D449:AF449"/>
    <mergeCell ref="Q554:S554"/>
    <mergeCell ref="AH529:AK529"/>
    <mergeCell ref="AH534:AK534"/>
    <mergeCell ref="AC510:AF510"/>
    <mergeCell ref="AE555:AH555"/>
    <mergeCell ref="AH518:AK518"/>
    <mergeCell ref="AH514:AK514"/>
    <mergeCell ref="Q555:S555"/>
    <mergeCell ref="AH539:AK539"/>
    <mergeCell ref="AH541:AK541"/>
    <mergeCell ref="AC535:AF535"/>
    <mergeCell ref="Q556:S556"/>
    <mergeCell ref="M554:P554"/>
    <mergeCell ref="W558:Y558"/>
    <mergeCell ref="AC532:AF532"/>
    <mergeCell ref="AI557:AL557"/>
    <mergeCell ref="AC515:AF515"/>
    <mergeCell ref="W465:Y465"/>
    <mergeCell ref="W469:Y469"/>
    <mergeCell ref="AC514:AF514"/>
    <mergeCell ref="AH510:AK510"/>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B501:H502"/>
    <mergeCell ref="AI554:AL554"/>
    <mergeCell ref="AG443:AJ443"/>
    <mergeCell ref="AG444:AJ444"/>
    <mergeCell ref="AC541:AF541"/>
    <mergeCell ref="D440:AF440"/>
    <mergeCell ref="AC526:AF526"/>
    <mergeCell ref="AH503:AK503"/>
    <mergeCell ref="AC500:AF500"/>
    <mergeCell ref="AH532:AK532"/>
    <mergeCell ref="AC522:AF522"/>
    <mergeCell ref="AC524:AF524"/>
    <mergeCell ref="AH506:AK506"/>
    <mergeCell ref="AH508:AK508"/>
    <mergeCell ref="AC540:AF540"/>
    <mergeCell ref="AH505:AK505"/>
    <mergeCell ref="AH513:AK513"/>
    <mergeCell ref="AH501:AK501"/>
    <mergeCell ref="G474:V474"/>
    <mergeCell ref="AC503:AF503"/>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AI556:AL556"/>
    <mergeCell ref="T557:V557"/>
    <mergeCell ref="Q389:U389"/>
    <mergeCell ref="AJ357:AK357"/>
    <mergeCell ref="D444:AF444"/>
    <mergeCell ref="R411:S411"/>
    <mergeCell ref="W556:Y556"/>
    <mergeCell ref="P418:R418"/>
    <mergeCell ref="M358:N358"/>
    <mergeCell ref="AG448:AJ448"/>
    <mergeCell ref="Z558:AD558"/>
    <mergeCell ref="V381:W381"/>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T729:W729"/>
    <mergeCell ref="AH728:AJ728"/>
    <mergeCell ref="J794:N794"/>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T776:W776"/>
    <mergeCell ref="T774:W774"/>
    <mergeCell ref="O795:S795"/>
    <mergeCell ref="AC791:AG791"/>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AA931:AF931"/>
    <mergeCell ref="U932:Z932"/>
    <mergeCell ref="AA932:AF932"/>
    <mergeCell ref="F938:T938"/>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C892:AH892"/>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F930:T930"/>
    <mergeCell ref="F931:T931"/>
    <mergeCell ref="U936:Z936"/>
    <mergeCell ref="F944:T944"/>
    <mergeCell ref="U944:Z944"/>
    <mergeCell ref="F940:T940"/>
    <mergeCell ref="U939:Z939"/>
    <mergeCell ref="U940:Z940"/>
    <mergeCell ref="AA938:AF938"/>
    <mergeCell ref="U923:Z923"/>
    <mergeCell ref="BD902:BE902"/>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O730:S730"/>
    <mergeCell ref="N689:O689"/>
    <mergeCell ref="G678:R678"/>
    <mergeCell ref="AG665:AH665"/>
    <mergeCell ref="AK746:AO746"/>
    <mergeCell ref="O735:S735"/>
    <mergeCell ref="T738:W738"/>
    <mergeCell ref="B733:F733"/>
    <mergeCell ref="AH745:AJ745"/>
    <mergeCell ref="G661:R661"/>
    <mergeCell ref="B720:F720"/>
    <mergeCell ref="B722:F722"/>
    <mergeCell ref="AG673:AH673"/>
    <mergeCell ref="B728:F728"/>
    <mergeCell ref="B725:F725"/>
    <mergeCell ref="B724:F724"/>
    <mergeCell ref="B727:F727"/>
    <mergeCell ref="CZ730:DD730"/>
    <mergeCell ref="CG735:CH735"/>
    <mergeCell ref="CI737:CJ737"/>
    <mergeCell ref="CZ724:DD724"/>
    <mergeCell ref="CU736:CY736"/>
    <mergeCell ref="CI728:CJ728"/>
    <mergeCell ref="CP725:CT725"/>
    <mergeCell ref="CP732:CT732"/>
    <mergeCell ref="CM729:CN729"/>
    <mergeCell ref="CM723:CN723"/>
    <mergeCell ref="CM725:CN725"/>
    <mergeCell ref="CK730:CL730"/>
    <mergeCell ref="CP731:CT731"/>
    <mergeCell ref="CI729:CJ729"/>
    <mergeCell ref="CP729:CT729"/>
    <mergeCell ref="CU722:CY722"/>
    <mergeCell ref="CZ722:DD722"/>
    <mergeCell ref="CM737:CN737"/>
    <mergeCell ref="CU737:CY737"/>
    <mergeCell ref="CZ717:DD717"/>
    <mergeCell ref="CI722:CJ722"/>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K725:CL725"/>
    <mergeCell ref="Z668:AK668"/>
    <mergeCell ref="G676:R676"/>
    <mergeCell ref="G644:R644"/>
    <mergeCell ref="P655:R655"/>
    <mergeCell ref="J704:X704"/>
    <mergeCell ref="G684:R684"/>
    <mergeCell ref="T638:V638"/>
    <mergeCell ref="AK729:AO729"/>
    <mergeCell ref="AC729:AG729"/>
    <mergeCell ref="O728:S728"/>
    <mergeCell ref="CK735:CL735"/>
    <mergeCell ref="CK738:CL738"/>
    <mergeCell ref="CG737:CH737"/>
    <mergeCell ref="CU720:CY720"/>
    <mergeCell ref="CU723:CY723"/>
    <mergeCell ref="CM722:CN722"/>
    <mergeCell ref="CG722:CH722"/>
    <mergeCell ref="DE727:DI727"/>
    <mergeCell ref="DE735:DI735"/>
    <mergeCell ref="DE731:DI731"/>
    <mergeCell ref="DE722:DI722"/>
    <mergeCell ref="DE729:DI729"/>
    <mergeCell ref="DE726:DI726"/>
    <mergeCell ref="CP722:CT722"/>
    <mergeCell ref="CI724:CJ724"/>
    <mergeCell ref="CG729:CH729"/>
    <mergeCell ref="CG723:CH723"/>
    <mergeCell ref="CG720:CH720"/>
    <mergeCell ref="CU733:CY733"/>
    <mergeCell ref="CK734:CL734"/>
    <mergeCell ref="CM734:CN734"/>
    <mergeCell ref="CI731:CJ731"/>
    <mergeCell ref="CP723:CT723"/>
    <mergeCell ref="CI734:CJ734"/>
    <mergeCell ref="CP734:CT734"/>
    <mergeCell ref="CZ733:DD733"/>
    <mergeCell ref="CZ734:DD734"/>
    <mergeCell ref="CI735:CJ735"/>
    <mergeCell ref="CK723:CL723"/>
    <mergeCell ref="CK721:CL721"/>
    <mergeCell ref="CM726:CN726"/>
    <mergeCell ref="CU728:CY728"/>
    <mergeCell ref="CK732:CL732"/>
    <mergeCell ref="CM730:CN730"/>
    <mergeCell ref="CK727:CL727"/>
    <mergeCell ref="CP724:CT724"/>
    <mergeCell ref="CU739:CY739"/>
    <mergeCell ref="CU734:CY734"/>
    <mergeCell ref="CP736:CT736"/>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DE732:DI732"/>
    <mergeCell ref="CM732:CN732"/>
    <mergeCell ref="CK736:CL736"/>
    <mergeCell ref="CG725:CH725"/>
    <mergeCell ref="CM736:CN736"/>
    <mergeCell ref="DJ733:DN733"/>
    <mergeCell ref="AH526:AK526"/>
    <mergeCell ref="M561:P561"/>
    <mergeCell ref="Z577:AK577"/>
    <mergeCell ref="AF574:AK574"/>
    <mergeCell ref="Q492:AK492"/>
    <mergeCell ref="AI563:AL563"/>
    <mergeCell ref="Z563:AD563"/>
    <mergeCell ref="T560:V560"/>
    <mergeCell ref="Z578:AK578"/>
    <mergeCell ref="AH519:AK519"/>
    <mergeCell ref="AH536:AK536"/>
    <mergeCell ref="AH528:AK528"/>
    <mergeCell ref="M559:P559"/>
    <mergeCell ref="AK624:AN626"/>
    <mergeCell ref="AF628:AJ628"/>
    <mergeCell ref="G587:R587"/>
    <mergeCell ref="G578:R578"/>
    <mergeCell ref="AM564:AS564"/>
    <mergeCell ref="AI581:AK581"/>
    <mergeCell ref="AM565:AS565"/>
    <mergeCell ref="P581:R581"/>
    <mergeCell ref="N591:O591"/>
    <mergeCell ref="N583:O583"/>
    <mergeCell ref="AH515:AK515"/>
    <mergeCell ref="AE556:AH556"/>
    <mergeCell ref="AC513:AF513"/>
    <mergeCell ref="AC518:AF518"/>
    <mergeCell ref="AH504:AK504"/>
    <mergeCell ref="AH517:AK517"/>
    <mergeCell ref="G593:R593"/>
    <mergeCell ref="G605:L605"/>
    <mergeCell ref="H606:R606"/>
    <mergeCell ref="C564:L564"/>
    <mergeCell ref="M564:P564"/>
    <mergeCell ref="W554:Y554"/>
    <mergeCell ref="W555:Y555"/>
    <mergeCell ref="Q564:S564"/>
    <mergeCell ref="AE561:AH561"/>
    <mergeCell ref="M560:P560"/>
    <mergeCell ref="Q563:S563"/>
    <mergeCell ref="AI565:AL565"/>
    <mergeCell ref="AE562:AH562"/>
    <mergeCell ref="Q562:S562"/>
    <mergeCell ref="G568:R568"/>
    <mergeCell ref="W561:Y561"/>
    <mergeCell ref="W562:Y562"/>
    <mergeCell ref="AI560:AL560"/>
    <mergeCell ref="AE559:AH559"/>
    <mergeCell ref="AI559:AL559"/>
    <mergeCell ref="T555:V555"/>
    <mergeCell ref="W559:Y559"/>
    <mergeCell ref="AE564:AH564"/>
    <mergeCell ref="W564:Y564"/>
    <mergeCell ref="W565:Y565"/>
    <mergeCell ref="M563:P563"/>
    <mergeCell ref="AI561:AL561"/>
    <mergeCell ref="Q559:S559"/>
    <mergeCell ref="Z559:AD559"/>
    <mergeCell ref="Z562:AD562"/>
    <mergeCell ref="Q560:S560"/>
    <mergeCell ref="Q561:S561"/>
    <mergeCell ref="C562:L562"/>
    <mergeCell ref="C630:L630"/>
    <mergeCell ref="C631:L631"/>
    <mergeCell ref="C632:L632"/>
    <mergeCell ref="H672:R672"/>
    <mergeCell ref="CP719:CT719"/>
    <mergeCell ref="CG719:CH719"/>
    <mergeCell ref="CI721:CJ721"/>
    <mergeCell ref="O719:S719"/>
    <mergeCell ref="O722:S722"/>
    <mergeCell ref="G719:J719"/>
    <mergeCell ref="P687:R687"/>
    <mergeCell ref="R705:T705"/>
    <mergeCell ref="H680:R680"/>
    <mergeCell ref="AI679:AK679"/>
    <mergeCell ref="Z663:AE663"/>
    <mergeCell ref="P663:R663"/>
    <mergeCell ref="AO640:AS640"/>
    <mergeCell ref="W636:Y636"/>
    <mergeCell ref="M636:P636"/>
    <mergeCell ref="AA664:AK664"/>
    <mergeCell ref="T635:V635"/>
    <mergeCell ref="T636:V636"/>
    <mergeCell ref="T637:V637"/>
    <mergeCell ref="AO632:AS632"/>
    <mergeCell ref="Q638:S638"/>
    <mergeCell ref="H648:R648"/>
    <mergeCell ref="X719:AB719"/>
    <mergeCell ref="G686:R686"/>
    <mergeCell ref="AO631:AS631"/>
    <mergeCell ref="C637:L637"/>
    <mergeCell ref="Z635:AB635"/>
    <mergeCell ref="AO637:AS637"/>
    <mergeCell ref="AG591:AH591"/>
    <mergeCell ref="G610:R610"/>
    <mergeCell ref="AA606:AK606"/>
    <mergeCell ref="P605:R605"/>
    <mergeCell ref="G580:R580"/>
    <mergeCell ref="AG583:AH583"/>
    <mergeCell ref="G588:R588"/>
    <mergeCell ref="Z580:AK580"/>
    <mergeCell ref="AO633:AS633"/>
    <mergeCell ref="M627:P627"/>
    <mergeCell ref="M629:P629"/>
    <mergeCell ref="W624:Y626"/>
    <mergeCell ref="W628:Y628"/>
    <mergeCell ref="M574:R574"/>
    <mergeCell ref="T561:V561"/>
    <mergeCell ref="Q630:S630"/>
    <mergeCell ref="G589:L589"/>
    <mergeCell ref="G569:R569"/>
    <mergeCell ref="H582:R582"/>
    <mergeCell ref="Z579:AK579"/>
    <mergeCell ref="P589:R589"/>
    <mergeCell ref="AM562:AS562"/>
    <mergeCell ref="Z565:AD565"/>
    <mergeCell ref="Z572:AE572"/>
    <mergeCell ref="AI562:AL562"/>
    <mergeCell ref="Z589:AE589"/>
    <mergeCell ref="G585:R585"/>
    <mergeCell ref="AG575:AH575"/>
    <mergeCell ref="Z568:AK568"/>
    <mergeCell ref="Z571:AK571"/>
    <mergeCell ref="AI564:AL564"/>
    <mergeCell ref="M562:P562"/>
    <mergeCell ref="Z605:AE605"/>
    <mergeCell ref="Z609:AK609"/>
    <mergeCell ref="N615:O615"/>
    <mergeCell ref="AE563:AH563"/>
    <mergeCell ref="AM563:AS563"/>
    <mergeCell ref="Z585:AK585"/>
    <mergeCell ref="T629:V629"/>
    <mergeCell ref="G570:R570"/>
    <mergeCell ref="Z561:AD561"/>
    <mergeCell ref="G586:R586"/>
    <mergeCell ref="W560:Y560"/>
    <mergeCell ref="P572:R572"/>
    <mergeCell ref="AI605:AK605"/>
    <mergeCell ref="G604:R604"/>
    <mergeCell ref="G577:R577"/>
    <mergeCell ref="C561:L561"/>
    <mergeCell ref="W563:Y563"/>
    <mergeCell ref="Q624:S626"/>
    <mergeCell ref="G572:L572"/>
    <mergeCell ref="Z581:AE581"/>
    <mergeCell ref="Z586:AK586"/>
    <mergeCell ref="M565:P565"/>
    <mergeCell ref="T563:V563"/>
    <mergeCell ref="Z564:AD564"/>
    <mergeCell ref="AG599:AH599"/>
    <mergeCell ref="G595:R595"/>
    <mergeCell ref="G596:R596"/>
    <mergeCell ref="H614:R614"/>
    <mergeCell ref="G613:L613"/>
    <mergeCell ref="Z604:AK604"/>
    <mergeCell ref="A617:AT618"/>
    <mergeCell ref="B624:L626"/>
    <mergeCell ref="Z613:AE613"/>
    <mergeCell ref="AC629:AE629"/>
    <mergeCell ref="G579:R579"/>
    <mergeCell ref="G581:L581"/>
    <mergeCell ref="C563:L563"/>
    <mergeCell ref="AE565:AH565"/>
    <mergeCell ref="AM556:AS556"/>
    <mergeCell ref="Z434:AA434"/>
    <mergeCell ref="H590:R590"/>
    <mergeCell ref="T721:W721"/>
    <mergeCell ref="AE695:AI695"/>
    <mergeCell ref="Z644:AK644"/>
    <mergeCell ref="AO636:AS636"/>
    <mergeCell ref="CZ718:DD718"/>
    <mergeCell ref="AC721:AG721"/>
    <mergeCell ref="AH720:AJ720"/>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H509:AK509"/>
    <mergeCell ref="AM561:AS561"/>
    <mergeCell ref="AM559:AS559"/>
    <mergeCell ref="Z687:AE687"/>
    <mergeCell ref="AH718:AJ718"/>
    <mergeCell ref="AM558:AS558"/>
    <mergeCell ref="AM566:AS566"/>
    <mergeCell ref="Q632:S632"/>
    <mergeCell ref="AE693:AF693"/>
    <mergeCell ref="W635:Y635"/>
    <mergeCell ref="Z597:AE597"/>
    <mergeCell ref="AF629:AJ629"/>
    <mergeCell ref="AI613:AK613"/>
    <mergeCell ref="AA614:AK614"/>
    <mergeCell ref="AC624:AE626"/>
    <mergeCell ref="Z631:AB631"/>
    <mergeCell ref="AF624:AJ626"/>
    <mergeCell ref="Z661:AK661"/>
    <mergeCell ref="G679:L679"/>
    <mergeCell ref="Z662:AK662"/>
    <mergeCell ref="G651:R651"/>
    <mergeCell ref="G652:R652"/>
    <mergeCell ref="G677:R677"/>
    <mergeCell ref="Z679:AE679"/>
    <mergeCell ref="M634:P634"/>
    <mergeCell ref="Q634:S634"/>
    <mergeCell ref="AK636:AN636"/>
    <mergeCell ref="Z678:AK678"/>
    <mergeCell ref="Z671:AE671"/>
    <mergeCell ref="Z632:AB632"/>
    <mergeCell ref="G671:L671"/>
    <mergeCell ref="Z646:AK646"/>
    <mergeCell ref="W631:Y631"/>
    <mergeCell ref="AG615:AH615"/>
    <mergeCell ref="G612:R612"/>
    <mergeCell ref="Q636:S636"/>
    <mergeCell ref="C628:L628"/>
    <mergeCell ref="W633:Y633"/>
    <mergeCell ref="Z630:AB630"/>
    <mergeCell ref="Z603:AK603"/>
    <mergeCell ref="AA573:AK573"/>
    <mergeCell ref="EM636:EQ636"/>
    <mergeCell ref="DX637:EB637"/>
    <mergeCell ref="AC633:AE633"/>
    <mergeCell ref="B639:AN639"/>
    <mergeCell ref="B640:AN640"/>
    <mergeCell ref="B719:F719"/>
    <mergeCell ref="AC718:AG718"/>
    <mergeCell ref="AK714:AO717"/>
    <mergeCell ref="AK718:AO718"/>
    <mergeCell ref="AK630:AN630"/>
    <mergeCell ref="AK631:AN631"/>
    <mergeCell ref="AK632:AN632"/>
    <mergeCell ref="AI671:AK671"/>
    <mergeCell ref="AK627:AN627"/>
    <mergeCell ref="AF632:AJ632"/>
    <mergeCell ref="AC631:AE631"/>
    <mergeCell ref="DZ717:ED717"/>
    <mergeCell ref="AC630:AE630"/>
    <mergeCell ref="EH664:EL664"/>
    <mergeCell ref="B641:AN641"/>
    <mergeCell ref="G643:R643"/>
    <mergeCell ref="Z676:AK676"/>
    <mergeCell ref="W700:AK700"/>
    <mergeCell ref="Z683:AK683"/>
    <mergeCell ref="AA688:AK688"/>
    <mergeCell ref="AO628:AS628"/>
    <mergeCell ref="AG607:AH607"/>
    <mergeCell ref="AO624:AS626"/>
    <mergeCell ref="Z611:AK611"/>
    <mergeCell ref="AC632:AE632"/>
    <mergeCell ref="T628:V628"/>
    <mergeCell ref="DO728:DS728"/>
    <mergeCell ref="DO723:DS723"/>
    <mergeCell ref="DO724:DS724"/>
    <mergeCell ref="DJ721:DN721"/>
    <mergeCell ref="DO726:DS726"/>
    <mergeCell ref="DO717:DS717"/>
    <mergeCell ref="DE717:DI717"/>
    <mergeCell ref="CU719:CY719"/>
    <mergeCell ref="CG718:CH718"/>
    <mergeCell ref="EE722:EI722"/>
    <mergeCell ref="DZ718:ED718"/>
    <mergeCell ref="EE718:EI718"/>
    <mergeCell ref="DO722:DS722"/>
    <mergeCell ref="CP727:CT727"/>
    <mergeCell ref="CI727:CJ727"/>
    <mergeCell ref="CP721:CT721"/>
    <mergeCell ref="DJ725:DN725"/>
    <mergeCell ref="DE725:DI725"/>
    <mergeCell ref="CG721:CH721"/>
    <mergeCell ref="CK720:CL720"/>
    <mergeCell ref="CU721:CY721"/>
    <mergeCell ref="DJ722:DN722"/>
    <mergeCell ref="DE721:DI721"/>
    <mergeCell ref="DE723:DI723"/>
    <mergeCell ref="CU718:CY718"/>
    <mergeCell ref="CZ719:DD719"/>
    <mergeCell ref="CI718:CJ718"/>
    <mergeCell ref="DE718:DI718"/>
    <mergeCell ref="AE699:AI699"/>
    <mergeCell ref="DE720:DI720"/>
    <mergeCell ref="DE724:DI724"/>
    <mergeCell ref="AA672:AK672"/>
    <mergeCell ref="Z684:AK684"/>
    <mergeCell ref="DX652:EB652"/>
    <mergeCell ref="EC652:EG652"/>
    <mergeCell ref="CZ721:DD721"/>
    <mergeCell ref="DJ719:DN719"/>
    <mergeCell ref="CU717:CY717"/>
    <mergeCell ref="AC722:AG722"/>
    <mergeCell ref="AK722:AO722"/>
    <mergeCell ref="AK721:AO721"/>
    <mergeCell ref="CI717:CJ717"/>
    <mergeCell ref="AA680:AK680"/>
    <mergeCell ref="CK724:CL724"/>
    <mergeCell ref="X720:AB720"/>
    <mergeCell ref="DX664:EB664"/>
    <mergeCell ref="EC664:EG664"/>
    <mergeCell ref="AC719:AG719"/>
    <mergeCell ref="Z653:AK653"/>
    <mergeCell ref="DE719:DI719"/>
    <mergeCell ref="CZ720:DD720"/>
    <mergeCell ref="EE724:EI724"/>
    <mergeCell ref="DZ720:ED720"/>
    <mergeCell ref="Z670:AK670"/>
    <mergeCell ref="CZ723:DD723"/>
    <mergeCell ref="CI723:CJ723"/>
    <mergeCell ref="CP720:CT720"/>
    <mergeCell ref="CI720:CJ720"/>
    <mergeCell ref="ET722:EX722"/>
    <mergeCell ref="ET720:EX720"/>
    <mergeCell ref="K730:N730"/>
    <mergeCell ref="EO728:ES728"/>
    <mergeCell ref="ET728:EX728"/>
    <mergeCell ref="T727:W727"/>
    <mergeCell ref="EO720:ES720"/>
    <mergeCell ref="AK730:AO730"/>
    <mergeCell ref="AC724:AG724"/>
    <mergeCell ref="AC730:AG730"/>
    <mergeCell ref="AH727:AJ727"/>
    <mergeCell ref="DZ726:ED726"/>
    <mergeCell ref="DU728:DY728"/>
    <mergeCell ref="DU722:DY722"/>
    <mergeCell ref="DO725:DS725"/>
    <mergeCell ref="DO721:DS721"/>
    <mergeCell ref="CU727:CY727"/>
    <mergeCell ref="DO730:DS730"/>
    <mergeCell ref="DJ728:DN728"/>
    <mergeCell ref="DJ730:DN730"/>
    <mergeCell ref="AK728:AO728"/>
    <mergeCell ref="CG726:CH726"/>
    <mergeCell ref="CM727:CN727"/>
    <mergeCell ref="CK726:CL726"/>
    <mergeCell ref="DE728:DI728"/>
    <mergeCell ref="CU729:CY729"/>
    <mergeCell ref="CZ727:DD727"/>
    <mergeCell ref="CZ729:DD729"/>
    <mergeCell ref="CZ725:DD725"/>
    <mergeCell ref="DE730:DI730"/>
    <mergeCell ref="CP726:CT726"/>
    <mergeCell ref="CP728:CT728"/>
    <mergeCell ref="K727:N727"/>
    <mergeCell ref="K726:N726"/>
    <mergeCell ref="DU725:DY725"/>
    <mergeCell ref="DZ725:ED725"/>
    <mergeCell ref="DU723:DY723"/>
    <mergeCell ref="DZ723:ED723"/>
    <mergeCell ref="DO731:DS731"/>
    <mergeCell ref="DO729:DS729"/>
    <mergeCell ref="DJ731:DN731"/>
    <mergeCell ref="DJ729:DN729"/>
    <mergeCell ref="EJ725:EN725"/>
    <mergeCell ref="DZ728:ED728"/>
    <mergeCell ref="CM733:CN733"/>
    <mergeCell ref="CI733:CJ733"/>
    <mergeCell ref="CG733:CH733"/>
    <mergeCell ref="CZ735:DD735"/>
    <mergeCell ref="DU724:DY724"/>
    <mergeCell ref="EJ729:EN729"/>
    <mergeCell ref="AH729:AJ729"/>
    <mergeCell ref="DU729:DY729"/>
    <mergeCell ref="DJ724:DN724"/>
    <mergeCell ref="DO727:DS727"/>
    <mergeCell ref="DZ727:ED727"/>
    <mergeCell ref="EE727:EI727"/>
    <mergeCell ref="EE723:EI723"/>
    <mergeCell ref="EJ723:EN723"/>
    <mergeCell ref="EJ724:EN724"/>
    <mergeCell ref="DZ734:ED734"/>
    <mergeCell ref="DU726:DY726"/>
    <mergeCell ref="DZ731:ED731"/>
    <mergeCell ref="DU732:DY732"/>
    <mergeCell ref="DJ723:DN723"/>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CP718:CT718"/>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825:X825"/>
    <mergeCell ref="M823:P824"/>
    <mergeCell ref="CZ736:DD736"/>
    <mergeCell ref="CZ732:DD732"/>
    <mergeCell ref="CM735:CN735"/>
    <mergeCell ref="CI738:CJ738"/>
    <mergeCell ref="CP741:CT741"/>
    <mergeCell ref="T796:W796"/>
    <mergeCell ref="W843:AC843"/>
    <mergeCell ref="C830:H830"/>
    <mergeCell ref="F831:L831"/>
    <mergeCell ref="U827:X827"/>
    <mergeCell ref="C827:H827"/>
    <mergeCell ref="I949:T949"/>
    <mergeCell ref="U938:Z938"/>
    <mergeCell ref="M955:S955"/>
    <mergeCell ref="U928:Z928"/>
    <mergeCell ref="U948:Z948"/>
    <mergeCell ref="U935:Z935"/>
    <mergeCell ref="AA923:AF923"/>
    <mergeCell ref="P816:Y816"/>
    <mergeCell ref="D1046:AE1047"/>
    <mergeCell ref="M826:P826"/>
    <mergeCell ref="M871:V871"/>
    <mergeCell ref="M878:V878"/>
    <mergeCell ref="Q825:T825"/>
    <mergeCell ref="W870:AC870"/>
    <mergeCell ref="U946:Z946"/>
    <mergeCell ref="AA944:AF944"/>
    <mergeCell ref="AA928:AF928"/>
    <mergeCell ref="AA936:AF936"/>
    <mergeCell ref="U943:Z943"/>
    <mergeCell ref="U941:Z941"/>
    <mergeCell ref="AA943:AF943"/>
    <mergeCell ref="AC885:AH885"/>
    <mergeCell ref="W861:AC861"/>
    <mergeCell ref="C895:AB895"/>
    <mergeCell ref="F946:H946"/>
    <mergeCell ref="AA967:AG967"/>
    <mergeCell ref="F926:T926"/>
    <mergeCell ref="F927:T927"/>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F928:T928"/>
    <mergeCell ref="U926:Z926"/>
    <mergeCell ref="AA926:AF926"/>
    <mergeCell ref="U927:Z927"/>
    <mergeCell ref="AA927:AF927"/>
    <mergeCell ref="F929:T929"/>
    <mergeCell ref="AC887:AH887"/>
    <mergeCell ref="Q832:T832"/>
    <mergeCell ref="AG830:AJ830"/>
    <mergeCell ref="U832:X832"/>
    <mergeCell ref="M832:P832"/>
    <mergeCell ref="W866:AC866"/>
    <mergeCell ref="W859:AC859"/>
    <mergeCell ref="W849:AC849"/>
    <mergeCell ref="M877:V877"/>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U920:Z920"/>
    <mergeCell ref="M968:S968"/>
    <mergeCell ref="F932:T932"/>
    <mergeCell ref="AA939:AF939"/>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AK747:AO747"/>
    <mergeCell ref="K751:N751"/>
    <mergeCell ref="O751:S751"/>
    <mergeCell ref="X746:AB746"/>
    <mergeCell ref="AH748:AJ748"/>
    <mergeCell ref="AH746:AJ746"/>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Z732:ED732"/>
    <mergeCell ref="EE732:EI732"/>
    <mergeCell ref="EJ732:EN732"/>
    <mergeCell ref="EE737:EI737"/>
    <mergeCell ref="EJ737:EN737"/>
    <mergeCell ref="EO732:ES732"/>
    <mergeCell ref="ET729:EX729"/>
    <mergeCell ref="ET736:EX736"/>
    <mergeCell ref="EE735:EI735"/>
    <mergeCell ref="EJ734:EN734"/>
    <mergeCell ref="EE733:EI733"/>
    <mergeCell ref="ET732:EX732"/>
    <mergeCell ref="EE728:EI728"/>
    <mergeCell ref="EJ728:EN728"/>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H652:EL652"/>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X643:EB643"/>
    <mergeCell ref="DX640:EB640"/>
    <mergeCell ref="EW641:FA641"/>
    <mergeCell ref="EC642:EG642"/>
    <mergeCell ref="EH642:EL642"/>
    <mergeCell ref="EM642:EQ642"/>
    <mergeCell ref="ER642:EV642"/>
    <mergeCell ref="DX641:EB641"/>
    <mergeCell ref="EC644:EG644"/>
    <mergeCell ref="EH644:EL644"/>
    <mergeCell ref="EM651:EQ651"/>
    <mergeCell ref="DU733:DY733"/>
    <mergeCell ref="EO719:ES719"/>
    <mergeCell ref="ET719:EX719"/>
    <mergeCell ref="EJ722:EN722"/>
    <mergeCell ref="FE720:FI720"/>
    <mergeCell ref="FJ720:FN720"/>
    <mergeCell ref="FO720:FS720"/>
    <mergeCell ref="EZ717:FD717"/>
    <mergeCell ref="FE717:FI717"/>
    <mergeCell ref="FJ717:FN717"/>
    <mergeCell ref="FO717:FS717"/>
    <mergeCell ref="EW670:FA670"/>
    <mergeCell ref="EW656:FA656"/>
    <mergeCell ref="EC653:EG653"/>
    <mergeCell ref="DX654:EB654"/>
    <mergeCell ref="EJ721:EN721"/>
    <mergeCell ref="DZ721:ED721"/>
    <mergeCell ref="DZ722:ED722"/>
    <mergeCell ref="DU717:DY717"/>
    <mergeCell ref="DU719:DY719"/>
    <mergeCell ref="EE717:EI717"/>
    <mergeCell ref="EJ720:EN720"/>
    <mergeCell ref="ER657:EV657"/>
    <mergeCell ref="EW657:FA657"/>
    <mergeCell ref="EH659:EL659"/>
    <mergeCell ref="EC661:EG661"/>
    <mergeCell ref="EH661:EL661"/>
    <mergeCell ref="ET721:EX721"/>
    <mergeCell ref="EE720:EI720"/>
    <mergeCell ref="DZ719:ED719"/>
    <mergeCell ref="EW668:FA668"/>
    <mergeCell ref="EW664:FA664"/>
    <mergeCell ref="EW666:FA666"/>
    <mergeCell ref="EW654:FA654"/>
    <mergeCell ref="EM656:EQ656"/>
    <mergeCell ref="EO721:ES721"/>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T731:EX731"/>
    <mergeCell ref="EJ727:EN727"/>
    <mergeCell ref="EO729:ES729"/>
    <mergeCell ref="EM670:EQ670"/>
    <mergeCell ref="DU718:DY718"/>
    <mergeCell ref="DU721:DY721"/>
    <mergeCell ref="EE721:EI721"/>
    <mergeCell ref="EW661:FA661"/>
    <mergeCell ref="EM662:EQ662"/>
    <mergeCell ref="ER662:EV662"/>
    <mergeCell ref="DU727:DY727"/>
    <mergeCell ref="EE726:EI726"/>
    <mergeCell ref="EJ726:EN726"/>
    <mergeCell ref="DO720:DS720"/>
    <mergeCell ref="DJ738:DN738"/>
    <mergeCell ref="EO737:ES737"/>
    <mergeCell ref="EJ717:EN717"/>
    <mergeCell ref="DJ720:DN720"/>
    <mergeCell ref="DJ717:DN717"/>
    <mergeCell ref="DU737:DY737"/>
    <mergeCell ref="DU735:DY735"/>
    <mergeCell ref="DO737:DS737"/>
    <mergeCell ref="DJ734:DN734"/>
    <mergeCell ref="EW660:FA660"/>
    <mergeCell ref="EZ720:FD720"/>
    <mergeCell ref="DU736:DY736"/>
    <mergeCell ref="ET727:EX727"/>
    <mergeCell ref="EO725:ES725"/>
    <mergeCell ref="EO723:ES723"/>
    <mergeCell ref="ET725:EX725"/>
    <mergeCell ref="DX668:EB668"/>
    <mergeCell ref="EC668:EG668"/>
    <mergeCell ref="DO718:DS718"/>
    <mergeCell ref="DO719:DS719"/>
    <mergeCell ref="EO730:ES730"/>
    <mergeCell ref="ET730:EX730"/>
    <mergeCell ref="EO724:ES724"/>
    <mergeCell ref="ET724:EX724"/>
    <mergeCell ref="EO726:ES726"/>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38:CT738"/>
    <mergeCell ref="DZ737:ED737"/>
    <mergeCell ref="EE753:EI753"/>
    <mergeCell ref="EO753:ES753"/>
    <mergeCell ref="DJ776:DN776"/>
    <mergeCell ref="DO776:DS776"/>
    <mergeCell ref="DO775:DS775"/>
    <mergeCell ref="DJ753:DN753"/>
    <mergeCell ref="DE740:DI740"/>
    <mergeCell ref="DU740:DY740"/>
    <mergeCell ref="DZ740:ED740"/>
    <mergeCell ref="EE740:EI740"/>
    <mergeCell ref="EJ740:EN740"/>
    <mergeCell ref="CU775:CY775"/>
    <mergeCell ref="EE745:EI745"/>
    <mergeCell ref="EO745:ES745"/>
    <mergeCell ref="DU749:DY749"/>
    <mergeCell ref="DZ749:ED749"/>
    <mergeCell ref="CP753:CT753"/>
    <mergeCell ref="DE739:DI739"/>
    <mergeCell ref="DU745:DY745"/>
    <mergeCell ref="DZ745:ED745"/>
    <mergeCell ref="DJ747:DN747"/>
    <mergeCell ref="DO747:DS747"/>
    <mergeCell ref="CZ753:DD753"/>
    <mergeCell ref="DJ775:DN775"/>
    <mergeCell ref="CP775:CT775"/>
    <mergeCell ref="CP776:CT776"/>
    <mergeCell ref="DE776:DI776"/>
    <mergeCell ref="DJ746:DN746"/>
    <mergeCell ref="DO746:DS746"/>
    <mergeCell ref="CZ746:DD746"/>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R649:EV649"/>
    <mergeCell ref="EE738:EI738"/>
    <mergeCell ref="EJ738:EN738"/>
    <mergeCell ref="DU739:DY739"/>
    <mergeCell ref="CP717:CT717"/>
    <mergeCell ref="AK720:AO720"/>
    <mergeCell ref="DX661:EB661"/>
    <mergeCell ref="DX645:EB645"/>
    <mergeCell ref="DX656:EB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T718:EX718"/>
    <mergeCell ref="EE719:EI719"/>
    <mergeCell ref="EJ719:EN719"/>
    <mergeCell ref="EJ718:EN718"/>
    <mergeCell ref="DJ718:DN718"/>
    <mergeCell ref="EH655:EL655"/>
    <mergeCell ref="EM655:EQ655"/>
    <mergeCell ref="EH647:EL647"/>
    <mergeCell ref="EM647:EQ647"/>
    <mergeCell ref="DX648:EB648"/>
    <mergeCell ref="DX651:EB651"/>
    <mergeCell ref="EC651:EG651"/>
    <mergeCell ref="EM648:EQ648"/>
    <mergeCell ref="DX647:EB647"/>
    <mergeCell ref="ER661:EV661"/>
    <mergeCell ref="EM649:EQ649"/>
    <mergeCell ref="EM654:EQ654"/>
    <mergeCell ref="ER654:EV654"/>
    <mergeCell ref="EM652:EQ652"/>
    <mergeCell ref="DX650:EB650"/>
    <mergeCell ref="EC650:EG650"/>
    <mergeCell ref="DO774:DS774"/>
    <mergeCell ref="DU753:DY753"/>
    <mergeCell ref="DZ753:ED753"/>
    <mergeCell ref="DE774:DI774"/>
    <mergeCell ref="DZ738:ED738"/>
    <mergeCell ref="DO732:DS732"/>
    <mergeCell ref="DZ739:ED739"/>
    <mergeCell ref="EE739:EI739"/>
    <mergeCell ref="DO753:DS753"/>
    <mergeCell ref="DO773:DS773"/>
    <mergeCell ref="DJ751:DN751"/>
    <mergeCell ref="DU734:DY734"/>
    <mergeCell ref="EM650:EQ650"/>
    <mergeCell ref="DX653:EB653"/>
    <mergeCell ref="EO722:ES722"/>
    <mergeCell ref="EO717:ES717"/>
    <mergeCell ref="EO740:ES740"/>
    <mergeCell ref="ER669:EV669"/>
    <mergeCell ref="ER668:EV668"/>
    <mergeCell ref="DO738:DS738"/>
    <mergeCell ref="DU730:DY730"/>
    <mergeCell ref="EO727:ES727"/>
    <mergeCell ref="EJ733:EN733"/>
    <mergeCell ref="DZ729:ED729"/>
    <mergeCell ref="EO738:ES738"/>
    <mergeCell ref="DE738:DI738"/>
    <mergeCell ref="EC655:EG655"/>
    <mergeCell ref="DX667:EB667"/>
    <mergeCell ref="ER650:EV650"/>
    <mergeCell ref="EC656:EG656"/>
    <mergeCell ref="EH656:EL656"/>
    <mergeCell ref="ET726:EX726"/>
    <mergeCell ref="Q637:S637"/>
    <mergeCell ref="C636:L636"/>
    <mergeCell ref="N665:O665"/>
    <mergeCell ref="G611:R611"/>
    <mergeCell ref="Z602:AK602"/>
    <mergeCell ref="Z612:AK612"/>
    <mergeCell ref="AC627:AE627"/>
    <mergeCell ref="AA656:AK656"/>
    <mergeCell ref="M633:P633"/>
    <mergeCell ref="G594:R594"/>
    <mergeCell ref="Z594:AK594"/>
    <mergeCell ref="Z610:AK610"/>
    <mergeCell ref="N599:O599"/>
    <mergeCell ref="AA590:AK590"/>
    <mergeCell ref="AI589:AK589"/>
    <mergeCell ref="Z596:AK596"/>
    <mergeCell ref="H598:R598"/>
    <mergeCell ref="Z595:AK595"/>
    <mergeCell ref="G603:R603"/>
    <mergeCell ref="P597:R597"/>
    <mergeCell ref="AF631:AJ631"/>
    <mergeCell ref="AK633:AN633"/>
    <mergeCell ref="Z645:AK645"/>
    <mergeCell ref="Z629:AB629"/>
    <mergeCell ref="AF633:AJ633"/>
    <mergeCell ref="AC635:AE635"/>
    <mergeCell ref="AK628:AN628"/>
    <mergeCell ref="Z601:AK601"/>
    <mergeCell ref="T630:V630"/>
    <mergeCell ref="T631:V631"/>
    <mergeCell ref="AC628:AE628"/>
    <mergeCell ref="C629:L629"/>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K737:N737"/>
    <mergeCell ref="AK723:AO723"/>
    <mergeCell ref="AK724:AO724"/>
    <mergeCell ref="AK725:AO725"/>
    <mergeCell ref="K725:N725"/>
    <mergeCell ref="G731:J731"/>
    <mergeCell ref="AK726:AO726"/>
    <mergeCell ref="X725:AB725"/>
    <mergeCell ref="AC736:AG736"/>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45" zoomScaleNormal="100" workbookViewId="0">
      <selection activeCell="C75" sqref="C7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9" t="s">
        <v>622</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374</v>
      </c>
      <c r="D2" s="138" t="s">
        <v>373</v>
      </c>
      <c r="E2" s="138" t="s">
        <v>24</v>
      </c>
      <c r="F2" s="139" t="str">
        <f>Application!B627&amp;Application!C627</f>
        <v>1)KeyBank</v>
      </c>
      <c r="G2" s="139" t="str">
        <f>Application!B628&amp;Application!C628</f>
        <v>2)Samuelian Group</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3000000</v>
      </c>
      <c r="C4" s="147">
        <v>3000000</v>
      </c>
      <c r="D4" s="147"/>
      <c r="E4" s="147">
        <f>C4</f>
        <v>3000000</v>
      </c>
      <c r="F4" s="147"/>
      <c r="G4" s="147"/>
      <c r="H4" s="147"/>
      <c r="I4" s="147"/>
      <c r="J4" s="147"/>
      <c r="K4" s="147"/>
      <c r="L4" s="147"/>
      <c r="M4" s="147"/>
      <c r="N4" s="147"/>
      <c r="O4" s="147"/>
      <c r="P4" s="147"/>
      <c r="Q4" s="147"/>
      <c r="R4" s="516">
        <f>SUM(E4:Q4)</f>
        <v>3000000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3000000</v>
      </c>
      <c r="C8" s="146">
        <f t="shared" ref="C8:Q8" si="0">SUM(C4:C7)</f>
        <v>3000000</v>
      </c>
      <c r="D8" s="146">
        <f t="shared" si="0"/>
        <v>0</v>
      </c>
      <c r="E8" s="146">
        <f t="shared" si="0"/>
        <v>3000000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3000000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3000000</v>
      </c>
      <c r="C12" s="146">
        <f t="shared" si="2"/>
        <v>3000000</v>
      </c>
      <c r="D12" s="146">
        <f t="shared" si="2"/>
        <v>0</v>
      </c>
      <c r="E12" s="146">
        <f t="shared" si="2"/>
        <v>3000000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3000000</v>
      </c>
      <c r="S12" s="148"/>
      <c r="T12" s="148"/>
      <c r="U12" s="143"/>
    </row>
    <row r="13" spans="1:21" s="144" customFormat="1">
      <c r="A13" s="287" t="s">
        <v>903</v>
      </c>
      <c r="B13" s="146">
        <f>SUM(C13+D13)</f>
        <v>20000</v>
      </c>
      <c r="C13" s="147">
        <v>20000</v>
      </c>
      <c r="D13" s="147"/>
      <c r="E13" s="147">
        <f>C13</f>
        <v>20000</v>
      </c>
      <c r="F13" s="147"/>
      <c r="G13" s="147"/>
      <c r="H13" s="147"/>
      <c r="I13" s="147"/>
      <c r="J13" s="147"/>
      <c r="K13" s="147"/>
      <c r="L13" s="147"/>
      <c r="M13" s="147"/>
      <c r="N13" s="147"/>
      <c r="O13" s="147"/>
      <c r="P13" s="147"/>
      <c r="Q13" s="147"/>
      <c r="R13" s="516">
        <f>SUM(E13:Q13)</f>
        <v>20000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22661420</v>
      </c>
      <c r="C30" s="147">
        <f>21570000+21570+1000000+69850</f>
        <v>22661420</v>
      </c>
      <c r="D30" s="147"/>
      <c r="E30" s="147"/>
      <c r="F30" s="147">
        <f>C30</f>
        <v>22661420</v>
      </c>
      <c r="G30" s="147"/>
      <c r="H30" s="147"/>
      <c r="I30" s="147"/>
      <c r="J30" s="147"/>
      <c r="K30" s="147"/>
      <c r="L30" s="147"/>
      <c r="M30" s="147"/>
      <c r="N30" s="147"/>
      <c r="O30" s="147"/>
      <c r="P30" s="147"/>
      <c r="Q30" s="147"/>
      <c r="R30" s="516">
        <f t="shared" si="7"/>
        <v>22661420</v>
      </c>
      <c r="S30" s="147">
        <f>C30-1000000-69850</f>
        <v>21591570</v>
      </c>
      <c r="T30" s="147"/>
      <c r="U30" s="143"/>
    </row>
    <row r="31" spans="1:21" s="144" customFormat="1">
      <c r="A31" s="145" t="s">
        <v>601</v>
      </c>
      <c r="B31" s="146">
        <f t="shared" si="6"/>
        <v>1056470</v>
      </c>
      <c r="C31" s="147">
        <v>1056470</v>
      </c>
      <c r="D31" s="147"/>
      <c r="E31" s="147">
        <f>C31-F31</f>
        <v>219459</v>
      </c>
      <c r="F31" s="147">
        <f>23498431-F30</f>
        <v>837011</v>
      </c>
      <c r="G31" s="147"/>
      <c r="H31" s="147"/>
      <c r="I31" s="147"/>
      <c r="J31" s="147"/>
      <c r="K31" s="147"/>
      <c r="L31" s="147"/>
      <c r="M31" s="147"/>
      <c r="N31" s="147"/>
      <c r="O31" s="147"/>
      <c r="P31" s="147"/>
      <c r="Q31" s="147"/>
      <c r="R31" s="516">
        <f t="shared" si="7"/>
        <v>1056470</v>
      </c>
      <c r="S31" s="147">
        <f t="shared" ref="S31:S37" si="8">C31</f>
        <v>1056470</v>
      </c>
      <c r="T31" s="147"/>
      <c r="U31" s="143"/>
    </row>
    <row r="32" spans="1:21" s="144" customFormat="1">
      <c r="A32" s="145" t="s">
        <v>137</v>
      </c>
      <c r="B32" s="146">
        <f t="shared" si="6"/>
        <v>1056470</v>
      </c>
      <c r="C32" s="147">
        <v>1056470</v>
      </c>
      <c r="D32" s="147"/>
      <c r="E32" s="147">
        <f>C32</f>
        <v>1056470</v>
      </c>
      <c r="F32" s="147"/>
      <c r="G32" s="147"/>
      <c r="H32" s="147"/>
      <c r="I32" s="147"/>
      <c r="J32" s="147"/>
      <c r="K32" s="147"/>
      <c r="L32" s="147"/>
      <c r="M32" s="147"/>
      <c r="N32" s="147"/>
      <c r="O32" s="147"/>
      <c r="P32" s="147"/>
      <c r="Q32" s="147"/>
      <c r="R32" s="516">
        <f t="shared" si="7"/>
        <v>1056470</v>
      </c>
      <c r="S32" s="147">
        <f t="shared" si="8"/>
        <v>1056470</v>
      </c>
      <c r="T32" s="147"/>
      <c r="U32" s="143"/>
    </row>
    <row r="33" spans="1:21" s="144" customFormat="1">
      <c r="A33" s="145" t="s">
        <v>138</v>
      </c>
      <c r="B33" s="146">
        <f t="shared" si="6"/>
        <v>939085</v>
      </c>
      <c r="C33" s="147">
        <v>939085</v>
      </c>
      <c r="D33" s="147"/>
      <c r="E33" s="147">
        <f>C33</f>
        <v>939085</v>
      </c>
      <c r="F33" s="147"/>
      <c r="G33" s="147"/>
      <c r="H33" s="147"/>
      <c r="I33" s="147"/>
      <c r="J33" s="147"/>
      <c r="K33" s="147"/>
      <c r="L33" s="147"/>
      <c r="M33" s="147"/>
      <c r="N33" s="147"/>
      <c r="O33" s="147"/>
      <c r="P33" s="147"/>
      <c r="Q33" s="147"/>
      <c r="R33" s="516">
        <f t="shared" si="7"/>
        <v>939085</v>
      </c>
      <c r="S33" s="147">
        <f t="shared" si="8"/>
        <v>939085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234771</v>
      </c>
      <c r="C35" s="147">
        <v>234771</v>
      </c>
      <c r="D35" s="147"/>
      <c r="E35" s="147">
        <f>C35</f>
        <v>234771</v>
      </c>
      <c r="F35" s="147"/>
      <c r="G35" s="147"/>
      <c r="H35" s="147"/>
      <c r="I35" s="147"/>
      <c r="J35" s="147"/>
      <c r="K35" s="147"/>
      <c r="L35" s="147"/>
      <c r="M35" s="147"/>
      <c r="N35" s="147"/>
      <c r="O35" s="147"/>
      <c r="P35" s="147"/>
      <c r="Q35" s="147"/>
      <c r="R35" s="516">
        <f t="shared" si="7"/>
        <v>234771</v>
      </c>
      <c r="S35" s="147">
        <f t="shared" si="8"/>
        <v>234771</v>
      </c>
      <c r="T35" s="147"/>
      <c r="U35" s="143"/>
    </row>
    <row r="36" spans="1:21" s="144" customFormat="1">
      <c r="A36" s="283" t="s">
        <v>1641</v>
      </c>
      <c r="B36" s="146">
        <f t="shared" si="6"/>
        <v>225000</v>
      </c>
      <c r="C36" s="147">
        <v>225000</v>
      </c>
      <c r="D36" s="147"/>
      <c r="E36" s="147">
        <f>C36</f>
        <v>225000</v>
      </c>
      <c r="F36" s="147"/>
      <c r="G36" s="147"/>
      <c r="H36" s="147"/>
      <c r="I36" s="147"/>
      <c r="J36" s="147"/>
      <c r="K36" s="147"/>
      <c r="L36" s="147"/>
      <c r="M36" s="147"/>
      <c r="N36" s="147"/>
      <c r="O36" s="147"/>
      <c r="P36" s="147"/>
      <c r="Q36" s="147"/>
      <c r="R36" s="516">
        <f t="shared" si="7"/>
        <v>225000</v>
      </c>
      <c r="S36" s="147">
        <f t="shared" si="8"/>
        <v>225000</v>
      </c>
      <c r="T36" s="147"/>
      <c r="U36" s="143"/>
    </row>
    <row r="37" spans="1:21" s="144" customFormat="1">
      <c r="A37" s="1149" t="s">
        <v>2712</v>
      </c>
      <c r="B37" s="146">
        <f t="shared" si="6"/>
        <v>215700</v>
      </c>
      <c r="C37" s="147">
        <v>215700</v>
      </c>
      <c r="D37" s="147"/>
      <c r="E37" s="147">
        <f>C37</f>
        <v>215700</v>
      </c>
      <c r="F37" s="147"/>
      <c r="G37" s="147"/>
      <c r="H37" s="147"/>
      <c r="I37" s="147"/>
      <c r="J37" s="147"/>
      <c r="K37" s="147"/>
      <c r="L37" s="147"/>
      <c r="M37" s="147"/>
      <c r="N37" s="147"/>
      <c r="O37" s="147"/>
      <c r="P37" s="147"/>
      <c r="Q37" s="147"/>
      <c r="R37" s="516">
        <f t="shared" si="7"/>
        <v>215700</v>
      </c>
      <c r="S37" s="147">
        <f t="shared" si="8"/>
        <v>215700</v>
      </c>
      <c r="T37" s="147"/>
      <c r="U37" s="143"/>
    </row>
    <row r="38" spans="1:21" s="144" customFormat="1">
      <c r="A38" s="149" t="s">
        <v>143</v>
      </c>
      <c r="B38" s="146">
        <f t="shared" si="6"/>
        <v>26388916</v>
      </c>
      <c r="C38" s="146">
        <f>SUM(C29:C37)</f>
        <v>26388916</v>
      </c>
      <c r="D38" s="146">
        <f t="shared" ref="D38:Q38" si="9">SUM(D29:D37)</f>
        <v>0</v>
      </c>
      <c r="E38" s="146">
        <f t="shared" si="9"/>
        <v>2890485</v>
      </c>
      <c r="F38" s="146">
        <f t="shared" si="9"/>
        <v>23498431</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26388916</v>
      </c>
      <c r="S38" s="150">
        <f>SUM(S29:S37)</f>
        <v>25319066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2650000</v>
      </c>
      <c r="C40" s="147">
        <v>2650000</v>
      </c>
      <c r="D40" s="147"/>
      <c r="E40" s="147">
        <f>C40</f>
        <v>2650000</v>
      </c>
      <c r="F40" s="147"/>
      <c r="G40" s="147"/>
      <c r="H40" s="147"/>
      <c r="I40" s="147"/>
      <c r="J40" s="147"/>
      <c r="K40" s="147"/>
      <c r="L40" s="147"/>
      <c r="M40" s="147"/>
      <c r="N40" s="147"/>
      <c r="O40" s="147"/>
      <c r="P40" s="147"/>
      <c r="Q40" s="147"/>
      <c r="R40" s="516">
        <f>SUM(E40:Q40)</f>
        <v>2650000</v>
      </c>
      <c r="S40" s="147">
        <f>C40</f>
        <v>2650000</v>
      </c>
      <c r="T40" s="147"/>
      <c r="U40" s="143"/>
    </row>
    <row r="41" spans="1:21" s="144" customFormat="1">
      <c r="A41" s="145" t="s">
        <v>146</v>
      </c>
      <c r="B41" s="146">
        <f>SUM(C41+D41)</f>
        <v>1299605</v>
      </c>
      <c r="C41" s="147">
        <f>1260500+39105</f>
        <v>1299605</v>
      </c>
      <c r="D41" s="147"/>
      <c r="E41" s="147">
        <f>C41</f>
        <v>1299605</v>
      </c>
      <c r="F41" s="147"/>
      <c r="G41" s="147"/>
      <c r="H41" s="147"/>
      <c r="I41" s="147"/>
      <c r="J41" s="147"/>
      <c r="K41" s="147"/>
      <c r="L41" s="147"/>
      <c r="M41" s="147"/>
      <c r="N41" s="147"/>
      <c r="O41" s="147"/>
      <c r="P41" s="147"/>
      <c r="Q41" s="147"/>
      <c r="R41" s="516">
        <f>SUM(E41:Q41)</f>
        <v>1299605</v>
      </c>
      <c r="S41" s="147">
        <f>C41</f>
        <v>1299605</v>
      </c>
      <c r="T41" s="147"/>
      <c r="U41" s="143"/>
    </row>
    <row r="42" spans="1:21" s="144" customFormat="1">
      <c r="A42" s="149" t="s">
        <v>147</v>
      </c>
      <c r="B42" s="146">
        <f>SUM(C42:D42)</f>
        <v>3949605</v>
      </c>
      <c r="C42" s="146">
        <f>SUM(C39:C41)</f>
        <v>3949605</v>
      </c>
      <c r="D42" s="146">
        <f>SUM(D39:D41)</f>
        <v>0</v>
      </c>
      <c r="E42" s="146">
        <f t="shared" ref="E42:T42" si="10">SUM(E40:E41)</f>
        <v>3949605</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3949605</v>
      </c>
      <c r="S42" s="150">
        <f t="shared" si="10"/>
        <v>3949605</v>
      </c>
      <c r="T42" s="150">
        <f t="shared" si="10"/>
        <v>0</v>
      </c>
      <c r="U42" s="143"/>
    </row>
    <row r="43" spans="1:21" s="144" customFormat="1">
      <c r="A43" s="149" t="s">
        <v>148</v>
      </c>
      <c r="B43" s="146">
        <f>SUM(C43:D43)</f>
        <v>150000</v>
      </c>
      <c r="C43" s="147">
        <v>150000</v>
      </c>
      <c r="D43" s="147"/>
      <c r="E43" s="147">
        <f>C43</f>
        <v>150000</v>
      </c>
      <c r="F43" s="147"/>
      <c r="G43" s="147"/>
      <c r="H43" s="147"/>
      <c r="I43" s="147"/>
      <c r="J43" s="147"/>
      <c r="K43" s="147"/>
      <c r="L43" s="147"/>
      <c r="M43" s="147"/>
      <c r="N43" s="147"/>
      <c r="O43" s="147"/>
      <c r="P43" s="147"/>
      <c r="Q43" s="147"/>
      <c r="R43" s="516">
        <f>SUM(E43:Q43)</f>
        <v>150000</v>
      </c>
      <c r="S43" s="147">
        <f>C43</f>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4447239</v>
      </c>
      <c r="C45" s="147">
        <f>3335429+1111810</f>
        <v>4447239</v>
      </c>
      <c r="D45" s="147"/>
      <c r="E45" s="147">
        <f>C45</f>
        <v>4447239</v>
      </c>
      <c r="F45" s="147"/>
      <c r="G45" s="147"/>
      <c r="H45" s="147"/>
      <c r="I45" s="147"/>
      <c r="J45" s="147"/>
      <c r="K45" s="147"/>
      <c r="L45" s="147"/>
      <c r="M45" s="147"/>
      <c r="N45" s="147"/>
      <c r="O45" s="147"/>
      <c r="P45" s="147"/>
      <c r="Q45" s="147"/>
      <c r="R45" s="516">
        <f t="shared" ref="R45:R53" si="12">SUM(E45:Q45)</f>
        <v>4447239</v>
      </c>
      <c r="S45" s="147">
        <v>3557791</v>
      </c>
      <c r="T45" s="147"/>
      <c r="U45" s="143"/>
    </row>
    <row r="46" spans="1:21" s="144" customFormat="1">
      <c r="A46" s="145" t="s">
        <v>151</v>
      </c>
      <c r="B46" s="146">
        <f t="shared" si="11"/>
        <v>430051</v>
      </c>
      <c r="C46" s="147">
        <v>430051</v>
      </c>
      <c r="D46" s="147"/>
      <c r="E46" s="147">
        <f>C46</f>
        <v>430051</v>
      </c>
      <c r="F46" s="147"/>
      <c r="G46" s="147"/>
      <c r="H46" s="147"/>
      <c r="I46" s="147"/>
      <c r="J46" s="147"/>
      <c r="K46" s="147"/>
      <c r="L46" s="147"/>
      <c r="M46" s="147"/>
      <c r="N46" s="147"/>
      <c r="O46" s="147"/>
      <c r="P46" s="147"/>
      <c r="Q46" s="147"/>
      <c r="R46" s="516">
        <f t="shared" si="12"/>
        <v>430051</v>
      </c>
      <c r="S46" s="147">
        <f>C46</f>
        <v>430051</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2"/>
        <v>0</v>
      </c>
      <c r="S47" s="147"/>
      <c r="T47" s="147"/>
      <c r="U47" s="143"/>
    </row>
    <row r="48" spans="1:21" s="144" customFormat="1">
      <c r="A48" s="145" t="s">
        <v>153</v>
      </c>
      <c r="B48" s="146">
        <f>SUM(C48+D48)</f>
        <v>0</v>
      </c>
      <c r="C48" s="147"/>
      <c r="D48" s="147"/>
      <c r="E48" s="147"/>
      <c r="F48" s="147"/>
      <c r="G48" s="147"/>
      <c r="H48" s="147"/>
      <c r="I48" s="147"/>
      <c r="J48" s="147"/>
      <c r="K48" s="147"/>
      <c r="L48" s="147"/>
      <c r="M48" s="147"/>
      <c r="N48" s="147"/>
      <c r="O48" s="147"/>
      <c r="P48" s="147"/>
      <c r="Q48" s="147"/>
      <c r="R48" s="516">
        <f t="shared" si="12"/>
        <v>0</v>
      </c>
      <c r="S48" s="147"/>
      <c r="T48" s="147"/>
      <c r="U48" s="143"/>
    </row>
    <row r="49" spans="1:21" s="144" customFormat="1">
      <c r="A49" s="145" t="s">
        <v>57</v>
      </c>
      <c r="B49" s="146">
        <f>SUM(C49+D49)</f>
        <v>648146</v>
      </c>
      <c r="C49" s="147">
        <f>762993-114847</f>
        <v>648146</v>
      </c>
      <c r="D49" s="147"/>
      <c r="E49" s="147">
        <f>C49</f>
        <v>648146</v>
      </c>
      <c r="F49" s="147"/>
      <c r="G49" s="147"/>
      <c r="H49" s="147"/>
      <c r="I49" s="147"/>
      <c r="J49" s="147"/>
      <c r="K49" s="147"/>
      <c r="L49" s="147"/>
      <c r="M49" s="147"/>
      <c r="N49" s="147"/>
      <c r="O49" s="147"/>
      <c r="P49" s="147"/>
      <c r="Q49" s="147"/>
      <c r="R49" s="516">
        <f t="shared" si="12"/>
        <v>648146</v>
      </c>
      <c r="S49" s="147">
        <v>371054</v>
      </c>
      <c r="T49" s="147"/>
      <c r="U49" s="143"/>
    </row>
    <row r="50" spans="1:21" s="144" customFormat="1">
      <c r="A50" s="145" t="s">
        <v>156</v>
      </c>
      <c r="B50" s="146">
        <f t="shared" si="11"/>
        <v>100000</v>
      </c>
      <c r="C50" s="147">
        <f>100000</f>
        <v>100000</v>
      </c>
      <c r="D50" s="147"/>
      <c r="E50" s="147">
        <f>C50</f>
        <v>100000</v>
      </c>
      <c r="F50" s="147"/>
      <c r="G50" s="147"/>
      <c r="H50" s="147"/>
      <c r="I50" s="147"/>
      <c r="J50" s="147"/>
      <c r="K50" s="147"/>
      <c r="L50" s="147"/>
      <c r="M50" s="147"/>
      <c r="N50" s="147"/>
      <c r="O50" s="147"/>
      <c r="P50" s="147"/>
      <c r="Q50" s="147"/>
      <c r="R50" s="516">
        <f t="shared" si="12"/>
        <v>100000</v>
      </c>
      <c r="S50" s="147">
        <f>C50</f>
        <v>100000</v>
      </c>
      <c r="T50" s="147"/>
      <c r="U50" s="143"/>
    </row>
    <row r="51" spans="1:21" s="144" customFormat="1">
      <c r="A51" s="283" t="s">
        <v>154</v>
      </c>
      <c r="B51" s="146">
        <f t="shared" si="11"/>
        <v>131250</v>
      </c>
      <c r="C51" s="147">
        <v>131250</v>
      </c>
      <c r="D51" s="147"/>
      <c r="E51" s="147">
        <f>C51</f>
        <v>131250</v>
      </c>
      <c r="F51" s="147"/>
      <c r="G51" s="147"/>
      <c r="H51" s="147"/>
      <c r="I51" s="147"/>
      <c r="J51" s="147"/>
      <c r="K51" s="147"/>
      <c r="L51" s="147"/>
      <c r="M51" s="147"/>
      <c r="N51" s="147"/>
      <c r="O51" s="147"/>
      <c r="P51" s="147"/>
      <c r="Q51" s="147"/>
      <c r="R51" s="516">
        <f t="shared" si="12"/>
        <v>131250</v>
      </c>
      <c r="S51" s="147"/>
      <c r="T51" s="147"/>
      <c r="U51" s="143"/>
    </row>
    <row r="52" spans="1:21" s="144" customFormat="1">
      <c r="A52" s="145" t="s">
        <v>155</v>
      </c>
      <c r="B52" s="146">
        <f t="shared" si="11"/>
        <v>600000</v>
      </c>
      <c r="C52" s="147">
        <v>600000</v>
      </c>
      <c r="D52" s="147"/>
      <c r="E52" s="147">
        <f>C52</f>
        <v>600000</v>
      </c>
      <c r="F52" s="147"/>
      <c r="G52" s="147"/>
      <c r="H52" s="147"/>
      <c r="I52" s="147"/>
      <c r="J52" s="147"/>
      <c r="K52" s="147"/>
      <c r="L52" s="147"/>
      <c r="M52" s="147"/>
      <c r="N52" s="147"/>
      <c r="O52" s="147"/>
      <c r="P52" s="147"/>
      <c r="Q52" s="147"/>
      <c r="R52" s="516">
        <f t="shared" si="12"/>
        <v>600000</v>
      </c>
      <c r="S52" s="147">
        <f>C52</f>
        <v>600000</v>
      </c>
      <c r="T52" s="147"/>
      <c r="U52" s="143"/>
    </row>
    <row r="53" spans="1:21" s="144" customFormat="1">
      <c r="A53" s="1149" t="s">
        <v>34</v>
      </c>
      <c r="B53" s="146">
        <f t="shared" si="11"/>
        <v>0</v>
      </c>
      <c r="C53" s="147"/>
      <c r="D53" s="147"/>
      <c r="E53" s="147"/>
      <c r="F53" s="147"/>
      <c r="G53" s="147"/>
      <c r="H53" s="147"/>
      <c r="I53" s="147"/>
      <c r="J53" s="147"/>
      <c r="K53" s="147"/>
      <c r="L53" s="147"/>
      <c r="M53" s="147"/>
      <c r="N53" s="147"/>
      <c r="O53" s="147"/>
      <c r="P53" s="147"/>
      <c r="Q53" s="147"/>
      <c r="R53" s="516">
        <f t="shared" si="12"/>
        <v>0</v>
      </c>
      <c r="S53" s="147"/>
      <c r="T53" s="147"/>
      <c r="U53" s="143"/>
    </row>
    <row r="54" spans="1:21" s="153" customFormat="1">
      <c r="A54" s="149" t="s">
        <v>157</v>
      </c>
      <c r="B54" s="150">
        <f>SUM(C54:D54)</f>
        <v>6356686</v>
      </c>
      <c r="C54" s="150">
        <f t="shared" ref="C54:T54" si="13">SUM(C45:C53)</f>
        <v>6356686</v>
      </c>
      <c r="D54" s="150">
        <f t="shared" si="13"/>
        <v>0</v>
      </c>
      <c r="E54" s="150">
        <f t="shared" si="13"/>
        <v>6356686</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2">
        <f t="shared" si="13"/>
        <v>6356686</v>
      </c>
      <c r="S54" s="150">
        <f t="shared" si="13"/>
        <v>5058896</v>
      </c>
      <c r="T54" s="150">
        <f t="shared" si="13"/>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234984</v>
      </c>
      <c r="C56" s="147">
        <v>234984</v>
      </c>
      <c r="D56" s="147"/>
      <c r="E56" s="147">
        <f>C56</f>
        <v>234984</v>
      </c>
      <c r="F56" s="147"/>
      <c r="G56" s="147"/>
      <c r="H56" s="147"/>
      <c r="I56" s="147"/>
      <c r="J56" s="147"/>
      <c r="K56" s="147"/>
      <c r="L56" s="147"/>
      <c r="M56" s="147"/>
      <c r="N56" s="147"/>
      <c r="O56" s="147"/>
      <c r="P56" s="147"/>
      <c r="Q56" s="147"/>
      <c r="R56" s="516">
        <f t="shared" ref="R56:R61" si="15">SUM(E56:Q56)</f>
        <v>234984</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6">
        <f t="shared" si="15"/>
        <v>0</v>
      </c>
      <c r="S57" s="194"/>
      <c r="T57" s="194"/>
      <c r="U57" s="191"/>
    </row>
    <row r="58" spans="1:21" s="144" customFormat="1">
      <c r="A58" s="145" t="s">
        <v>156</v>
      </c>
      <c r="B58" s="146">
        <f t="shared" si="14"/>
        <v>105000</v>
      </c>
      <c r="C58" s="147">
        <f>75000+30000</f>
        <v>105000</v>
      </c>
      <c r="D58" s="147"/>
      <c r="E58" s="147">
        <f>C58</f>
        <v>105000</v>
      </c>
      <c r="F58" s="147"/>
      <c r="G58" s="147"/>
      <c r="H58" s="147"/>
      <c r="I58" s="147"/>
      <c r="J58" s="147"/>
      <c r="K58" s="147"/>
      <c r="L58" s="147"/>
      <c r="M58" s="147"/>
      <c r="N58" s="147"/>
      <c r="O58" s="147"/>
      <c r="P58" s="147"/>
      <c r="Q58" s="147"/>
      <c r="R58" s="516">
        <f t="shared" si="15"/>
        <v>105000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6">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6">
        <f t="shared" si="15"/>
        <v>0</v>
      </c>
      <c r="S60" s="148"/>
      <c r="T60" s="148"/>
      <c r="U60" s="143"/>
    </row>
    <row r="61" spans="1:21" s="144" customFormat="1">
      <c r="A61" s="1149" t="s">
        <v>34</v>
      </c>
      <c r="B61" s="146">
        <f t="shared" si="14"/>
        <v>0</v>
      </c>
      <c r="C61" s="147"/>
      <c r="D61" s="147"/>
      <c r="E61" s="147"/>
      <c r="F61" s="147"/>
      <c r="G61" s="147"/>
      <c r="H61" s="147"/>
      <c r="I61" s="147"/>
      <c r="J61" s="147"/>
      <c r="K61" s="147"/>
      <c r="L61" s="147"/>
      <c r="M61" s="147"/>
      <c r="N61" s="147"/>
      <c r="O61" s="147"/>
      <c r="P61" s="147"/>
      <c r="Q61" s="147"/>
      <c r="R61" s="516">
        <f t="shared" si="15"/>
        <v>0</v>
      </c>
      <c r="S61" s="148"/>
      <c r="T61" s="148"/>
      <c r="U61" s="143"/>
    </row>
    <row r="62" spans="1:21" s="144" customFormat="1" ht="13.7" customHeight="1">
      <c r="A62" s="149" t="s">
        <v>301</v>
      </c>
      <c r="B62" s="146">
        <f>SUM(C62:D62)</f>
        <v>339984</v>
      </c>
      <c r="C62" s="146">
        <f t="shared" ref="C62:R62" si="16">SUM(C56:C61)</f>
        <v>339984</v>
      </c>
      <c r="D62" s="146">
        <f t="shared" si="16"/>
        <v>0</v>
      </c>
      <c r="E62" s="146">
        <f t="shared" si="16"/>
        <v>339984</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2">
        <f t="shared" si="16"/>
        <v>339984</v>
      </c>
      <c r="S62" s="148"/>
      <c r="T62" s="148"/>
      <c r="U62" s="143"/>
    </row>
    <row r="63" spans="1:21" s="144" customFormat="1">
      <c r="A63" s="154" t="s">
        <v>302</v>
      </c>
      <c r="B63" s="146">
        <f t="shared" ref="B63:R63" si="17">SUM(B8+B11+B13+B14+B15+B26+B27+B38+B42+B43+B54+B62)</f>
        <v>40205191</v>
      </c>
      <c r="C63" s="146">
        <f t="shared" si="17"/>
        <v>40205191</v>
      </c>
      <c r="D63" s="146">
        <f t="shared" si="17"/>
        <v>0</v>
      </c>
      <c r="E63" s="146">
        <f t="shared" si="17"/>
        <v>16706760</v>
      </c>
      <c r="F63" s="146">
        <f t="shared" si="17"/>
        <v>23498431</v>
      </c>
      <c r="G63" s="146">
        <f t="shared" si="17"/>
        <v>0</v>
      </c>
      <c r="H63" s="146">
        <f t="shared" si="17"/>
        <v>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42">
        <f t="shared" si="17"/>
        <v>40205191</v>
      </c>
      <c r="S63" s="146">
        <f>SUM(S10+S13+S14+S15+S26+S27+S38+S42+S43+S54)</f>
        <v>34477567</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319600</v>
      </c>
      <c r="C65" s="147">
        <f>229600+90000</f>
        <v>319600</v>
      </c>
      <c r="D65" s="147"/>
      <c r="E65" s="147">
        <f>C65</f>
        <v>319600</v>
      </c>
      <c r="F65" s="147"/>
      <c r="G65" s="147"/>
      <c r="H65" s="147"/>
      <c r="I65" s="147"/>
      <c r="J65" s="147"/>
      <c r="K65" s="147"/>
      <c r="L65" s="147"/>
      <c r="M65" s="147"/>
      <c r="N65" s="147"/>
      <c r="O65" s="147"/>
      <c r="P65" s="147"/>
      <c r="Q65" s="147"/>
      <c r="R65" s="516">
        <f>SUM(E65:Q65)</f>
        <v>319600</v>
      </c>
      <c r="S65" s="147">
        <f>C65</f>
        <v>319600</v>
      </c>
      <c r="T65" s="147"/>
      <c r="U65" s="143"/>
    </row>
    <row r="66" spans="1:21" s="144" customFormat="1" ht="24" customHeight="1">
      <c r="A66" s="283" t="s">
        <v>1642</v>
      </c>
      <c r="B66" s="146">
        <f>SUM(C66+D66)</f>
        <v>500000</v>
      </c>
      <c r="C66" s="147">
        <v>500000</v>
      </c>
      <c r="D66" s="147"/>
      <c r="E66" s="147">
        <f>C66</f>
        <v>500000</v>
      </c>
      <c r="F66" s="147"/>
      <c r="G66" s="147"/>
      <c r="H66" s="147"/>
      <c r="I66" s="147"/>
      <c r="J66" s="147"/>
      <c r="K66" s="147"/>
      <c r="L66" s="147"/>
      <c r="M66" s="147"/>
      <c r="N66" s="147"/>
      <c r="O66" s="147"/>
      <c r="P66" s="147"/>
      <c r="Q66" s="147"/>
      <c r="R66" s="516">
        <f>SUM(E66:Q66)</f>
        <v>500000</v>
      </c>
      <c r="S66" s="147">
        <f>C66</f>
        <v>500000</v>
      </c>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819600</v>
      </c>
      <c r="C70" s="146">
        <f>SUM(C65:C69)</f>
        <v>819600</v>
      </c>
      <c r="D70" s="146">
        <f>SUM(D65:D69)</f>
        <v>0</v>
      </c>
      <c r="E70" s="146">
        <f t="shared" ref="E70:T70" si="18">SUM(E65:E69)</f>
        <v>819600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2">
        <f t="shared" si="18"/>
        <v>819600</v>
      </c>
      <c r="S70" s="150">
        <f t="shared" si="18"/>
        <v>819600</v>
      </c>
      <c r="T70" s="150">
        <f t="shared" si="18"/>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573042</v>
      </c>
      <c r="C75" s="147">
        <v>573042</v>
      </c>
      <c r="D75" s="147"/>
      <c r="E75" s="147">
        <f>C75</f>
        <v>573042</v>
      </c>
      <c r="F75" s="147"/>
      <c r="G75" s="147"/>
      <c r="H75" s="147"/>
      <c r="I75" s="147"/>
      <c r="J75" s="147"/>
      <c r="K75" s="147"/>
      <c r="L75" s="147"/>
      <c r="M75" s="147"/>
      <c r="N75" s="147"/>
      <c r="O75" s="147"/>
      <c r="P75" s="147"/>
      <c r="Q75" s="147"/>
      <c r="R75" s="516">
        <f>SUM(E75:Q75)</f>
        <v>573042</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573042</v>
      </c>
      <c r="C77" s="146">
        <f>SUM(C72:C76)</f>
        <v>573042</v>
      </c>
      <c r="D77" s="146">
        <f>SUM(D72:D76)</f>
        <v>0</v>
      </c>
      <c r="E77" s="146">
        <f t="shared" ref="E77:Q77" si="19">SUM(E72:E76)</f>
        <v>573042</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2">
        <f>SUM(R72:R76)</f>
        <v>573042</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1617750</v>
      </c>
      <c r="C79" s="147">
        <v>1617750</v>
      </c>
      <c r="D79" s="147"/>
      <c r="E79" s="147">
        <f>C79</f>
        <v>1617750</v>
      </c>
      <c r="F79" s="147"/>
      <c r="G79" s="147"/>
      <c r="H79" s="147"/>
      <c r="I79" s="147"/>
      <c r="J79" s="147"/>
      <c r="K79" s="147"/>
      <c r="L79" s="147"/>
      <c r="M79" s="147"/>
      <c r="N79" s="147"/>
      <c r="O79" s="147"/>
      <c r="P79" s="147"/>
      <c r="Q79" s="147"/>
      <c r="R79" s="516">
        <f>SUM(E79:Q79)</f>
        <v>1617750</v>
      </c>
      <c r="S79" s="147">
        <f>C79</f>
        <v>1617750</v>
      </c>
      <c r="T79" s="147"/>
      <c r="U79" s="143"/>
    </row>
    <row r="80" spans="1:21" s="144" customFormat="1">
      <c r="A80" s="283" t="s">
        <v>58</v>
      </c>
      <c r="B80" s="146">
        <f>SUM(C80:D80)</f>
        <v>877149</v>
      </c>
      <c r="C80" s="147">
        <v>877149</v>
      </c>
      <c r="D80" s="147"/>
      <c r="E80" s="147">
        <f>C80</f>
        <v>877149</v>
      </c>
      <c r="F80" s="147"/>
      <c r="G80" s="147"/>
      <c r="H80" s="147"/>
      <c r="I80" s="147"/>
      <c r="J80" s="147"/>
      <c r="K80" s="147"/>
      <c r="L80" s="147"/>
      <c r="M80" s="147"/>
      <c r="N80" s="147"/>
      <c r="O80" s="147"/>
      <c r="P80" s="147"/>
      <c r="Q80" s="147"/>
      <c r="R80" s="516">
        <f>SUM(E80:Q80)</f>
        <v>877149</v>
      </c>
      <c r="S80" s="147">
        <f>C80</f>
        <v>877149</v>
      </c>
      <c r="T80" s="147"/>
      <c r="U80" s="143"/>
    </row>
    <row r="81" spans="1:21" s="144" customFormat="1">
      <c r="A81" s="149" t="s">
        <v>1210</v>
      </c>
      <c r="B81" s="146">
        <f>SUM(C81:D81)</f>
        <v>2494899</v>
      </c>
      <c r="C81" s="509">
        <f>SUM(C79:C80)</f>
        <v>2494899</v>
      </c>
      <c r="D81" s="509">
        <f t="shared" ref="D81:T81" si="20">SUM(D79:D80)</f>
        <v>0</v>
      </c>
      <c r="E81" s="509">
        <f t="shared" si="20"/>
        <v>2494899</v>
      </c>
      <c r="F81" s="509">
        <f t="shared" si="20"/>
        <v>0</v>
      </c>
      <c r="G81" s="509">
        <f t="shared" si="20"/>
        <v>0</v>
      </c>
      <c r="H81" s="509">
        <f t="shared" si="20"/>
        <v>0</v>
      </c>
      <c r="I81" s="509">
        <f t="shared" si="20"/>
        <v>0</v>
      </c>
      <c r="J81" s="509">
        <f t="shared" si="20"/>
        <v>0</v>
      </c>
      <c r="K81" s="509">
        <f t="shared" si="20"/>
        <v>0</v>
      </c>
      <c r="L81" s="509">
        <f t="shared" si="20"/>
        <v>0</v>
      </c>
      <c r="M81" s="509">
        <f t="shared" si="20"/>
        <v>0</v>
      </c>
      <c r="N81" s="509">
        <f t="shared" si="20"/>
        <v>0</v>
      </c>
      <c r="O81" s="509">
        <f t="shared" si="20"/>
        <v>0</v>
      </c>
      <c r="P81" s="509">
        <f t="shared" si="20"/>
        <v>0</v>
      </c>
      <c r="Q81" s="509">
        <f t="shared" si="20"/>
        <v>0</v>
      </c>
      <c r="R81" s="509">
        <f t="shared" si="20"/>
        <v>2494899</v>
      </c>
      <c r="S81" s="509">
        <f t="shared" si="20"/>
        <v>2494899</v>
      </c>
      <c r="T81" s="509">
        <f t="shared" si="20"/>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1">SUM(C83+D83)</f>
        <v>114847</v>
      </c>
      <c r="C83" s="147">
        <v>114847</v>
      </c>
      <c r="D83" s="147"/>
      <c r="E83" s="147">
        <f>C83</f>
        <v>114847</v>
      </c>
      <c r="F83" s="147"/>
      <c r="G83" s="147"/>
      <c r="H83" s="147"/>
      <c r="I83" s="147"/>
      <c r="J83" s="147"/>
      <c r="K83" s="147"/>
      <c r="L83" s="147"/>
      <c r="M83" s="147"/>
      <c r="N83" s="147"/>
      <c r="O83" s="147"/>
      <c r="P83" s="147"/>
      <c r="Q83" s="147"/>
      <c r="R83" s="516">
        <f t="shared" ref="R83:R95" si="22">SUM(E83:Q83)</f>
        <v>114847</v>
      </c>
      <c r="S83" s="148"/>
      <c r="T83" s="148"/>
      <c r="U83" s="143"/>
    </row>
    <row r="84" spans="1:21" s="144" customFormat="1">
      <c r="A84" s="145" t="s">
        <v>768</v>
      </c>
      <c r="B84" s="146">
        <f t="shared" si="21"/>
        <v>0</v>
      </c>
      <c r="C84" s="147"/>
      <c r="D84" s="147"/>
      <c r="E84" s="147"/>
      <c r="F84" s="147"/>
      <c r="G84" s="147"/>
      <c r="H84" s="147"/>
      <c r="I84" s="147"/>
      <c r="J84" s="147"/>
      <c r="K84" s="147"/>
      <c r="L84" s="147"/>
      <c r="M84" s="147"/>
      <c r="N84" s="147"/>
      <c r="O84" s="147"/>
      <c r="P84" s="147"/>
      <c r="Q84" s="147"/>
      <c r="R84" s="516">
        <f t="shared" si="22"/>
        <v>0</v>
      </c>
      <c r="S84" s="147"/>
      <c r="T84" s="147"/>
      <c r="U84" s="143"/>
    </row>
    <row r="85" spans="1:21" s="144" customFormat="1">
      <c r="A85" s="145" t="s">
        <v>769</v>
      </c>
      <c r="B85" s="146">
        <f t="shared" si="21"/>
        <v>0</v>
      </c>
      <c r="C85" s="147"/>
      <c r="D85" s="147"/>
      <c r="E85" s="147"/>
      <c r="F85" s="147"/>
      <c r="G85" s="147"/>
      <c r="H85" s="147"/>
      <c r="I85" s="147"/>
      <c r="J85" s="147"/>
      <c r="K85" s="147"/>
      <c r="L85" s="147"/>
      <c r="M85" s="147"/>
      <c r="N85" s="147"/>
      <c r="O85" s="147"/>
      <c r="P85" s="147"/>
      <c r="Q85" s="147"/>
      <c r="R85" s="516">
        <f t="shared" si="22"/>
        <v>0</v>
      </c>
      <c r="S85" s="147"/>
      <c r="T85" s="147"/>
      <c r="U85" s="143"/>
    </row>
    <row r="86" spans="1:21" s="144" customFormat="1">
      <c r="A86" s="145" t="s">
        <v>770</v>
      </c>
      <c r="B86" s="146">
        <f t="shared" si="21"/>
        <v>2000000</v>
      </c>
      <c r="C86" s="147">
        <f>1850000+150000</f>
        <v>2000000</v>
      </c>
      <c r="D86" s="147"/>
      <c r="E86" s="147">
        <f>C86</f>
        <v>2000000</v>
      </c>
      <c r="F86" s="147"/>
      <c r="G86" s="147"/>
      <c r="H86" s="147"/>
      <c r="I86" s="147"/>
      <c r="J86" s="147"/>
      <c r="K86" s="147"/>
      <c r="L86" s="147"/>
      <c r="M86" s="147"/>
      <c r="N86" s="147"/>
      <c r="O86" s="147"/>
      <c r="P86" s="147"/>
      <c r="Q86" s="147"/>
      <c r="R86" s="516">
        <f t="shared" si="22"/>
        <v>2000000</v>
      </c>
      <c r="S86" s="147">
        <f>C86</f>
        <v>2000000</v>
      </c>
      <c r="T86" s="147"/>
      <c r="U86" s="143"/>
    </row>
    <row r="87" spans="1:21" s="144" customFormat="1">
      <c r="A87" s="145" t="s">
        <v>771</v>
      </c>
      <c r="B87" s="146">
        <f t="shared" si="21"/>
        <v>0</v>
      </c>
      <c r="C87" s="147"/>
      <c r="D87" s="147"/>
      <c r="E87" s="147"/>
      <c r="F87" s="147"/>
      <c r="G87" s="147"/>
      <c r="H87" s="147"/>
      <c r="I87" s="147"/>
      <c r="J87" s="147"/>
      <c r="K87" s="147"/>
      <c r="L87" s="147"/>
      <c r="M87" s="147"/>
      <c r="N87" s="147"/>
      <c r="O87" s="147"/>
      <c r="P87" s="147"/>
      <c r="Q87" s="147"/>
      <c r="R87" s="516">
        <f t="shared" si="22"/>
        <v>0</v>
      </c>
      <c r="S87" s="147"/>
      <c r="T87" s="147"/>
      <c r="U87" s="143"/>
    </row>
    <row r="88" spans="1:21" s="144" customFormat="1">
      <c r="A88" s="145" t="s">
        <v>772</v>
      </c>
      <c r="B88" s="146">
        <f t="shared" si="21"/>
        <v>50000</v>
      </c>
      <c r="C88" s="147">
        <v>50000</v>
      </c>
      <c r="D88" s="147"/>
      <c r="E88" s="147">
        <f>C88</f>
        <v>50000</v>
      </c>
      <c r="F88" s="147"/>
      <c r="G88" s="147"/>
      <c r="H88" s="147"/>
      <c r="I88" s="147"/>
      <c r="J88" s="147"/>
      <c r="K88" s="147"/>
      <c r="L88" s="147"/>
      <c r="M88" s="147"/>
      <c r="N88" s="147"/>
      <c r="O88" s="147"/>
      <c r="P88" s="147"/>
      <c r="Q88" s="147"/>
      <c r="R88" s="516">
        <f t="shared" si="22"/>
        <v>50000</v>
      </c>
      <c r="S88" s="148"/>
      <c r="T88" s="148"/>
      <c r="U88" s="143"/>
    </row>
    <row r="89" spans="1:21" s="144" customFormat="1">
      <c r="A89" s="145" t="s">
        <v>773</v>
      </c>
      <c r="B89" s="146">
        <f t="shared" si="21"/>
        <v>50000</v>
      </c>
      <c r="C89" s="147">
        <v>50000</v>
      </c>
      <c r="D89" s="147"/>
      <c r="E89" s="147">
        <f>C89</f>
        <v>50000</v>
      </c>
      <c r="F89" s="147"/>
      <c r="G89" s="147"/>
      <c r="H89" s="147"/>
      <c r="I89" s="147"/>
      <c r="J89" s="147"/>
      <c r="K89" s="147"/>
      <c r="L89" s="147"/>
      <c r="M89" s="147"/>
      <c r="N89" s="147"/>
      <c r="O89" s="147"/>
      <c r="P89" s="147"/>
      <c r="Q89" s="147"/>
      <c r="R89" s="516">
        <f t="shared" si="22"/>
        <v>50000</v>
      </c>
      <c r="S89" s="147"/>
      <c r="T89" s="147"/>
      <c r="U89" s="143"/>
    </row>
    <row r="90" spans="1:21" s="144" customFormat="1">
      <c r="A90" s="145" t="s">
        <v>774</v>
      </c>
      <c r="B90" s="146">
        <f t="shared" si="21"/>
        <v>10000</v>
      </c>
      <c r="C90" s="147">
        <v>10000</v>
      </c>
      <c r="D90" s="147"/>
      <c r="E90" s="147">
        <f>C90</f>
        <v>10000</v>
      </c>
      <c r="F90" s="147"/>
      <c r="G90" s="147"/>
      <c r="H90" s="147"/>
      <c r="I90" s="147"/>
      <c r="J90" s="147"/>
      <c r="K90" s="147"/>
      <c r="L90" s="147"/>
      <c r="M90" s="147"/>
      <c r="N90" s="147"/>
      <c r="O90" s="147"/>
      <c r="P90" s="147"/>
      <c r="Q90" s="147"/>
      <c r="R90" s="516">
        <f t="shared" si="22"/>
        <v>10000</v>
      </c>
      <c r="S90" s="147">
        <f>C90</f>
        <v>10000</v>
      </c>
      <c r="T90" s="147"/>
      <c r="U90" s="143"/>
    </row>
    <row r="91" spans="1:21" s="144" customFormat="1">
      <c r="A91" s="145" t="s">
        <v>372</v>
      </c>
      <c r="B91" s="146">
        <f t="shared" si="21"/>
        <v>50000</v>
      </c>
      <c r="C91" s="147">
        <v>50000</v>
      </c>
      <c r="D91" s="147"/>
      <c r="E91" s="147">
        <f>C91</f>
        <v>50000</v>
      </c>
      <c r="F91" s="147"/>
      <c r="G91" s="147"/>
      <c r="H91" s="147"/>
      <c r="I91" s="147"/>
      <c r="J91" s="147"/>
      <c r="K91" s="147"/>
      <c r="L91" s="147"/>
      <c r="M91" s="147"/>
      <c r="N91" s="147"/>
      <c r="O91" s="147"/>
      <c r="P91" s="147"/>
      <c r="Q91" s="147"/>
      <c r="R91" s="516">
        <f t="shared" si="22"/>
        <v>50000</v>
      </c>
      <c r="S91" s="147">
        <f>C91</f>
        <v>50000</v>
      </c>
      <c r="T91" s="147"/>
      <c r="U91" s="143"/>
    </row>
    <row r="92" spans="1:21" s="144" customFormat="1">
      <c r="A92" s="283" t="s">
        <v>1212</v>
      </c>
      <c r="B92" s="146">
        <f t="shared" si="21"/>
        <v>0</v>
      </c>
      <c r="C92" s="147"/>
      <c r="D92" s="147"/>
      <c r="E92" s="147"/>
      <c r="F92" s="147"/>
      <c r="G92" s="147"/>
      <c r="H92" s="147"/>
      <c r="I92" s="147"/>
      <c r="J92" s="147"/>
      <c r="K92" s="147"/>
      <c r="L92" s="147"/>
      <c r="M92" s="147"/>
      <c r="N92" s="147"/>
      <c r="O92" s="147"/>
      <c r="P92" s="147"/>
      <c r="Q92" s="147"/>
      <c r="R92" s="516">
        <f t="shared" si="22"/>
        <v>0</v>
      </c>
      <c r="S92" s="147"/>
      <c r="T92" s="147"/>
      <c r="U92" s="143"/>
    </row>
    <row r="93" spans="1:21" s="144" customFormat="1">
      <c r="A93" s="1149" t="s">
        <v>34</v>
      </c>
      <c r="B93" s="146">
        <f t="shared" si="21"/>
        <v>0</v>
      </c>
      <c r="C93" s="147"/>
      <c r="D93" s="147"/>
      <c r="E93" s="147"/>
      <c r="F93" s="147"/>
      <c r="G93" s="147"/>
      <c r="H93" s="147"/>
      <c r="I93" s="147"/>
      <c r="J93" s="147"/>
      <c r="K93" s="147"/>
      <c r="L93" s="147"/>
      <c r="M93" s="147"/>
      <c r="N93" s="147"/>
      <c r="O93" s="147"/>
      <c r="P93" s="147"/>
      <c r="Q93" s="147"/>
      <c r="R93" s="516">
        <f t="shared" si="22"/>
        <v>0</v>
      </c>
      <c r="S93" s="147"/>
      <c r="T93" s="147"/>
      <c r="U93" s="143"/>
    </row>
    <row r="94" spans="1:21" s="144" customFormat="1">
      <c r="A94" s="1149" t="s">
        <v>34</v>
      </c>
      <c r="B94" s="146">
        <f t="shared" si="21"/>
        <v>0</v>
      </c>
      <c r="C94" s="147"/>
      <c r="D94" s="147"/>
      <c r="E94" s="147"/>
      <c r="F94" s="147"/>
      <c r="G94" s="147"/>
      <c r="H94" s="147"/>
      <c r="I94" s="147"/>
      <c r="J94" s="147"/>
      <c r="K94" s="147"/>
      <c r="L94" s="147"/>
      <c r="M94" s="147"/>
      <c r="N94" s="147"/>
      <c r="O94" s="147"/>
      <c r="P94" s="147"/>
      <c r="Q94" s="147"/>
      <c r="R94" s="516">
        <f t="shared" si="22"/>
        <v>0</v>
      </c>
      <c r="S94" s="147"/>
      <c r="T94" s="147"/>
      <c r="U94" s="143"/>
    </row>
    <row r="95" spans="1:21" s="144" customFormat="1">
      <c r="A95" s="1149" t="s">
        <v>34</v>
      </c>
      <c r="B95" s="146">
        <f t="shared" si="21"/>
        <v>0</v>
      </c>
      <c r="C95" s="147"/>
      <c r="D95" s="147"/>
      <c r="E95" s="147"/>
      <c r="F95" s="147"/>
      <c r="G95" s="147"/>
      <c r="H95" s="147"/>
      <c r="I95" s="147"/>
      <c r="J95" s="147"/>
      <c r="K95" s="147"/>
      <c r="L95" s="147"/>
      <c r="M95" s="147"/>
      <c r="N95" s="147"/>
      <c r="O95" s="147"/>
      <c r="P95" s="147"/>
      <c r="Q95" s="147"/>
      <c r="R95" s="516">
        <f t="shared" si="22"/>
        <v>0</v>
      </c>
      <c r="S95" s="147"/>
      <c r="T95" s="147"/>
      <c r="U95" s="143"/>
    </row>
    <row r="96" spans="1:21" s="144" customFormat="1">
      <c r="A96" s="149" t="s">
        <v>775</v>
      </c>
      <c r="B96" s="146">
        <f>SUM(C96:D96)</f>
        <v>2274847</v>
      </c>
      <c r="C96" s="146">
        <f t="shared" ref="C96:R96" si="23">SUM(C83:C95)</f>
        <v>2274847</v>
      </c>
      <c r="D96" s="146">
        <f t="shared" si="23"/>
        <v>0</v>
      </c>
      <c r="E96" s="146">
        <f t="shared" si="23"/>
        <v>2274847</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2274847</v>
      </c>
      <c r="S96" s="150">
        <f>SUM(S84:S87,S89:S95)</f>
        <v>2060000</v>
      </c>
      <c r="T96" s="146">
        <f>SUM(T84:T87,T89:T95)</f>
        <v>0</v>
      </c>
      <c r="U96" s="143"/>
    </row>
    <row r="97" spans="1:21" s="144" customFormat="1">
      <c r="A97" s="149" t="s">
        <v>776</v>
      </c>
      <c r="B97" s="146">
        <f>SUM(C97:D97)</f>
        <v>46367579</v>
      </c>
      <c r="C97" s="146">
        <f t="shared" ref="C97:R97" si="24">SUM(C63+C70+C77+C81+C96)</f>
        <v>46367579</v>
      </c>
      <c r="D97" s="146">
        <f t="shared" si="24"/>
        <v>0</v>
      </c>
      <c r="E97" s="146">
        <f t="shared" si="24"/>
        <v>22869148</v>
      </c>
      <c r="F97" s="146">
        <f t="shared" si="24"/>
        <v>23498431</v>
      </c>
      <c r="G97" s="146">
        <f t="shared" si="24"/>
        <v>0</v>
      </c>
      <c r="H97" s="146">
        <f t="shared" si="24"/>
        <v>0</v>
      </c>
      <c r="I97" s="146">
        <f t="shared" si="24"/>
        <v>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46367579</v>
      </c>
      <c r="S97" s="146">
        <f>SUM(S63+S70+S81+S96)</f>
        <v>39852066</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7970413</v>
      </c>
      <c r="C99" s="979">
        <v>7970413</v>
      </c>
      <c r="D99" s="979"/>
      <c r="E99" s="979">
        <v>1357466</v>
      </c>
      <c r="F99" s="147"/>
      <c r="G99" s="147">
        <f>C99-E99</f>
        <v>6612947</v>
      </c>
      <c r="H99" s="147"/>
      <c r="I99" s="147"/>
      <c r="J99" s="147"/>
      <c r="K99" s="147"/>
      <c r="L99" s="147"/>
      <c r="M99" s="147"/>
      <c r="N99" s="147"/>
      <c r="O99" s="147"/>
      <c r="P99" s="147"/>
      <c r="Q99" s="147"/>
      <c r="R99" s="516">
        <f>SUM(E99:Q99)</f>
        <v>7970413</v>
      </c>
      <c r="S99" s="147">
        <f>C99</f>
        <v>7970413</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7970413</v>
      </c>
      <c r="C104" s="146">
        <f>SUM(C99:C103)</f>
        <v>7970413</v>
      </c>
      <c r="D104" s="146">
        <f t="shared" ref="D104:T104" si="25">SUM(D99:D103)</f>
        <v>0</v>
      </c>
      <c r="E104" s="146">
        <f t="shared" si="25"/>
        <v>1357466</v>
      </c>
      <c r="F104" s="146">
        <f t="shared" si="25"/>
        <v>0</v>
      </c>
      <c r="G104" s="146">
        <f t="shared" si="25"/>
        <v>6612947</v>
      </c>
      <c r="H104" s="146">
        <f t="shared" si="25"/>
        <v>0</v>
      </c>
      <c r="I104" s="146">
        <f t="shared" si="25"/>
        <v>0</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42">
        <f t="shared" si="25"/>
        <v>7970413</v>
      </c>
      <c r="S104" s="150">
        <f t="shared" si="25"/>
        <v>7970413</v>
      </c>
      <c r="T104" s="150">
        <f t="shared" si="25"/>
        <v>0</v>
      </c>
      <c r="U104" s="143"/>
    </row>
    <row r="105" spans="1:21" s="144" customFormat="1">
      <c r="A105" s="149" t="s">
        <v>781</v>
      </c>
      <c r="B105" s="150">
        <f>SUM(C105:D105)</f>
        <v>54337992</v>
      </c>
      <c r="C105" s="150">
        <f t="shared" ref="C105:R105" si="26">SUM(C97+C104)</f>
        <v>54337992</v>
      </c>
      <c r="D105" s="150">
        <f t="shared" si="26"/>
        <v>0</v>
      </c>
      <c r="E105" s="150">
        <f t="shared" si="26"/>
        <v>24226614</v>
      </c>
      <c r="F105" s="150">
        <f t="shared" si="26"/>
        <v>23498431</v>
      </c>
      <c r="G105" s="150">
        <f t="shared" si="26"/>
        <v>6612947</v>
      </c>
      <c r="H105" s="150">
        <f t="shared" si="26"/>
        <v>0</v>
      </c>
      <c r="I105" s="150">
        <f t="shared" si="26"/>
        <v>0</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42">
        <f t="shared" si="26"/>
        <v>54337992</v>
      </c>
      <c r="S105" s="150">
        <f>S97+S104</f>
        <v>47822479</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47822479</v>
      </c>
      <c r="T107" s="150">
        <f>T105+T106</f>
        <v>0</v>
      </c>
    </row>
    <row r="108" spans="1:21" s="189" customFormat="1">
      <c r="A108" s="162" t="s">
        <v>880</v>
      </c>
      <c r="B108" s="157"/>
      <c r="C108" s="157"/>
      <c r="D108" s="157"/>
      <c r="E108" s="301">
        <f>Application!AO640</f>
        <v>24226614</v>
      </c>
      <c r="F108" s="301">
        <f>Application!AO627</f>
        <v>23498431</v>
      </c>
      <c r="G108" s="301">
        <f>Application!AO628</f>
        <v>6612947</v>
      </c>
      <c r="H108" s="301">
        <f>Application!AO629</f>
        <v>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5" t="s">
        <v>991</v>
      </c>
      <c r="E122" s="1865"/>
      <c r="F122" s="1865"/>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7" t="s">
        <v>1225</v>
      </c>
      <c r="E123" s="1785"/>
      <c r="F123" s="1785"/>
      <c r="G123" s="1785"/>
      <c r="H123" s="1785"/>
      <c r="I123" s="1785"/>
      <c r="J123" s="1785"/>
      <c r="K123" s="1785"/>
      <c r="L123" s="1785"/>
      <c r="M123" s="1785"/>
      <c r="N123" s="1785"/>
      <c r="O123" s="1785"/>
      <c r="P123" s="1785"/>
      <c r="Q123" s="1785"/>
      <c r="R123" s="1785"/>
      <c r="S123" s="1785"/>
      <c r="T123" s="324"/>
      <c r="U123" s="326"/>
    </row>
    <row r="124" spans="1:21" ht="12.75">
      <c r="A124" s="117" t="s">
        <v>993</v>
      </c>
      <c r="B124" s="333"/>
      <c r="C124" s="117"/>
      <c r="D124" s="1785"/>
      <c r="E124" s="1785"/>
      <c r="F124" s="1785"/>
      <c r="G124" s="1785"/>
      <c r="H124" s="1785"/>
      <c r="I124" s="1785"/>
      <c r="J124" s="1785"/>
      <c r="K124" s="1785"/>
      <c r="L124" s="1785"/>
      <c r="M124" s="1785"/>
      <c r="N124" s="1785"/>
      <c r="O124" s="1785"/>
      <c r="P124" s="1785"/>
      <c r="Q124" s="1785"/>
      <c r="R124" s="1785"/>
      <c r="S124" s="1785"/>
      <c r="T124" s="324"/>
      <c r="U124" s="326"/>
    </row>
    <row r="125" spans="1:21" ht="12.75">
      <c r="A125" s="117" t="s">
        <v>994</v>
      </c>
      <c r="B125" s="333"/>
      <c r="C125" s="117"/>
      <c r="D125" s="1785"/>
      <c r="E125" s="1785"/>
      <c r="F125" s="1785"/>
      <c r="G125" s="1785"/>
      <c r="H125" s="1785"/>
      <c r="I125" s="1785"/>
      <c r="J125" s="1785"/>
      <c r="K125" s="1785"/>
      <c r="L125" s="1785"/>
      <c r="M125" s="1785"/>
      <c r="N125" s="1785"/>
      <c r="O125" s="1785"/>
      <c r="P125" s="1785"/>
      <c r="Q125" s="1785"/>
      <c r="R125" s="1785"/>
      <c r="S125" s="1785"/>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2"/>
      <c r="E128" s="1862"/>
      <c r="F128" s="1862"/>
      <c r="G128" s="1862"/>
      <c r="H128" s="1862"/>
      <c r="I128" s="117"/>
      <c r="J128" s="1863"/>
      <c r="K128" s="1863"/>
      <c r="L128" s="117"/>
      <c r="M128" s="117"/>
      <c r="N128" s="117"/>
      <c r="O128" s="117"/>
      <c r="P128" s="117"/>
      <c r="Q128" s="117"/>
      <c r="R128" s="117"/>
      <c r="S128" s="117"/>
      <c r="T128" s="324"/>
      <c r="U128" s="326"/>
    </row>
    <row r="129" spans="1:21" ht="12.75">
      <c r="A129" s="117" t="s">
        <v>300</v>
      </c>
      <c r="B129" s="333"/>
      <c r="C129" s="117"/>
      <c r="D129" s="1864" t="s">
        <v>998</v>
      </c>
      <c r="E129" s="1864"/>
      <c r="F129" s="1864"/>
      <c r="G129" s="1864"/>
      <c r="H129" s="1864"/>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5"/>
      <c r="E131" s="1815"/>
      <c r="F131" s="1815"/>
      <c r="G131" s="1815"/>
      <c r="H131" s="1815"/>
      <c r="I131" s="117"/>
      <c r="J131" s="1815"/>
      <c r="K131" s="1815"/>
      <c r="L131" s="1815"/>
      <c r="M131" s="1815"/>
      <c r="N131" s="117"/>
      <c r="O131" s="117"/>
      <c r="P131" s="117"/>
      <c r="Q131" s="117"/>
      <c r="R131" s="117"/>
      <c r="S131" s="117"/>
      <c r="T131" s="324"/>
      <c r="U131" s="326"/>
    </row>
    <row r="132" spans="1:21" ht="12" customHeight="1">
      <c r="A132" s="336"/>
      <c r="B132" s="117"/>
      <c r="C132" s="117"/>
      <c r="D132" s="1868" t="s">
        <v>1001</v>
      </c>
      <c r="E132" s="1868"/>
      <c r="F132" s="1868"/>
      <c r="G132" s="1868"/>
      <c r="H132" s="1868"/>
      <c r="I132" s="117"/>
      <c r="J132" s="1868" t="s">
        <v>1002</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62"/>
      <c r="C138" s="1862"/>
      <c r="D138" s="328"/>
      <c r="E138" s="1863"/>
      <c r="F138" s="1863"/>
      <c r="G138" s="117"/>
      <c r="H138" s="117"/>
      <c r="I138" s="117"/>
      <c r="J138" s="117"/>
      <c r="K138" s="117"/>
      <c r="L138" s="117"/>
      <c r="M138" s="117"/>
      <c r="N138" s="117"/>
      <c r="O138" s="117"/>
      <c r="P138" s="117"/>
      <c r="Q138" s="117"/>
      <c r="R138" s="117"/>
      <c r="S138" s="117"/>
      <c r="T138" s="330"/>
      <c r="U138" s="331"/>
    </row>
    <row r="139" spans="1:21" ht="12.75">
      <c r="A139" s="1866" t="s">
        <v>1005</v>
      </c>
      <c r="B139" s="1866"/>
      <c r="C139" s="1866"/>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2" t="s">
        <v>1228</v>
      </c>
      <c r="B1" s="1873"/>
      <c r="C1" s="1873"/>
      <c r="D1" s="1873"/>
      <c r="E1" s="1873"/>
      <c r="F1" s="1873"/>
      <c r="G1" s="1873"/>
      <c r="H1" s="1873"/>
      <c r="I1" s="1873"/>
      <c r="J1" s="1874"/>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3000000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3000000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3000000</v>
      </c>
      <c r="C12" s="361">
        <f>SUM(C8+C11)</f>
        <v>0</v>
      </c>
      <c r="D12" s="361">
        <f>SUM(D8+D11)</f>
        <v>0</v>
      </c>
      <c r="E12" s="363"/>
      <c r="F12" s="363"/>
      <c r="G12" s="363"/>
      <c r="H12" s="363"/>
      <c r="I12" s="363"/>
      <c r="J12" s="363"/>
      <c r="K12" s="359"/>
    </row>
    <row r="13" spans="1:11" s="360" customFormat="1">
      <c r="A13" s="366" t="s">
        <v>903</v>
      </c>
      <c r="B13" s="361">
        <f>'Sources and Uses Budget'!C13</f>
        <v>20000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22661420</v>
      </c>
      <c r="C30" s="362"/>
      <c r="D30" s="362"/>
      <c r="E30" s="361">
        <f>'Sources and Uses Budget'!S30</f>
        <v>21591570</v>
      </c>
      <c r="F30" s="362"/>
      <c r="G30" s="362"/>
      <c r="H30" s="361">
        <f>'Sources and Uses Budget'!T30</f>
        <v>0</v>
      </c>
      <c r="I30" s="362"/>
      <c r="J30" s="362"/>
      <c r="K30" s="359"/>
    </row>
    <row r="31" spans="1:11" s="360" customFormat="1">
      <c r="A31" s="145" t="s">
        <v>601</v>
      </c>
      <c r="B31" s="361">
        <f>'Sources and Uses Budget'!C31</f>
        <v>1056470</v>
      </c>
      <c r="C31" s="362"/>
      <c r="D31" s="362"/>
      <c r="E31" s="361">
        <f>'Sources and Uses Budget'!S31</f>
        <v>1056470</v>
      </c>
      <c r="F31" s="362"/>
      <c r="G31" s="362"/>
      <c r="H31" s="361">
        <f>'Sources and Uses Budget'!T31</f>
        <v>0</v>
      </c>
      <c r="I31" s="362"/>
      <c r="J31" s="362"/>
      <c r="K31" s="359"/>
    </row>
    <row r="32" spans="1:11" s="360" customFormat="1">
      <c r="A32" s="145" t="s">
        <v>137</v>
      </c>
      <c r="B32" s="361">
        <f>'Sources and Uses Budget'!C32</f>
        <v>1056470</v>
      </c>
      <c r="C32" s="362"/>
      <c r="D32" s="362"/>
      <c r="E32" s="361">
        <f>'Sources and Uses Budget'!S32</f>
        <v>1056470</v>
      </c>
      <c r="F32" s="362"/>
      <c r="G32" s="362"/>
      <c r="H32" s="361">
        <f>'Sources and Uses Budget'!T32</f>
        <v>0</v>
      </c>
      <c r="I32" s="362"/>
      <c r="J32" s="362"/>
      <c r="K32" s="359"/>
    </row>
    <row r="33" spans="1:11" s="360" customFormat="1">
      <c r="A33" s="145" t="s">
        <v>138</v>
      </c>
      <c r="B33" s="361">
        <f>'Sources and Uses Budget'!C33</f>
        <v>939085</v>
      </c>
      <c r="C33" s="362"/>
      <c r="D33" s="362"/>
      <c r="E33" s="361">
        <f>'Sources and Uses Budget'!S33</f>
        <v>939085</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234771</v>
      </c>
      <c r="C35" s="362"/>
      <c r="D35" s="362"/>
      <c r="E35" s="361">
        <f>'Sources and Uses Budget'!S35</f>
        <v>234771</v>
      </c>
      <c r="F35" s="362"/>
      <c r="G35" s="362"/>
      <c r="H35" s="361">
        <f>'Sources and Uses Budget'!T35</f>
        <v>0</v>
      </c>
      <c r="I35" s="362"/>
      <c r="J35" s="362"/>
      <c r="K35" s="359"/>
    </row>
    <row r="36" spans="1:11" s="360" customFormat="1">
      <c r="A36" s="508" t="s">
        <v>1641</v>
      </c>
      <c r="B36" s="361">
        <f>'Sources and Uses Budget'!C36</f>
        <v>225000</v>
      </c>
      <c r="C36" s="362"/>
      <c r="D36" s="362"/>
      <c r="E36" s="361">
        <f>'Sources and Uses Budget'!S36</f>
        <v>225000</v>
      </c>
      <c r="F36" s="362"/>
      <c r="G36" s="362"/>
      <c r="H36" s="361">
        <f>'Sources and Uses Budget'!T36</f>
        <v>0</v>
      </c>
      <c r="I36" s="362"/>
      <c r="J36" s="362"/>
      <c r="K36" s="359"/>
    </row>
    <row r="37" spans="1:11" s="360" customFormat="1">
      <c r="A37" s="364" t="str">
        <f>'Sources and Uses Budget'!$A37</f>
        <v>Other: (Utility Costs)</v>
      </c>
      <c r="B37" s="361">
        <f>'Sources and Uses Budget'!C37</f>
        <v>215700</v>
      </c>
      <c r="C37" s="362"/>
      <c r="D37" s="362"/>
      <c r="E37" s="361">
        <f>'Sources and Uses Budget'!S37</f>
        <v>215700</v>
      </c>
      <c r="F37" s="362"/>
      <c r="G37" s="362"/>
      <c r="H37" s="361">
        <f>'Sources and Uses Budget'!T37</f>
        <v>0</v>
      </c>
      <c r="I37" s="362"/>
      <c r="J37" s="362"/>
      <c r="K37" s="359"/>
    </row>
    <row r="38" spans="1:11" s="360" customFormat="1">
      <c r="A38" s="365" t="s">
        <v>143</v>
      </c>
      <c r="B38" s="361">
        <f>'Sources and Uses Budget'!C38</f>
        <v>26388916</v>
      </c>
      <c r="C38" s="361">
        <f>SUM(C29:C37)</f>
        <v>0</v>
      </c>
      <c r="D38" s="361">
        <f>SUM(D29:D37)</f>
        <v>0</v>
      </c>
      <c r="E38" s="361">
        <f>'Sources and Uses Budget'!S38</f>
        <v>25319066</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2650000</v>
      </c>
      <c r="C40" s="362"/>
      <c r="D40" s="362"/>
      <c r="E40" s="361">
        <f>'Sources and Uses Budget'!S40</f>
        <v>2650000</v>
      </c>
      <c r="F40" s="362"/>
      <c r="G40" s="362"/>
      <c r="H40" s="361">
        <f>'Sources and Uses Budget'!T40</f>
        <v>0</v>
      </c>
      <c r="I40" s="362"/>
      <c r="J40" s="362"/>
      <c r="K40" s="359"/>
    </row>
    <row r="41" spans="1:11" s="360" customFormat="1">
      <c r="A41" s="364" t="s">
        <v>146</v>
      </c>
      <c r="B41" s="361">
        <f>'Sources and Uses Budget'!C41</f>
        <v>1299605</v>
      </c>
      <c r="C41" s="362"/>
      <c r="D41" s="362"/>
      <c r="E41" s="361">
        <f>'Sources and Uses Budget'!S41</f>
        <v>1299605</v>
      </c>
      <c r="F41" s="362"/>
      <c r="G41" s="362"/>
      <c r="H41" s="361">
        <f>'Sources and Uses Budget'!T41</f>
        <v>0</v>
      </c>
      <c r="I41" s="362"/>
      <c r="J41" s="362"/>
      <c r="K41" s="359"/>
    </row>
    <row r="42" spans="1:11" s="360" customFormat="1">
      <c r="A42" s="365" t="s">
        <v>147</v>
      </c>
      <c r="B42" s="361">
        <f>'Sources and Uses Budget'!C42</f>
        <v>3949605</v>
      </c>
      <c r="C42" s="361">
        <f>SUM(C39:C41)</f>
        <v>0</v>
      </c>
      <c r="D42" s="361">
        <f>SUM(D39:D41)</f>
        <v>0</v>
      </c>
      <c r="E42" s="361">
        <f>'Sources and Uses Budget'!S42</f>
        <v>3949605</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150000</v>
      </c>
      <c r="C43" s="362"/>
      <c r="D43" s="362"/>
      <c r="E43" s="361">
        <f>'Sources and Uses Budget'!S43</f>
        <v>150000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4447239</v>
      </c>
      <c r="C45" s="362"/>
      <c r="D45" s="362"/>
      <c r="E45" s="361">
        <f>'Sources and Uses Budget'!S45</f>
        <v>3557791</v>
      </c>
      <c r="F45" s="362"/>
      <c r="G45" s="362"/>
      <c r="H45" s="361">
        <f>'Sources and Uses Budget'!T45</f>
        <v>0</v>
      </c>
      <c r="I45" s="362"/>
      <c r="J45" s="362"/>
      <c r="K45" s="359"/>
    </row>
    <row r="46" spans="1:11" s="360" customFormat="1">
      <c r="A46" s="364" t="s">
        <v>151</v>
      </c>
      <c r="B46" s="361">
        <f>'Sources and Uses Budget'!C46</f>
        <v>430051</v>
      </c>
      <c r="C46" s="362"/>
      <c r="D46" s="362"/>
      <c r="E46" s="361">
        <f>'Sources and Uses Budget'!S46</f>
        <v>430051</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648146</v>
      </c>
      <c r="C49" s="362"/>
      <c r="D49" s="362"/>
      <c r="E49" s="361">
        <f>'Sources and Uses Budget'!S49</f>
        <v>371054</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c r="A51" s="364" t="s">
        <v>154</v>
      </c>
      <c r="B51" s="361">
        <f>'Sources and Uses Budget'!C51</f>
        <v>131250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600000</v>
      </c>
      <c r="C52" s="362"/>
      <c r="D52" s="362"/>
      <c r="E52" s="361">
        <f>'Sources and Uses Budget'!S52</f>
        <v>600000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6356686</v>
      </c>
      <c r="C54" s="367">
        <f>SUM(C45:C53)</f>
        <v>0</v>
      </c>
      <c r="D54" s="367">
        <f>SUM(D45:D53)</f>
        <v>0</v>
      </c>
      <c r="E54" s="361">
        <f>'Sources and Uses Budget'!S54</f>
        <v>5058896</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234984</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339984</v>
      </c>
      <c r="C62" s="361">
        <f>SUM(C56:C61)</f>
        <v>0</v>
      </c>
      <c r="D62" s="361">
        <f>SUM(D56:D61)</f>
        <v>0</v>
      </c>
      <c r="E62" s="363"/>
      <c r="F62" s="363"/>
      <c r="G62" s="363"/>
      <c r="H62" s="363"/>
      <c r="I62" s="363"/>
      <c r="J62" s="363"/>
      <c r="K62" s="359"/>
    </row>
    <row r="63" spans="1:11" s="360" customFormat="1">
      <c r="A63" s="370" t="s">
        <v>302</v>
      </c>
      <c r="B63" s="361">
        <f>'Sources and Uses Budget'!C63</f>
        <v>40205191</v>
      </c>
      <c r="C63" s="361">
        <f>SUM(C8+C11+C13+C14+C15+C26+C27+C38+C42+C43+C54+C62)</f>
        <v>0</v>
      </c>
      <c r="D63" s="361">
        <f>SUM(D8+D11+D13+D14+D15+D26+D27+D38+D42+D43+D54+D62)</f>
        <v>0</v>
      </c>
      <c r="E63" s="361">
        <f>'Sources and Uses Budget'!S63</f>
        <v>34477567</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319600</v>
      </c>
      <c r="C65" s="362"/>
      <c r="D65" s="362"/>
      <c r="E65" s="361">
        <f>'Sources and Uses Budget'!S65</f>
        <v>319600</v>
      </c>
      <c r="F65" s="362"/>
      <c r="G65" s="362"/>
      <c r="H65" s="361">
        <f>'Sources and Uses Budget'!T65</f>
        <v>0</v>
      </c>
      <c r="I65" s="362"/>
      <c r="J65" s="362"/>
      <c r="K65" s="359"/>
    </row>
    <row r="66" spans="1:11" s="360" customFormat="1" ht="24">
      <c r="A66" s="283" t="s">
        <v>1642</v>
      </c>
      <c r="B66" s="361">
        <f>'Sources and Uses Budget'!C66</f>
        <v>500000</v>
      </c>
      <c r="C66" s="362"/>
      <c r="D66" s="362"/>
      <c r="E66" s="361">
        <f>'Sources and Uses Budget'!S66</f>
        <v>500000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819600</v>
      </c>
      <c r="C70" s="361">
        <f>SUM(C64:C69)</f>
        <v>0</v>
      </c>
      <c r="D70" s="361">
        <f>SUM(D64:D69)</f>
        <v>0</v>
      </c>
      <c r="E70" s="361">
        <f>'Sources and Uses Budget'!S70</f>
        <v>819600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573042</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573042</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1617750</v>
      </c>
      <c r="C79" s="362"/>
      <c r="D79" s="362"/>
      <c r="E79" s="361">
        <f>'Sources and Uses Budget'!S79</f>
        <v>1617750</v>
      </c>
      <c r="F79" s="362"/>
      <c r="G79" s="362"/>
      <c r="H79" s="361">
        <f>'Sources and Uses Budget'!T79</f>
        <v>0</v>
      </c>
      <c r="I79" s="362"/>
      <c r="J79" s="362"/>
      <c r="K79" s="359"/>
    </row>
    <row r="80" spans="1:11" s="360" customFormat="1">
      <c r="A80" s="364" t="s">
        <v>58</v>
      </c>
      <c r="B80" s="361">
        <f>'Sources and Uses Budget'!C80</f>
        <v>877149</v>
      </c>
      <c r="C80" s="362"/>
      <c r="D80" s="362"/>
      <c r="E80" s="361">
        <f>'Sources and Uses Budget'!S80</f>
        <v>877149</v>
      </c>
      <c r="F80" s="362"/>
      <c r="G80" s="362"/>
      <c r="H80" s="361">
        <f>'Sources and Uses Budget'!T80</f>
        <v>0</v>
      </c>
      <c r="I80" s="362"/>
      <c r="J80" s="362"/>
      <c r="K80" s="359"/>
    </row>
    <row r="81" spans="1:11" s="360" customFormat="1">
      <c r="A81" s="365" t="s">
        <v>1210</v>
      </c>
      <c r="B81" s="361">
        <f>'Sources and Uses Budget'!C81</f>
        <v>2494899</v>
      </c>
      <c r="C81" s="361">
        <f>SUM(C79:C80)</f>
        <v>0</v>
      </c>
      <c r="D81" s="361">
        <f>SUM(D79:D80)</f>
        <v>0</v>
      </c>
      <c r="E81" s="361">
        <f>'Sources and Uses Budget'!S81</f>
        <v>2494899</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114847</v>
      </c>
      <c r="C83" s="362"/>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2000000</v>
      </c>
      <c r="C86" s="362"/>
      <c r="D86" s="362"/>
      <c r="E86" s="361">
        <f>'Sources and Uses Budget'!S86</f>
        <v>2000000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50000</v>
      </c>
      <c r="C88" s="362"/>
      <c r="D88" s="362"/>
      <c r="E88" s="363"/>
      <c r="F88" s="363"/>
      <c r="G88" s="363"/>
      <c r="H88" s="363"/>
      <c r="I88" s="363"/>
      <c r="J88" s="363"/>
      <c r="K88" s="359"/>
    </row>
    <row r="89" spans="1:11" s="360" customFormat="1">
      <c r="A89" s="145" t="s">
        <v>773</v>
      </c>
      <c r="B89" s="361">
        <f>'Sources and Uses Budget'!C89</f>
        <v>50000</v>
      </c>
      <c r="C89" s="362"/>
      <c r="D89" s="362"/>
      <c r="E89" s="361">
        <f>'Sources and Uses Budget'!S89</f>
        <v>0</v>
      </c>
      <c r="F89" s="362"/>
      <c r="G89" s="362"/>
      <c r="H89" s="361">
        <f>'Sources and Uses Budget'!T89</f>
        <v>0</v>
      </c>
      <c r="I89" s="362"/>
      <c r="J89" s="362"/>
      <c r="K89" s="359"/>
    </row>
    <row r="90" spans="1:11" s="360" customFormat="1">
      <c r="A90" s="145" t="s">
        <v>774</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50000</v>
      </c>
      <c r="C91" s="362"/>
      <c r="D91" s="362"/>
      <c r="E91" s="361">
        <f>'Sources and Uses Budget'!S91</f>
        <v>50000</v>
      </c>
      <c r="F91" s="362"/>
      <c r="G91" s="362"/>
      <c r="H91" s="361">
        <f>'Sources and Uses Budget'!T91</f>
        <v>0</v>
      </c>
      <c r="I91" s="362"/>
      <c r="J91" s="362"/>
      <c r="K91" s="359"/>
    </row>
    <row r="92" spans="1:11" s="360" customFormat="1">
      <c r="A92" s="508" t="s">
        <v>1212</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2274847</v>
      </c>
      <c r="C96" s="361">
        <f>SUM(C83:C95)</f>
        <v>0</v>
      </c>
      <c r="D96" s="361">
        <f>SUM(D83:D95)</f>
        <v>0</v>
      </c>
      <c r="E96" s="361">
        <f>'Sources and Uses Budget'!S96</f>
        <v>2060000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46367579</v>
      </c>
      <c r="C97" s="361">
        <f>SUM(C63+C70+C77+C81+C96)</f>
        <v>0</v>
      </c>
      <c r="D97" s="361">
        <f>SUM(D63+D70+D77+D81+D96)</f>
        <v>0</v>
      </c>
      <c r="E97" s="361">
        <f>'Sources and Uses Budget'!S97</f>
        <v>39852066</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7970413</v>
      </c>
      <c r="C99" s="362"/>
      <c r="D99" s="362"/>
      <c r="E99" s="361">
        <f>'Sources and Uses Budget'!S99</f>
        <v>7970413</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7970413</v>
      </c>
      <c r="C104" s="361">
        <f>SUM(C99:C103)</f>
        <v>0</v>
      </c>
      <c r="D104" s="361">
        <f>SUM(D99:D103)</f>
        <v>0</v>
      </c>
      <c r="E104" s="361">
        <f>'Sources and Uses Budget'!S104</f>
        <v>7970413</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54337992</v>
      </c>
      <c r="C105" s="367">
        <f>SUM(C97+C104)</f>
        <v>0</v>
      </c>
      <c r="D105" s="367">
        <f>SUM(D97+D104)</f>
        <v>0</v>
      </c>
      <c r="E105" s="361">
        <f>'Sources and Uses Budget'!S105</f>
        <v>47822479</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47822479</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0"/>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1"/>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0" t="s">
        <v>2457</v>
      </c>
      <c r="B1" s="2321"/>
      <c r="C1" s="2321"/>
      <c r="D1" s="2321"/>
      <c r="E1" s="2321"/>
      <c r="F1" s="2321"/>
      <c r="G1" s="2321"/>
      <c r="H1" s="2321"/>
      <c r="I1" s="2321"/>
      <c r="J1" s="2321"/>
      <c r="K1" s="2321"/>
      <c r="L1" s="2321"/>
      <c r="M1" s="2321"/>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c r="AL1" s="2321"/>
      <c r="AM1" s="2321"/>
      <c r="AN1" s="2321"/>
      <c r="AO1" s="2321"/>
      <c r="AP1" s="2321"/>
      <c r="AQ1" s="2321"/>
      <c r="AR1" s="2321"/>
      <c r="AS1" s="2321"/>
      <c r="AT1" s="2321"/>
      <c r="AU1" s="2321"/>
      <c r="AV1" s="2321"/>
      <c r="AW1" s="2321"/>
      <c r="AX1" s="2321"/>
      <c r="AY1" s="2321"/>
      <c r="AZ1" s="2321"/>
      <c r="BA1" s="2321"/>
      <c r="BB1" s="2321"/>
      <c r="BC1" s="2321"/>
      <c r="BD1" s="2321"/>
      <c r="BE1" s="2322"/>
    </row>
    <row r="2" spans="1:65" ht="15.75" customHeight="1">
      <c r="A2" s="2323" t="s">
        <v>2456</v>
      </c>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5"/>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2" t="str">
        <f>IF(Application!H18="","",Application!H18)</f>
        <v>Silver Lake Flats</v>
      </c>
      <c r="M4" s="2313"/>
      <c r="N4" s="2313"/>
      <c r="O4" s="2313"/>
      <c r="P4" s="2313"/>
      <c r="Q4" s="2313"/>
      <c r="R4" s="2313"/>
      <c r="S4" s="2313"/>
      <c r="T4" s="2313"/>
      <c r="U4" s="2313"/>
      <c r="V4" s="2313"/>
      <c r="W4" s="2313"/>
      <c r="X4" s="2313"/>
      <c r="Y4" s="2313"/>
      <c r="Z4" s="2313"/>
      <c r="AA4" s="2313"/>
      <c r="AB4" s="2313"/>
      <c r="AC4" s="2314"/>
      <c r="AD4" s="1190"/>
      <c r="AE4" s="1190"/>
      <c r="AF4" s="2308" t="s">
        <v>2455</v>
      </c>
      <c r="AG4" s="2308"/>
      <c r="AH4" s="2308"/>
      <c r="AI4" s="2308"/>
      <c r="AJ4" s="2308"/>
      <c r="AK4" s="2308"/>
      <c r="AL4" s="2308"/>
      <c r="AM4" s="2308"/>
      <c r="AN4" s="2308"/>
      <c r="AO4" s="2308"/>
      <c r="AP4" s="2309"/>
      <c r="AQ4" s="2310"/>
      <c r="AR4" s="2310"/>
      <c r="AS4" s="2310"/>
      <c r="AT4" s="2310"/>
      <c r="AU4" s="231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8" t="s">
        <v>2454</v>
      </c>
      <c r="AG5" s="2308"/>
      <c r="AH5" s="2308"/>
      <c r="AI5" s="2308"/>
      <c r="AJ5" s="2308"/>
      <c r="AK5" s="2308"/>
      <c r="AL5" s="2308"/>
      <c r="AM5" s="2308"/>
      <c r="AN5" s="2308"/>
      <c r="AO5" s="2308"/>
      <c r="AP5" s="2309"/>
      <c r="AQ5" s="2310"/>
      <c r="AR5" s="2310"/>
      <c r="AS5" s="2310"/>
      <c r="AT5" s="2310"/>
      <c r="AU5" s="2310"/>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12" t="str">
        <f>IF(Application!H16="","",Application!H16)</f>
        <v>Kingdom Development, Inc.</v>
      </c>
      <c r="M6" s="2313"/>
      <c r="N6" s="2313"/>
      <c r="O6" s="2313"/>
      <c r="P6" s="2313"/>
      <c r="Q6" s="2313"/>
      <c r="R6" s="2313"/>
      <c r="S6" s="2313"/>
      <c r="T6" s="2313"/>
      <c r="U6" s="2313"/>
      <c r="V6" s="2313"/>
      <c r="W6" s="2313"/>
      <c r="X6" s="2313"/>
      <c r="Y6" s="2313"/>
      <c r="Z6" s="2313"/>
      <c r="AA6" s="2313"/>
      <c r="AB6" s="2313"/>
      <c r="AC6" s="2314"/>
      <c r="AD6" s="1190"/>
      <c r="AE6" s="1190"/>
      <c r="AF6" s="2315" t="s">
        <v>2452</v>
      </c>
      <c r="AG6" s="2315"/>
      <c r="AH6" s="2315"/>
      <c r="AI6" s="2315"/>
      <c r="AJ6" s="2315"/>
      <c r="AK6" s="2315"/>
      <c r="AL6" s="2315"/>
      <c r="AM6" s="2315"/>
      <c r="AN6" s="2315"/>
      <c r="AO6" s="2315"/>
      <c r="AP6" s="2316"/>
      <c r="AQ6" s="2316"/>
      <c r="AR6" s="2316"/>
      <c r="AS6" s="2316"/>
      <c r="AT6" s="2316"/>
      <c r="AU6" s="2316"/>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5" t="s">
        <v>2451</v>
      </c>
      <c r="AG7" s="2315"/>
      <c r="AH7" s="2315"/>
      <c r="AI7" s="2315"/>
      <c r="AJ7" s="2315"/>
      <c r="AK7" s="2315"/>
      <c r="AL7" s="2315"/>
      <c r="AM7" s="2315"/>
      <c r="AN7" s="2315"/>
      <c r="AO7" s="2315"/>
      <c r="AP7" s="2316"/>
      <c r="AQ7" s="2316"/>
      <c r="AR7" s="2316"/>
      <c r="AS7" s="2316"/>
      <c r="AT7" s="2316"/>
      <c r="AU7" s="2316"/>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7" t="str">
        <f>Application!T197</f>
        <v>No</v>
      </c>
      <c r="AC8" s="2318"/>
      <c r="AD8" s="2319"/>
      <c r="AE8" s="1190"/>
      <c r="AF8" s="2315" t="s">
        <v>2449</v>
      </c>
      <c r="AG8" s="2315"/>
      <c r="AH8" s="2315"/>
      <c r="AI8" s="2315"/>
      <c r="AJ8" s="2315"/>
      <c r="AK8" s="2315"/>
      <c r="AL8" s="2315"/>
      <c r="AM8" s="2315"/>
      <c r="AN8" s="2315"/>
      <c r="AO8" s="2315"/>
      <c r="AP8" s="2316" t="s">
        <v>2099</v>
      </c>
      <c r="AQ8" s="2316"/>
      <c r="AR8" s="2316"/>
      <c r="AS8" s="2316"/>
      <c r="AT8" s="2316"/>
      <c r="AU8" s="2316"/>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8" t="s">
        <v>2448</v>
      </c>
      <c r="AG9" s="2308"/>
      <c r="AH9" s="2308"/>
      <c r="AI9" s="2308"/>
      <c r="AJ9" s="2308"/>
      <c r="AK9" s="2308"/>
      <c r="AL9" s="2308"/>
      <c r="AM9" s="2308"/>
      <c r="AN9" s="2308"/>
      <c r="AO9" s="2308"/>
      <c r="AP9" s="2309"/>
      <c r="AQ9" s="2310"/>
      <c r="AR9" s="2310"/>
      <c r="AS9" s="2310"/>
      <c r="AT9" s="2310"/>
      <c r="AU9" s="2310"/>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2311">
        <f>Application!AO627</f>
        <v>23498431</v>
      </c>
      <c r="O10" s="2311"/>
      <c r="P10" s="2311"/>
      <c r="Q10" s="2311"/>
      <c r="R10" s="2311"/>
      <c r="S10" s="2311"/>
      <c r="T10" s="2311"/>
      <c r="U10" s="1190"/>
      <c r="V10" s="1190"/>
      <c r="W10" s="1190"/>
      <c r="X10" s="1193"/>
      <c r="Y10" s="1193"/>
      <c r="Z10" s="1193"/>
      <c r="AA10" s="1193"/>
      <c r="AB10" s="1193"/>
      <c r="AC10" s="1193"/>
      <c r="AD10" s="1193"/>
      <c r="AE10" s="1193"/>
      <c r="AF10" s="2308" t="s">
        <v>2445</v>
      </c>
      <c r="AG10" s="2308"/>
      <c r="AH10" s="2308"/>
      <c r="AI10" s="2308"/>
      <c r="AJ10" s="2308"/>
      <c r="AK10" s="2308"/>
      <c r="AL10" s="2308"/>
      <c r="AM10" s="2308"/>
      <c r="AN10" s="2308"/>
      <c r="AO10" s="2308"/>
      <c r="AP10" s="2309"/>
      <c r="AQ10" s="2310"/>
      <c r="AR10" s="2310"/>
      <c r="AS10" s="2310"/>
      <c r="AT10" s="2310"/>
      <c r="AU10" s="2310"/>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2311">
        <f>Application!AA934</f>
        <v>0</v>
      </c>
      <c r="O11" s="2311"/>
      <c r="P11" s="2311"/>
      <c r="Q11" s="2311"/>
      <c r="R11" s="2311"/>
      <c r="S11" s="2311"/>
      <c r="T11" s="2311"/>
      <c r="U11" s="1190"/>
      <c r="V11" s="1190"/>
      <c r="W11" s="1190"/>
      <c r="X11" s="1193"/>
      <c r="Y11" s="1193"/>
      <c r="Z11" s="1193"/>
      <c r="AA11" s="1193"/>
      <c r="AB11" s="1193"/>
      <c r="AC11" s="1193"/>
      <c r="AD11" s="1193"/>
      <c r="AE11" s="1193"/>
      <c r="AF11" s="2308" t="s">
        <v>2442</v>
      </c>
      <c r="AG11" s="2308"/>
      <c r="AH11" s="2308"/>
      <c r="AI11" s="2308"/>
      <c r="AJ11" s="2308"/>
      <c r="AK11" s="2308"/>
      <c r="AL11" s="2308"/>
      <c r="AM11" s="2308"/>
      <c r="AN11" s="2308"/>
      <c r="AO11" s="2308"/>
      <c r="AP11" s="2309"/>
      <c r="AQ11" s="2310"/>
      <c r="AR11" s="2310"/>
      <c r="AS11" s="2310"/>
      <c r="AT11" s="2310"/>
      <c r="AU11" s="2310"/>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2299" t="s">
        <v>2440</v>
      </c>
      <c r="C13" s="2300"/>
      <c r="D13" s="2300"/>
      <c r="E13" s="2300"/>
      <c r="F13" s="2300"/>
      <c r="G13" s="2300"/>
      <c r="H13" s="2300"/>
      <c r="I13" s="2300"/>
      <c r="J13" s="2300"/>
      <c r="K13" s="2300"/>
      <c r="L13" s="2300"/>
      <c r="M13" s="2300"/>
      <c r="N13" s="2300"/>
      <c r="O13" s="2300"/>
      <c r="P13" s="2301"/>
      <c r="Q13" s="2302" t="s">
        <v>670</v>
      </c>
      <c r="R13" s="2303"/>
      <c r="S13" s="2303"/>
      <c r="T13" s="2304"/>
      <c r="U13" s="1193"/>
      <c r="V13" s="1190"/>
      <c r="W13" s="1190"/>
      <c r="X13" s="1190"/>
      <c r="Y13" s="1190"/>
      <c r="Z13" s="1190"/>
      <c r="AA13" s="2289" t="s">
        <v>2439</v>
      </c>
      <c r="AB13" s="2289"/>
      <c r="AC13" s="2289"/>
      <c r="AD13" s="2289"/>
      <c r="AE13" s="2289"/>
      <c r="AF13" s="2289"/>
      <c r="AG13" s="2289"/>
      <c r="AH13" s="2289"/>
      <c r="AI13" s="2289"/>
      <c r="AJ13" s="2289"/>
      <c r="AK13" s="2289"/>
      <c r="AL13" s="2289"/>
      <c r="AM13" s="2289"/>
      <c r="AN13" s="2289"/>
      <c r="AO13" s="2305">
        <f>Application!W473</f>
        <v>27</v>
      </c>
      <c r="AP13" s="2306"/>
      <c r="AQ13" s="2306"/>
      <c r="AR13" s="2306"/>
      <c r="AS13" s="2306"/>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7" t="s">
        <v>2437</v>
      </c>
      <c r="AB14" s="2307"/>
      <c r="AC14" s="2307"/>
      <c r="AD14" s="2307"/>
      <c r="AE14" s="2307"/>
      <c r="AF14" s="2307"/>
      <c r="AG14" s="2307"/>
      <c r="AH14" s="2307"/>
      <c r="AI14" s="2307"/>
      <c r="AJ14" s="2307"/>
      <c r="AK14" s="2307"/>
      <c r="AL14" s="2307"/>
      <c r="AM14" s="2307"/>
      <c r="AN14" s="2307"/>
      <c r="AO14" s="2290"/>
      <c r="AP14" s="2291"/>
      <c r="AQ14" s="2291"/>
      <c r="AR14" s="2291"/>
      <c r="AS14" s="2291"/>
      <c r="AT14" s="1193"/>
      <c r="AU14" s="1193"/>
      <c r="AV14" s="1193"/>
      <c r="AW14" s="1193"/>
      <c r="AX14" s="1193"/>
      <c r="AY14" s="1193"/>
      <c r="AZ14" s="1193"/>
      <c r="BA14" s="1193"/>
      <c r="BB14" s="1193"/>
      <c r="BC14" s="1193"/>
      <c r="BD14" s="1193"/>
      <c r="BE14" s="1194"/>
    </row>
    <row r="15" spans="1:65" thickBot="1">
      <c r="A15" s="1190"/>
      <c r="B15" s="2284" t="s">
        <v>2436</v>
      </c>
      <c r="C15" s="2285"/>
      <c r="D15" s="2285"/>
      <c r="E15" s="2285"/>
      <c r="F15" s="2285"/>
      <c r="G15" s="2285"/>
      <c r="H15" s="2285"/>
      <c r="I15" s="2285"/>
      <c r="J15" s="2285"/>
      <c r="K15" s="2285"/>
      <c r="L15" s="2285"/>
      <c r="M15" s="2285"/>
      <c r="N15" s="2285"/>
      <c r="O15" s="2285"/>
      <c r="P15" s="2285"/>
      <c r="Q15" s="2285"/>
      <c r="R15" s="2286"/>
      <c r="S15" s="2287" t="str">
        <f>IF(Application!AB214="","",Application!AB214)</f>
        <v/>
      </c>
      <c r="T15" s="2287"/>
      <c r="U15" s="2287"/>
      <c r="V15" s="2287"/>
      <c r="W15" s="2288"/>
      <c r="X15" s="1193"/>
      <c r="Y15" s="1190"/>
      <c r="Z15" s="1190"/>
      <c r="AA15" s="2289" t="s">
        <v>2435</v>
      </c>
      <c r="AB15" s="2289"/>
      <c r="AC15" s="2289"/>
      <c r="AD15" s="2289"/>
      <c r="AE15" s="2289"/>
      <c r="AF15" s="2289"/>
      <c r="AG15" s="2289"/>
      <c r="AH15" s="2289"/>
      <c r="AI15" s="2289"/>
      <c r="AJ15" s="2289"/>
      <c r="AK15" s="2289"/>
      <c r="AL15" s="2289"/>
      <c r="AM15" s="2289"/>
      <c r="AN15" s="2289"/>
      <c r="AO15" s="2290"/>
      <c r="AP15" s="2291"/>
      <c r="AQ15" s="2291"/>
      <c r="AR15" s="2291"/>
      <c r="AS15" s="2291"/>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7" t="s">
        <v>2434</v>
      </c>
      <c r="C17" s="2098"/>
      <c r="D17" s="2098"/>
      <c r="E17" s="2098"/>
      <c r="F17" s="2098"/>
      <c r="G17" s="2098"/>
      <c r="H17" s="2098"/>
      <c r="I17" s="2098"/>
      <c r="J17" s="2098"/>
      <c r="K17" s="2098"/>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c r="AS17" s="2098"/>
      <c r="AT17" s="2098"/>
      <c r="AU17" s="2098"/>
      <c r="AV17" s="2098"/>
      <c r="AW17" s="2098"/>
      <c r="AX17" s="2098"/>
      <c r="AY17" s="2099"/>
      <c r="AZ17" s="1190"/>
      <c r="BA17" s="1190"/>
      <c r="BB17" s="1190"/>
      <c r="BC17" s="1190"/>
      <c r="BD17" s="1190"/>
      <c r="BE17" s="1194"/>
      <c r="BF17" s="1188"/>
    </row>
    <row r="18" spans="1:58" ht="15.75" customHeight="1">
      <c r="A18" s="1190"/>
      <c r="B18" s="2292" t="s">
        <v>2433</v>
      </c>
      <c r="C18" s="2293"/>
      <c r="D18" s="2293"/>
      <c r="E18" s="2293"/>
      <c r="F18" s="2293"/>
      <c r="G18" s="2293"/>
      <c r="H18" s="2293"/>
      <c r="I18" s="2294"/>
      <c r="J18" s="2295" t="s">
        <v>1587</v>
      </c>
      <c r="K18" s="2296"/>
      <c r="L18" s="2296"/>
      <c r="M18" s="2296"/>
      <c r="N18" s="2296"/>
      <c r="O18" s="2297"/>
      <c r="P18" s="2295" t="s">
        <v>324</v>
      </c>
      <c r="Q18" s="2296"/>
      <c r="R18" s="2296"/>
      <c r="S18" s="2296"/>
      <c r="T18" s="2296"/>
      <c r="U18" s="2297"/>
      <c r="V18" s="2295" t="s">
        <v>325</v>
      </c>
      <c r="W18" s="2296"/>
      <c r="X18" s="2296"/>
      <c r="Y18" s="2296"/>
      <c r="Z18" s="2296"/>
      <c r="AA18" s="2297"/>
      <c r="AB18" s="2295" t="s">
        <v>163</v>
      </c>
      <c r="AC18" s="2296"/>
      <c r="AD18" s="2296"/>
      <c r="AE18" s="2296"/>
      <c r="AF18" s="2296"/>
      <c r="AG18" s="2297"/>
      <c r="AH18" s="2295" t="s">
        <v>164</v>
      </c>
      <c r="AI18" s="2296"/>
      <c r="AJ18" s="2296"/>
      <c r="AK18" s="2296"/>
      <c r="AL18" s="2296"/>
      <c r="AM18" s="2297"/>
      <c r="AN18" s="2295" t="s">
        <v>165</v>
      </c>
      <c r="AO18" s="2296"/>
      <c r="AP18" s="2296"/>
      <c r="AQ18" s="2296"/>
      <c r="AR18" s="2296"/>
      <c r="AS18" s="2297"/>
      <c r="AT18" s="2295" t="s">
        <v>2432</v>
      </c>
      <c r="AU18" s="2296"/>
      <c r="AV18" s="2296"/>
      <c r="AW18" s="2296"/>
      <c r="AX18" s="2296"/>
      <c r="AY18" s="2298"/>
      <c r="AZ18" s="1190"/>
      <c r="BA18" s="1190"/>
      <c r="BB18" s="1190"/>
      <c r="BC18" s="1190"/>
      <c r="BD18" s="1190"/>
      <c r="BE18" s="1194"/>
    </row>
    <row r="19" spans="1:58" ht="15">
      <c r="A19" s="1190"/>
      <c r="B19" s="2278">
        <v>0.3</v>
      </c>
      <c r="C19" s="2279"/>
      <c r="D19" s="2279"/>
      <c r="E19" s="2279"/>
      <c r="F19" s="2279"/>
      <c r="G19" s="2279"/>
      <c r="H19" s="2279"/>
      <c r="I19" s="2280"/>
      <c r="J19" s="2281">
        <f t="shared" ref="J19:J24" si="0">SUM(P19:AS19)</f>
        <v>38</v>
      </c>
      <c r="K19" s="2282"/>
      <c r="L19" s="2282"/>
      <c r="M19" s="2282"/>
      <c r="N19" s="2282"/>
      <c r="O19" s="2283"/>
      <c r="P19" s="2281" cm="1">
        <f t="array" ref="P19">SUMPRODUCT((Application!$B$718:$B$752 = 'CalHFA Addendum'!P$18)*(Application!$AC$718:$AC$752 = 'CalHFA Addendum'!$B19),Application!$G$718:$G$752)</f>
        <v>0</v>
      </c>
      <c r="Q19" s="2282"/>
      <c r="R19" s="2282"/>
      <c r="S19" s="2282"/>
      <c r="T19" s="2282"/>
      <c r="U19" s="2283"/>
      <c r="V19" s="2281" cm="1">
        <f t="array" ref="V19">SUMPRODUCT((Application!$B$714:$B$738 = 'CalHFA Addendum'!V$18)*(Application!$AC$714:$AC$738 = 'CalHFA Addendum'!$B19),Application!$G$714:$G$738)</f>
        <v>32</v>
      </c>
      <c r="W19" s="2282"/>
      <c r="X19" s="2282"/>
      <c r="Y19" s="2282"/>
      <c r="Z19" s="2282"/>
      <c r="AA19" s="2283"/>
      <c r="AB19" s="2281" cm="1">
        <f t="array" ref="AB19">SUMPRODUCT((Application!$B$714:$B$738 = 'CalHFA Addendum'!AB$18)*(Application!$AC$714:$AC$738 = 'CalHFA Addendum'!$B19),Application!$G$714:$G$738)</f>
        <v>3</v>
      </c>
      <c r="AC19" s="2282"/>
      <c r="AD19" s="2282"/>
      <c r="AE19" s="2282"/>
      <c r="AF19" s="2282"/>
      <c r="AG19" s="2283"/>
      <c r="AH19" s="2281" cm="1">
        <f t="array" ref="AH19">SUMPRODUCT((Application!$B$714:$B$738 = 'CalHFA Addendum'!AH$18)*(Application!$AC$714:$AC$738 = 'CalHFA Addendum'!$B19),Application!$G$714:$G$738)</f>
        <v>3</v>
      </c>
      <c r="AI19" s="2282"/>
      <c r="AJ19" s="2282"/>
      <c r="AK19" s="2282"/>
      <c r="AL19" s="2282"/>
      <c r="AM19" s="2283"/>
      <c r="AN19" s="2281" cm="1">
        <f t="array" ref="AN19">SUMPRODUCT((Application!$B$714:$B$738 = 'CalHFA Addendum'!AN$18)*(Application!$AC$714:$AC$738 = 'CalHFA Addendum'!$B19),Application!$G$714:$G$738)</f>
        <v>0</v>
      </c>
      <c r="AO19" s="2282"/>
      <c r="AP19" s="2282"/>
      <c r="AQ19" s="2282"/>
      <c r="AR19" s="2282"/>
      <c r="AS19" s="2283"/>
      <c r="AT19" s="2266">
        <f t="shared" ref="AT19:AT29" si="1">J19/$J$29</f>
        <v>0.3619047619047619</v>
      </c>
      <c r="AU19" s="2267"/>
      <c r="AV19" s="2267"/>
      <c r="AW19" s="2267"/>
      <c r="AX19" s="2267"/>
      <c r="AY19" s="2268"/>
      <c r="AZ19" s="1195"/>
      <c r="BA19" s="1190"/>
      <c r="BB19" s="1190"/>
      <c r="BC19" s="1190"/>
      <c r="BD19" s="1190"/>
      <c r="BE19" s="1194"/>
    </row>
    <row r="20" spans="1:58" ht="15" customHeight="1">
      <c r="A20" s="1190"/>
      <c r="B20" s="2278">
        <v>0.4</v>
      </c>
      <c r="C20" s="2279"/>
      <c r="D20" s="2279"/>
      <c r="E20" s="2279"/>
      <c r="F20" s="2279"/>
      <c r="G20" s="2279"/>
      <c r="H20" s="2279"/>
      <c r="I20" s="2280"/>
      <c r="J20" s="2281">
        <f t="shared" si="0"/>
        <v>0</v>
      </c>
      <c r="K20" s="2282"/>
      <c r="L20" s="2282"/>
      <c r="M20" s="2282"/>
      <c r="N20" s="2282"/>
      <c r="O20" s="2283"/>
      <c r="P20" s="2281" cm="1">
        <f t="array" ref="P20">SUMPRODUCT((Application!$B$718:$B$752 = 'CalHFA Addendum'!P$18)*(Application!$AC$718:$AC$752 = 'CalHFA Addendum'!$B20),Application!$G$718:$G$752)</f>
        <v>0</v>
      </c>
      <c r="Q20" s="2282"/>
      <c r="R20" s="2282"/>
      <c r="S20" s="2282"/>
      <c r="T20" s="2282"/>
      <c r="U20" s="2283"/>
      <c r="V20" s="2281" cm="1">
        <f t="array" ref="V20">SUMPRODUCT((Application!$B$714:$B$738 = 'CalHFA Addendum'!V$18)*(Application!$AC$714:$AC$738 = 'CalHFA Addendum'!$B20),Application!$G$714:$G$738)</f>
        <v>0</v>
      </c>
      <c r="W20" s="2282"/>
      <c r="X20" s="2282"/>
      <c r="Y20" s="2282"/>
      <c r="Z20" s="2282"/>
      <c r="AA20" s="2283"/>
      <c r="AB20" s="2281" cm="1">
        <f t="array" ref="AB20">SUMPRODUCT((Application!$B$714:$B$738 = 'CalHFA Addendum'!AB$18)*(Application!$AC$714:$AC$738 = 'CalHFA Addendum'!$B20),Application!$G$714:$G$738)</f>
        <v>0</v>
      </c>
      <c r="AC20" s="2282"/>
      <c r="AD20" s="2282"/>
      <c r="AE20" s="2282"/>
      <c r="AF20" s="2282"/>
      <c r="AG20" s="2283"/>
      <c r="AH20" s="2281" cm="1">
        <f t="array" ref="AH20">SUMPRODUCT((Application!$B$714:$B$738 = 'CalHFA Addendum'!AH$18)*(Application!$AC$714:$AC$738 = 'CalHFA Addendum'!$B20),Application!$G$714:$G$738)</f>
        <v>0</v>
      </c>
      <c r="AI20" s="2282"/>
      <c r="AJ20" s="2282"/>
      <c r="AK20" s="2282"/>
      <c r="AL20" s="2282"/>
      <c r="AM20" s="2283"/>
      <c r="AN20" s="2281" cm="1">
        <f t="array" ref="AN20">SUMPRODUCT((Application!$B$714:$B$738 = 'CalHFA Addendum'!AN$18)*(Application!$AC$714:$AC$738 = 'CalHFA Addendum'!$B20),Application!$G$714:$G$738)</f>
        <v>0</v>
      </c>
      <c r="AO20" s="2282"/>
      <c r="AP20" s="2282"/>
      <c r="AQ20" s="2282"/>
      <c r="AR20" s="2282"/>
      <c r="AS20" s="2283"/>
      <c r="AT20" s="2266">
        <f t="shared" si="1"/>
        <v>0</v>
      </c>
      <c r="AU20" s="2267"/>
      <c r="AV20" s="2267"/>
      <c r="AW20" s="2267"/>
      <c r="AX20" s="2267"/>
      <c r="AY20" s="2268"/>
      <c r="AZ20" s="1190"/>
      <c r="BA20" s="1190"/>
      <c r="BB20" s="1190"/>
      <c r="BC20" s="1190"/>
      <c r="BD20" s="1190"/>
      <c r="BE20" s="1194"/>
    </row>
    <row r="21" spans="1:58" ht="15">
      <c r="A21" s="1190"/>
      <c r="B21" s="2278">
        <v>0.5</v>
      </c>
      <c r="C21" s="2279"/>
      <c r="D21" s="2279"/>
      <c r="E21" s="2279"/>
      <c r="F21" s="2279"/>
      <c r="G21" s="2279"/>
      <c r="H21" s="2279"/>
      <c r="I21" s="2280"/>
      <c r="J21" s="2281">
        <f t="shared" si="0"/>
        <v>6</v>
      </c>
      <c r="K21" s="2282"/>
      <c r="L21" s="2282"/>
      <c r="M21" s="2282"/>
      <c r="N21" s="2282"/>
      <c r="O21" s="2283"/>
      <c r="P21" s="2281" cm="1">
        <f t="array" ref="P21">SUMPRODUCT((Application!$B$714:$B$738 = 'CalHFA Addendum'!P$18)*(Application!$AC$714:$AC$738 = 'CalHFA Addendum'!$B21),Application!$G$714:$G$738)</f>
        <v>0</v>
      </c>
      <c r="Q21" s="2282"/>
      <c r="R21" s="2282"/>
      <c r="S21" s="2282"/>
      <c r="T21" s="2282"/>
      <c r="U21" s="2283"/>
      <c r="V21" s="2281" cm="1">
        <f t="array" ref="V21">SUMPRODUCT((Application!$B$714:$B$738 = 'CalHFA Addendum'!V$18)*(Application!$AC$714:$AC$738 = 'CalHFA Addendum'!$B21),Application!$G$714:$G$738)</f>
        <v>0</v>
      </c>
      <c r="W21" s="2282"/>
      <c r="X21" s="2282"/>
      <c r="Y21" s="2282"/>
      <c r="Z21" s="2282"/>
      <c r="AA21" s="2283"/>
      <c r="AB21" s="2281" cm="1">
        <f t="array" ref="AB21">SUMPRODUCT((Application!$B$714:$B$738 = 'CalHFA Addendum'!AB$18)*(Application!$AC$714:$AC$738 = 'CalHFA Addendum'!$B21),Application!$G$714:$G$738)</f>
        <v>3</v>
      </c>
      <c r="AC21" s="2282"/>
      <c r="AD21" s="2282"/>
      <c r="AE21" s="2282"/>
      <c r="AF21" s="2282"/>
      <c r="AG21" s="2283"/>
      <c r="AH21" s="2281" cm="1">
        <f t="array" ref="AH21">SUMPRODUCT((Application!$B$714:$B$738 = 'CalHFA Addendum'!AH$18)*(Application!$AC$714:$AC$738 = 'CalHFA Addendum'!$B21),Application!$G$714:$G$738)</f>
        <v>3</v>
      </c>
      <c r="AI21" s="2282"/>
      <c r="AJ21" s="2282"/>
      <c r="AK21" s="2282"/>
      <c r="AL21" s="2282"/>
      <c r="AM21" s="2283"/>
      <c r="AN21" s="2281" cm="1">
        <f t="array" ref="AN21">SUMPRODUCT((Application!$B$714:$B$738 = 'CalHFA Addendum'!AN$18)*(Application!$AC$714:$AC$738 = 'CalHFA Addendum'!$B21),Application!$G$714:$G$738)</f>
        <v>0</v>
      </c>
      <c r="AO21" s="2282"/>
      <c r="AP21" s="2282"/>
      <c r="AQ21" s="2282"/>
      <c r="AR21" s="2282"/>
      <c r="AS21" s="2283"/>
      <c r="AT21" s="2266">
        <f t="shared" si="1"/>
        <v>5.7142857142857141E-2</v>
      </c>
      <c r="AU21" s="2267"/>
      <c r="AV21" s="2267"/>
      <c r="AW21" s="2267"/>
      <c r="AX21" s="2267"/>
      <c r="AY21" s="2268"/>
      <c r="AZ21" s="1190"/>
      <c r="BA21" s="1190"/>
      <c r="BB21" s="1190"/>
      <c r="BC21" s="1190"/>
      <c r="BD21" s="1190"/>
      <c r="BE21" s="1194"/>
    </row>
    <row r="22" spans="1:58" ht="15">
      <c r="A22" s="1190"/>
      <c r="B22" s="2278">
        <v>0.6</v>
      </c>
      <c r="C22" s="2279"/>
      <c r="D22" s="2279"/>
      <c r="E22" s="2279"/>
      <c r="F22" s="2279"/>
      <c r="G22" s="2279"/>
      <c r="H22" s="2279"/>
      <c r="I22" s="2280"/>
      <c r="J22" s="2281">
        <f t="shared" si="0"/>
        <v>0</v>
      </c>
      <c r="K22" s="2282"/>
      <c r="L22" s="2282"/>
      <c r="M22" s="2282"/>
      <c r="N22" s="2282"/>
      <c r="O22" s="2283"/>
      <c r="P22" s="2281" cm="1">
        <f t="array" ref="P22">SUMPRODUCT((Application!$B$714:$B$738 = 'CalHFA Addendum'!P$18)*(Application!$AC$714:$AC$738 = 'CalHFA Addendum'!$B22),Application!$G$714:$G$738)</f>
        <v>0</v>
      </c>
      <c r="Q22" s="2282"/>
      <c r="R22" s="2282"/>
      <c r="S22" s="2282"/>
      <c r="T22" s="2282"/>
      <c r="U22" s="2283"/>
      <c r="V22" s="2281" cm="1">
        <f t="array" ref="V22">SUMPRODUCT((Application!$B$714:$B$738 = 'CalHFA Addendum'!V$18)*(Application!$AC$714:$AC$738 = 'CalHFA Addendum'!$B22),Application!$G$714:$G$738)</f>
        <v>0</v>
      </c>
      <c r="W22" s="2282"/>
      <c r="X22" s="2282"/>
      <c r="Y22" s="2282"/>
      <c r="Z22" s="2282"/>
      <c r="AA22" s="2283"/>
      <c r="AB22" s="2281" cm="1">
        <f t="array" ref="AB22">SUMPRODUCT((Application!$B$714:$B$738 = 'CalHFA Addendum'!AB$18)*(Application!$AC$714:$AC$738 = 'CalHFA Addendum'!$B22),Application!$G$714:$G$738)</f>
        <v>0</v>
      </c>
      <c r="AC22" s="2282"/>
      <c r="AD22" s="2282"/>
      <c r="AE22" s="2282"/>
      <c r="AF22" s="2282"/>
      <c r="AG22" s="2283"/>
      <c r="AH22" s="2281" cm="1">
        <f t="array" ref="AH22">SUMPRODUCT((Application!$B$714:$B$738 = 'CalHFA Addendum'!AH$18)*(Application!$AC$714:$AC$738 = 'CalHFA Addendum'!$B22),Application!$G$714:$G$738)</f>
        <v>0</v>
      </c>
      <c r="AI22" s="2282"/>
      <c r="AJ22" s="2282"/>
      <c r="AK22" s="2282"/>
      <c r="AL22" s="2282"/>
      <c r="AM22" s="2283"/>
      <c r="AN22" s="2281" cm="1">
        <f t="array" ref="AN22">SUMPRODUCT((Application!$B$714:$B$738 = 'CalHFA Addendum'!AN$18)*(Application!$AC$714:$AC$738 = 'CalHFA Addendum'!$B22),Application!$G$714:$G$738)</f>
        <v>0</v>
      </c>
      <c r="AO22" s="2282"/>
      <c r="AP22" s="2282"/>
      <c r="AQ22" s="2282"/>
      <c r="AR22" s="2282"/>
      <c r="AS22" s="2283"/>
      <c r="AT22" s="2266">
        <f t="shared" si="1"/>
        <v>0</v>
      </c>
      <c r="AU22" s="2267"/>
      <c r="AV22" s="2267"/>
      <c r="AW22" s="2267"/>
      <c r="AX22" s="2267"/>
      <c r="AY22" s="2268"/>
      <c r="AZ22" s="1190"/>
      <c r="BA22" s="1190"/>
      <c r="BB22" s="1190"/>
      <c r="BC22" s="1190"/>
      <c r="BD22" s="1190"/>
      <c r="BE22" s="1194"/>
    </row>
    <row r="23" spans="1:58" ht="15">
      <c r="A23" s="1190"/>
      <c r="B23" s="2278">
        <v>0.7</v>
      </c>
      <c r="C23" s="2279"/>
      <c r="D23" s="2279"/>
      <c r="E23" s="2279"/>
      <c r="F23" s="2279"/>
      <c r="G23" s="2279"/>
      <c r="H23" s="2279"/>
      <c r="I23" s="2280"/>
      <c r="J23" s="2281">
        <f t="shared" si="0"/>
        <v>0</v>
      </c>
      <c r="K23" s="2282"/>
      <c r="L23" s="2282"/>
      <c r="M23" s="2282"/>
      <c r="N23" s="2282"/>
      <c r="O23" s="2283"/>
      <c r="P23" s="2281" cm="1">
        <f t="array" ref="P23">SUMPRODUCT((Application!$B$714:$B$738 = 'CalHFA Addendum'!P$18)*(Application!$AC$714:$AC$738 = 'CalHFA Addendum'!$B23),Application!$G$714:$G$738)</f>
        <v>0</v>
      </c>
      <c r="Q23" s="2282"/>
      <c r="R23" s="2282"/>
      <c r="S23" s="2282"/>
      <c r="T23" s="2282"/>
      <c r="U23" s="2283"/>
      <c r="V23" s="2281" cm="1">
        <f t="array" ref="V23">SUMPRODUCT((Application!$B$714:$B$738 = 'CalHFA Addendum'!V$18)*(Application!$AC$714:$AC$738 = 'CalHFA Addendum'!$B23),Application!$G$714:$G$738)</f>
        <v>0</v>
      </c>
      <c r="W23" s="2282"/>
      <c r="X23" s="2282"/>
      <c r="Y23" s="2282"/>
      <c r="Z23" s="2282"/>
      <c r="AA23" s="2283"/>
      <c r="AB23" s="2281" cm="1">
        <f t="array" ref="AB23">SUMPRODUCT((Application!$B$714:$B$738 = 'CalHFA Addendum'!AB$18)*(Application!$AC$714:$AC$738 = 'CalHFA Addendum'!$B23),Application!$G$714:$G$738)</f>
        <v>0</v>
      </c>
      <c r="AC23" s="2282"/>
      <c r="AD23" s="2282"/>
      <c r="AE23" s="2282"/>
      <c r="AF23" s="2282"/>
      <c r="AG23" s="2283"/>
      <c r="AH23" s="2281" cm="1">
        <f t="array" ref="AH23">SUMPRODUCT((Application!$B$714:$B$738 = 'CalHFA Addendum'!AH$18)*(Application!$AC$714:$AC$738 = 'CalHFA Addendum'!$B23),Application!$G$714:$G$738)</f>
        <v>0</v>
      </c>
      <c r="AI23" s="2282"/>
      <c r="AJ23" s="2282"/>
      <c r="AK23" s="2282"/>
      <c r="AL23" s="2282"/>
      <c r="AM23" s="2283"/>
      <c r="AN23" s="2281" cm="1">
        <f t="array" ref="AN23">SUMPRODUCT((Application!$B$714:$B$738 = 'CalHFA Addendum'!AN$18)*(Application!$AC$714:$AC$738 = 'CalHFA Addendum'!$B23),Application!$G$714:$G$738)</f>
        <v>0</v>
      </c>
      <c r="AO23" s="2282"/>
      <c r="AP23" s="2282"/>
      <c r="AQ23" s="2282"/>
      <c r="AR23" s="2282"/>
      <c r="AS23" s="2283"/>
      <c r="AT23" s="2266">
        <f t="shared" si="1"/>
        <v>0</v>
      </c>
      <c r="AU23" s="2267"/>
      <c r="AV23" s="2267"/>
      <c r="AW23" s="2267"/>
      <c r="AX23" s="2267"/>
      <c r="AY23" s="2268"/>
      <c r="AZ23" s="1190"/>
      <c r="BA23" s="1190"/>
      <c r="BB23" s="1190"/>
      <c r="BC23" s="1190"/>
      <c r="BD23" s="1190"/>
      <c r="BE23" s="1194"/>
    </row>
    <row r="24" spans="1:58" ht="15">
      <c r="A24" s="1190"/>
      <c r="B24" s="2278">
        <v>0.8</v>
      </c>
      <c r="C24" s="2279"/>
      <c r="D24" s="2279"/>
      <c r="E24" s="2279"/>
      <c r="F24" s="2279"/>
      <c r="G24" s="2279"/>
      <c r="H24" s="2279"/>
      <c r="I24" s="2280"/>
      <c r="J24" s="2281">
        <f t="shared" si="0"/>
        <v>60</v>
      </c>
      <c r="K24" s="2282"/>
      <c r="L24" s="2282"/>
      <c r="M24" s="2282"/>
      <c r="N24" s="2282"/>
      <c r="O24" s="2283"/>
      <c r="P24" s="2281" cm="1">
        <f t="array" ref="P24">SUMPRODUCT((Application!$B$714:$B$738 = 'CalHFA Addendum'!P$18)*(Application!$AC$714:$AC$738 = 'CalHFA Addendum'!$B24),Application!$G$714:$G$738)</f>
        <v>0</v>
      </c>
      <c r="Q24" s="2282"/>
      <c r="R24" s="2282"/>
      <c r="S24" s="2282"/>
      <c r="T24" s="2282"/>
      <c r="U24" s="2283"/>
      <c r="V24" s="2281" cm="1">
        <f t="array" ref="V24">SUMPRODUCT((Application!$B$714:$B$738 = 'CalHFA Addendum'!V$18)*(Application!$AC$714:$AC$738 = 'CalHFA Addendum'!$B24),Application!$G$714:$G$738)</f>
        <v>13</v>
      </c>
      <c r="W24" s="2282"/>
      <c r="X24" s="2282"/>
      <c r="Y24" s="2282"/>
      <c r="Z24" s="2282"/>
      <c r="AA24" s="2283"/>
      <c r="AB24" s="2281" cm="1">
        <f t="array" ref="AB24">SUMPRODUCT((Application!$B$714:$B$738 = 'CalHFA Addendum'!AB$18)*(Application!$AC$714:$AC$738 = 'CalHFA Addendum'!$B24),Application!$G$714:$G$738)</f>
        <v>23</v>
      </c>
      <c r="AC24" s="2282"/>
      <c r="AD24" s="2282"/>
      <c r="AE24" s="2282"/>
      <c r="AF24" s="2282"/>
      <c r="AG24" s="2283"/>
      <c r="AH24" s="2281" cm="1">
        <f t="array" ref="AH24">SUMPRODUCT((Application!$B$714:$B$738 = 'CalHFA Addendum'!AH$18)*(Application!$AC$714:$AC$738 = 'CalHFA Addendum'!$B24),Application!$G$714:$G$738)</f>
        <v>24</v>
      </c>
      <c r="AI24" s="2282"/>
      <c r="AJ24" s="2282"/>
      <c r="AK24" s="2282"/>
      <c r="AL24" s="2282"/>
      <c r="AM24" s="2283"/>
      <c r="AN24" s="2281" cm="1">
        <f t="array" ref="AN24">SUMPRODUCT((Application!$B$714:$B$738 = 'CalHFA Addendum'!AN$18)*(Application!$AC$714:$AC$738 = 'CalHFA Addendum'!$B24),Application!$G$714:$G$738)</f>
        <v>0</v>
      </c>
      <c r="AO24" s="2282"/>
      <c r="AP24" s="2282"/>
      <c r="AQ24" s="2282"/>
      <c r="AR24" s="2282"/>
      <c r="AS24" s="2283"/>
      <c r="AT24" s="2266">
        <f t="shared" si="1"/>
        <v>0.5714285714285714</v>
      </c>
      <c r="AU24" s="2267"/>
      <c r="AV24" s="2267"/>
      <c r="AW24" s="2267"/>
      <c r="AX24" s="2267"/>
      <c r="AY24" s="2268"/>
      <c r="AZ24" s="1190"/>
      <c r="BA24" s="1190"/>
      <c r="BB24" s="1190"/>
      <c r="BC24" s="1190"/>
      <c r="BD24" s="1190"/>
      <c r="BE24" s="1194"/>
    </row>
    <row r="25" spans="1:58" ht="15">
      <c r="A25" s="1190"/>
      <c r="B25" s="2278">
        <v>0.9</v>
      </c>
      <c r="C25" s="2279"/>
      <c r="D25" s="2279"/>
      <c r="E25" s="2279"/>
      <c r="F25" s="2279"/>
      <c r="G25" s="2279"/>
      <c r="H25" s="2279"/>
      <c r="I25" s="2280"/>
      <c r="J25" s="2263"/>
      <c r="K25" s="2264"/>
      <c r="L25" s="2264"/>
      <c r="M25" s="2264"/>
      <c r="N25" s="2264"/>
      <c r="O25" s="2265"/>
      <c r="P25" s="2263"/>
      <c r="Q25" s="2264"/>
      <c r="R25" s="2264"/>
      <c r="S25" s="2264"/>
      <c r="T25" s="2264"/>
      <c r="U25" s="2265"/>
      <c r="V25" s="2263"/>
      <c r="W25" s="2264"/>
      <c r="X25" s="2264"/>
      <c r="Y25" s="2264"/>
      <c r="Z25" s="2264"/>
      <c r="AA25" s="2265"/>
      <c r="AB25" s="2263"/>
      <c r="AC25" s="2264"/>
      <c r="AD25" s="2264"/>
      <c r="AE25" s="2264"/>
      <c r="AF25" s="2264"/>
      <c r="AG25" s="2265"/>
      <c r="AH25" s="2263"/>
      <c r="AI25" s="2264"/>
      <c r="AJ25" s="2264"/>
      <c r="AK25" s="2264"/>
      <c r="AL25" s="2264"/>
      <c r="AM25" s="2265"/>
      <c r="AN25" s="2263"/>
      <c r="AO25" s="2264"/>
      <c r="AP25" s="2264"/>
      <c r="AQ25" s="2264"/>
      <c r="AR25" s="2264"/>
      <c r="AS25" s="2265"/>
      <c r="AT25" s="2266">
        <f t="shared" si="1"/>
        <v>0</v>
      </c>
      <c r="AU25" s="2267"/>
      <c r="AV25" s="2267"/>
      <c r="AW25" s="2267"/>
      <c r="AX25" s="2267"/>
      <c r="AY25" s="2268"/>
      <c r="AZ25" s="1190"/>
      <c r="BA25" s="1190"/>
      <c r="BB25" s="1190"/>
      <c r="BC25" s="1190"/>
      <c r="BD25" s="1190"/>
      <c r="BE25" s="1194"/>
    </row>
    <row r="26" spans="1:58" ht="15">
      <c r="A26" s="1190"/>
      <c r="B26" s="2278">
        <v>1</v>
      </c>
      <c r="C26" s="2279"/>
      <c r="D26" s="2279"/>
      <c r="E26" s="2279"/>
      <c r="F26" s="2279"/>
      <c r="G26" s="2279"/>
      <c r="H26" s="2279"/>
      <c r="I26" s="2280"/>
      <c r="J26" s="2263"/>
      <c r="K26" s="2264"/>
      <c r="L26" s="2264"/>
      <c r="M26" s="2264"/>
      <c r="N26" s="2264"/>
      <c r="O26" s="2265"/>
      <c r="P26" s="2263"/>
      <c r="Q26" s="2264"/>
      <c r="R26" s="2264"/>
      <c r="S26" s="2264"/>
      <c r="T26" s="2264"/>
      <c r="U26" s="2265"/>
      <c r="V26" s="2263"/>
      <c r="W26" s="2264"/>
      <c r="X26" s="2264"/>
      <c r="Y26" s="2264"/>
      <c r="Z26" s="2264"/>
      <c r="AA26" s="2265"/>
      <c r="AB26" s="2263"/>
      <c r="AC26" s="2264"/>
      <c r="AD26" s="2264"/>
      <c r="AE26" s="2264"/>
      <c r="AF26" s="2264"/>
      <c r="AG26" s="2265"/>
      <c r="AH26" s="2263"/>
      <c r="AI26" s="2264"/>
      <c r="AJ26" s="2264"/>
      <c r="AK26" s="2264"/>
      <c r="AL26" s="2264"/>
      <c r="AM26" s="2265"/>
      <c r="AN26" s="2263"/>
      <c r="AO26" s="2264"/>
      <c r="AP26" s="2264"/>
      <c r="AQ26" s="2264"/>
      <c r="AR26" s="2264"/>
      <c r="AS26" s="2265"/>
      <c r="AT26" s="2266">
        <f t="shared" si="1"/>
        <v>0</v>
      </c>
      <c r="AU26" s="2267"/>
      <c r="AV26" s="2267"/>
      <c r="AW26" s="2267"/>
      <c r="AX26" s="2267"/>
      <c r="AY26" s="2268"/>
      <c r="AZ26" s="1190"/>
      <c r="BA26" s="1190"/>
      <c r="BB26" s="1190"/>
      <c r="BC26" s="1190"/>
      <c r="BD26" s="1190"/>
      <c r="BE26" s="1194"/>
    </row>
    <row r="27" spans="1:58" ht="15">
      <c r="A27" s="1190"/>
      <c r="B27" s="2278">
        <v>1.2</v>
      </c>
      <c r="C27" s="2279"/>
      <c r="D27" s="2279"/>
      <c r="E27" s="2279"/>
      <c r="F27" s="2279"/>
      <c r="G27" s="2279"/>
      <c r="H27" s="2279"/>
      <c r="I27" s="2280"/>
      <c r="J27" s="2263"/>
      <c r="K27" s="2264"/>
      <c r="L27" s="2264"/>
      <c r="M27" s="2264"/>
      <c r="N27" s="2264"/>
      <c r="O27" s="2265"/>
      <c r="P27" s="2263"/>
      <c r="Q27" s="2264"/>
      <c r="R27" s="2264"/>
      <c r="S27" s="2264"/>
      <c r="T27" s="2264"/>
      <c r="U27" s="2265"/>
      <c r="V27" s="2263"/>
      <c r="W27" s="2264"/>
      <c r="X27" s="2264"/>
      <c r="Y27" s="2264"/>
      <c r="Z27" s="2264"/>
      <c r="AA27" s="2265"/>
      <c r="AB27" s="2263"/>
      <c r="AC27" s="2264"/>
      <c r="AD27" s="2264"/>
      <c r="AE27" s="2264"/>
      <c r="AF27" s="2264"/>
      <c r="AG27" s="2265"/>
      <c r="AH27" s="2263"/>
      <c r="AI27" s="2264"/>
      <c r="AJ27" s="2264"/>
      <c r="AK27" s="2264"/>
      <c r="AL27" s="2264"/>
      <c r="AM27" s="2265"/>
      <c r="AN27" s="2263"/>
      <c r="AO27" s="2264"/>
      <c r="AP27" s="2264"/>
      <c r="AQ27" s="2264"/>
      <c r="AR27" s="2264"/>
      <c r="AS27" s="2265"/>
      <c r="AT27" s="2266">
        <f t="shared" si="1"/>
        <v>0</v>
      </c>
      <c r="AU27" s="2267"/>
      <c r="AV27" s="2267"/>
      <c r="AW27" s="2267"/>
      <c r="AX27" s="2267"/>
      <c r="AY27" s="2268"/>
      <c r="AZ27" s="1190"/>
      <c r="BA27" s="1190"/>
      <c r="BB27" s="1190"/>
      <c r="BC27" s="1190"/>
      <c r="BD27" s="1190"/>
      <c r="BE27" s="1194"/>
    </row>
    <row r="28" spans="1:58" thickBot="1">
      <c r="A28" s="1190"/>
      <c r="B28" s="2269" t="s">
        <v>2431</v>
      </c>
      <c r="C28" s="2270"/>
      <c r="D28" s="2270"/>
      <c r="E28" s="2270"/>
      <c r="F28" s="2270"/>
      <c r="G28" s="2270"/>
      <c r="H28" s="2270"/>
      <c r="I28" s="2271"/>
      <c r="J28" s="2272">
        <f>SUM(P28:AS28)</f>
        <v>1</v>
      </c>
      <c r="K28" s="2273"/>
      <c r="L28" s="2273"/>
      <c r="M28" s="2273"/>
      <c r="N28" s="2273"/>
      <c r="O28" s="2274"/>
      <c r="P28" s="2272">
        <f>_xlfn.IFNA(VLOOKUP(P$18,Application!$J$773:$S$776,6,FALSE), 0)</f>
        <v>0</v>
      </c>
      <c r="Q28" s="2273"/>
      <c r="R28" s="2273"/>
      <c r="S28" s="2273"/>
      <c r="T28" s="2273"/>
      <c r="U28" s="2274"/>
      <c r="V28" s="2272">
        <f>_xlfn.IFNA(VLOOKUP(V$18,Application!$J$773:$S$776,6,FALSE), 0)</f>
        <v>0</v>
      </c>
      <c r="W28" s="2273"/>
      <c r="X28" s="2273"/>
      <c r="Y28" s="2273"/>
      <c r="Z28" s="2273"/>
      <c r="AA28" s="2274"/>
      <c r="AB28" s="2272">
        <f>_xlfn.IFNA(VLOOKUP(AB$18,Application!$J$773:$S$776,6,FALSE), 0)</f>
        <v>1</v>
      </c>
      <c r="AC28" s="2273"/>
      <c r="AD28" s="2273"/>
      <c r="AE28" s="2273"/>
      <c r="AF28" s="2273"/>
      <c r="AG28" s="2274"/>
      <c r="AH28" s="2272">
        <f>_xlfn.IFNA(VLOOKUP(AH$18,Application!$J$773:$S$776,6,FALSE), 0)</f>
        <v>0</v>
      </c>
      <c r="AI28" s="2273"/>
      <c r="AJ28" s="2273"/>
      <c r="AK28" s="2273"/>
      <c r="AL28" s="2273"/>
      <c r="AM28" s="2274"/>
      <c r="AN28" s="2272">
        <f>_xlfn.IFNA(VLOOKUP(AN$18,Application!$J$773:$S$776,6,FALSE), 0)</f>
        <v>0</v>
      </c>
      <c r="AO28" s="2273"/>
      <c r="AP28" s="2273"/>
      <c r="AQ28" s="2273"/>
      <c r="AR28" s="2273"/>
      <c r="AS28" s="2274"/>
      <c r="AT28" s="2275">
        <f t="shared" si="1"/>
        <v>9.5238095238095247E-3</v>
      </c>
      <c r="AU28" s="2276"/>
      <c r="AV28" s="2276"/>
      <c r="AW28" s="2276"/>
      <c r="AX28" s="2276"/>
      <c r="AY28" s="2277"/>
      <c r="AZ28" s="1190"/>
      <c r="BA28" s="1190"/>
      <c r="BB28" s="1190"/>
      <c r="BC28" s="1190"/>
      <c r="BD28" s="1190"/>
      <c r="BE28" s="1194"/>
    </row>
    <row r="29" spans="1:58" thickBot="1">
      <c r="A29" s="1190"/>
      <c r="B29" s="2252" t="s">
        <v>1587</v>
      </c>
      <c r="C29" s="2225"/>
      <c r="D29" s="2225"/>
      <c r="E29" s="2225"/>
      <c r="F29" s="2225"/>
      <c r="G29" s="2225"/>
      <c r="H29" s="2225"/>
      <c r="I29" s="2226"/>
      <c r="J29" s="2224">
        <f>SUM(J19:O28)</f>
        <v>105</v>
      </c>
      <c r="K29" s="2225"/>
      <c r="L29" s="2225"/>
      <c r="M29" s="2225"/>
      <c r="N29" s="2225"/>
      <c r="O29" s="2226"/>
      <c r="P29" s="2224">
        <f>SUM(P19:U28)</f>
        <v>0</v>
      </c>
      <c r="Q29" s="2225"/>
      <c r="R29" s="2225"/>
      <c r="S29" s="2225"/>
      <c r="T29" s="2225"/>
      <c r="U29" s="2226"/>
      <c r="V29" s="2224">
        <f>SUM(V19:AA28)</f>
        <v>45</v>
      </c>
      <c r="W29" s="2225"/>
      <c r="X29" s="2225"/>
      <c r="Y29" s="2225"/>
      <c r="Z29" s="2225"/>
      <c r="AA29" s="2226"/>
      <c r="AB29" s="2224">
        <f>SUM(AB19:AG28)</f>
        <v>30</v>
      </c>
      <c r="AC29" s="2225"/>
      <c r="AD29" s="2225"/>
      <c r="AE29" s="2225"/>
      <c r="AF29" s="2225"/>
      <c r="AG29" s="2226"/>
      <c r="AH29" s="2224">
        <f>SUM(AH19:AM28)</f>
        <v>30</v>
      </c>
      <c r="AI29" s="2225"/>
      <c r="AJ29" s="2225"/>
      <c r="AK29" s="2225"/>
      <c r="AL29" s="2225"/>
      <c r="AM29" s="2226"/>
      <c r="AN29" s="2224">
        <f>SUM(AN19:AS28)</f>
        <v>0</v>
      </c>
      <c r="AO29" s="2225"/>
      <c r="AP29" s="2225"/>
      <c r="AQ29" s="2225"/>
      <c r="AR29" s="2225"/>
      <c r="AS29" s="2226"/>
      <c r="AT29" s="2227">
        <f t="shared" si="1"/>
        <v>1</v>
      </c>
      <c r="AU29" s="2228"/>
      <c r="AV29" s="2228"/>
      <c r="AW29" s="2228"/>
      <c r="AX29" s="2228"/>
      <c r="AY29" s="2229"/>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0" t="s">
        <v>2430</v>
      </c>
      <c r="C31" s="2231"/>
      <c r="D31" s="2231"/>
      <c r="E31" s="2231"/>
      <c r="F31" s="2231"/>
      <c r="G31" s="2231"/>
      <c r="H31" s="2231"/>
      <c r="I31" s="2231"/>
      <c r="J31" s="2231"/>
      <c r="K31" s="2231"/>
      <c r="L31" s="2231"/>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231"/>
      <c r="BB31" s="2231"/>
      <c r="BC31" s="2231"/>
      <c r="BD31" s="2232"/>
      <c r="BE31" s="1194"/>
    </row>
    <row r="32" spans="1:58" thickBot="1">
      <c r="A32" s="1190"/>
      <c r="B32" s="2233" t="s">
        <v>2429</v>
      </c>
      <c r="C32" s="2234"/>
      <c r="D32" s="2234"/>
      <c r="E32" s="2234"/>
      <c r="F32" s="2234"/>
      <c r="G32" s="2234"/>
      <c r="H32" s="2234"/>
      <c r="I32" s="2234"/>
      <c r="J32" s="2237" t="s">
        <v>2428</v>
      </c>
      <c r="K32" s="2238"/>
      <c r="L32" s="2238"/>
      <c r="M32" s="2238"/>
      <c r="N32" s="2237" t="s">
        <v>2427</v>
      </c>
      <c r="O32" s="2238"/>
      <c r="P32" s="2238"/>
      <c r="Q32" s="2240"/>
      <c r="R32" s="2242" t="s">
        <v>2426</v>
      </c>
      <c r="S32" s="2243"/>
      <c r="T32" s="2243"/>
      <c r="U32" s="2243"/>
      <c r="V32" s="2243"/>
      <c r="W32" s="2243"/>
      <c r="X32" s="2243"/>
      <c r="Y32" s="2243"/>
      <c r="Z32" s="2243"/>
      <c r="AA32" s="2243"/>
      <c r="AB32" s="2243"/>
      <c r="AC32" s="2243"/>
      <c r="AD32" s="2243"/>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243"/>
      <c r="BB32" s="2243"/>
      <c r="BC32" s="2243"/>
      <c r="BD32" s="2244"/>
      <c r="BE32" s="1194"/>
    </row>
    <row r="33" spans="1:58" ht="15" customHeight="1">
      <c r="A33" s="1190"/>
      <c r="B33" s="2235"/>
      <c r="C33" s="2236"/>
      <c r="D33" s="2236"/>
      <c r="E33" s="2236"/>
      <c r="F33" s="2236"/>
      <c r="G33" s="2236"/>
      <c r="H33" s="2236"/>
      <c r="I33" s="2236"/>
      <c r="J33" s="2239"/>
      <c r="K33" s="2239"/>
      <c r="L33" s="2239"/>
      <c r="M33" s="2239"/>
      <c r="N33" s="2239"/>
      <c r="O33" s="2239"/>
      <c r="P33" s="2239"/>
      <c r="Q33" s="2241"/>
      <c r="R33" s="2245" t="s">
        <v>2425</v>
      </c>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46"/>
      <c r="AT33" s="2246"/>
      <c r="AU33" s="2246"/>
      <c r="AV33" s="2246"/>
      <c r="AW33" s="2246"/>
      <c r="AX33" s="2246"/>
      <c r="AY33" s="2246"/>
      <c r="AZ33" s="2246"/>
      <c r="BA33" s="2246"/>
      <c r="BB33" s="2246"/>
      <c r="BC33" s="2246"/>
      <c r="BD33" s="2247"/>
      <c r="BE33" s="1194"/>
    </row>
    <row r="34" spans="1:58" ht="15.75" customHeight="1" thickBot="1">
      <c r="A34" s="1190"/>
      <c r="B34" s="2235"/>
      <c r="C34" s="2236"/>
      <c r="D34" s="2236"/>
      <c r="E34" s="2236"/>
      <c r="F34" s="2236"/>
      <c r="G34" s="2236"/>
      <c r="H34" s="2236"/>
      <c r="I34" s="2236"/>
      <c r="J34" s="2239"/>
      <c r="K34" s="2239"/>
      <c r="L34" s="2239"/>
      <c r="M34" s="2239"/>
      <c r="N34" s="2239"/>
      <c r="O34" s="2239"/>
      <c r="P34" s="2239"/>
      <c r="Q34" s="2241"/>
      <c r="R34" s="2248"/>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49"/>
      <c r="AT34" s="2249"/>
      <c r="AU34" s="2249"/>
      <c r="AV34" s="2249"/>
      <c r="AW34" s="2249"/>
      <c r="AX34" s="2249"/>
      <c r="AY34" s="2249"/>
      <c r="AZ34" s="2249"/>
      <c r="BA34" s="2249"/>
      <c r="BB34" s="2249"/>
      <c r="BC34" s="2249"/>
      <c r="BD34" s="2250"/>
      <c r="BE34" s="1194"/>
    </row>
    <row r="35" spans="1:58" ht="15.75" customHeight="1">
      <c r="A35" s="1190"/>
      <c r="B35" s="2235"/>
      <c r="C35" s="2236"/>
      <c r="D35" s="2236"/>
      <c r="E35" s="2236"/>
      <c r="F35" s="2236"/>
      <c r="G35" s="2236"/>
      <c r="H35" s="2236"/>
      <c r="I35" s="2236"/>
      <c r="J35" s="2239"/>
      <c r="K35" s="2239"/>
      <c r="L35" s="2239"/>
      <c r="M35" s="2239"/>
      <c r="N35" s="2239"/>
      <c r="O35" s="2239"/>
      <c r="P35" s="2239"/>
      <c r="Q35" s="2239"/>
      <c r="R35" s="2251">
        <v>0.3</v>
      </c>
      <c r="S35" s="2251"/>
      <c r="T35" s="2251"/>
      <c r="U35" s="2251"/>
      <c r="V35" s="2251">
        <v>0.4</v>
      </c>
      <c r="W35" s="2251"/>
      <c r="X35" s="2251"/>
      <c r="Y35" s="2251"/>
      <c r="Z35" s="2251">
        <v>0.5</v>
      </c>
      <c r="AA35" s="2251"/>
      <c r="AB35" s="2251"/>
      <c r="AC35" s="2251"/>
      <c r="AD35" s="2251">
        <v>0.6</v>
      </c>
      <c r="AE35" s="2251"/>
      <c r="AF35" s="2251"/>
      <c r="AG35" s="2251"/>
      <c r="AH35" s="2251">
        <v>0.7</v>
      </c>
      <c r="AI35" s="2251"/>
      <c r="AJ35" s="2251"/>
      <c r="AK35" s="2251"/>
      <c r="AL35" s="2256">
        <v>0.8</v>
      </c>
      <c r="AM35" s="2257"/>
      <c r="AN35" s="2257"/>
      <c r="AO35" s="2258"/>
      <c r="AP35" s="2259">
        <v>1.2</v>
      </c>
      <c r="AQ35" s="2260"/>
      <c r="AR35" s="2261"/>
      <c r="AS35" s="2253" t="s">
        <v>2424</v>
      </c>
      <c r="AT35" s="2254"/>
      <c r="AU35" s="2254"/>
      <c r="AV35" s="2254"/>
      <c r="AW35" s="2254"/>
      <c r="AX35" s="2262"/>
      <c r="AY35" s="2253" t="s">
        <v>2423</v>
      </c>
      <c r="AZ35" s="2254"/>
      <c r="BA35" s="2254"/>
      <c r="BB35" s="2254"/>
      <c r="BC35" s="2254"/>
      <c r="BD35" s="2255"/>
      <c r="BE35" s="1194"/>
    </row>
    <row r="36" spans="1:58" ht="15.75" customHeight="1">
      <c r="A36" s="1190"/>
      <c r="B36" s="2157" t="s">
        <v>2422</v>
      </c>
      <c r="C36" s="2158"/>
      <c r="D36" s="2158"/>
      <c r="E36" s="2158"/>
      <c r="F36" s="2158"/>
      <c r="G36" s="2158"/>
      <c r="H36" s="2158"/>
      <c r="I36" s="2158"/>
      <c r="J36" s="2222" t="s">
        <v>2421</v>
      </c>
      <c r="K36" s="2222"/>
      <c r="L36" s="2222"/>
      <c r="M36" s="2222"/>
      <c r="N36" s="2222">
        <v>55</v>
      </c>
      <c r="O36" s="2222"/>
      <c r="P36" s="2222"/>
      <c r="Q36" s="2222"/>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07"/>
      <c r="AM36" s="2208"/>
      <c r="AN36" s="2208"/>
      <c r="AO36" s="2209"/>
      <c r="AP36" s="2207"/>
      <c r="AQ36" s="2208"/>
      <c r="AR36" s="2209"/>
      <c r="AS36" s="2210">
        <f t="shared" ref="AS36:AS47" si="2">SUM(R36:AR36)</f>
        <v>0</v>
      </c>
      <c r="AT36" s="2211"/>
      <c r="AU36" s="2211"/>
      <c r="AV36" s="2211"/>
      <c r="AW36" s="2211"/>
      <c r="AX36" s="2212"/>
      <c r="AY36" s="2213">
        <f t="shared" ref="AY36:AY47" si="3">AS36/$J$29</f>
        <v>0</v>
      </c>
      <c r="AZ36" s="2214"/>
      <c r="BA36" s="2214"/>
      <c r="BB36" s="2214"/>
      <c r="BC36" s="2214"/>
      <c r="BD36" s="2215"/>
      <c r="BE36" s="1194"/>
    </row>
    <row r="37" spans="1:58" ht="15.75" customHeight="1">
      <c r="A37" s="1190"/>
      <c r="B37" s="2157" t="s">
        <v>2420</v>
      </c>
      <c r="C37" s="2158"/>
      <c r="D37" s="2158"/>
      <c r="E37" s="2158"/>
      <c r="F37" s="2158"/>
      <c r="G37" s="2158"/>
      <c r="H37" s="2158"/>
      <c r="I37" s="2158"/>
      <c r="J37" s="2222" t="s">
        <v>2419</v>
      </c>
      <c r="K37" s="2222"/>
      <c r="L37" s="2222"/>
      <c r="M37" s="2222"/>
      <c r="N37" s="2222">
        <v>55</v>
      </c>
      <c r="O37" s="2222"/>
      <c r="P37" s="2222"/>
      <c r="Q37" s="2222"/>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07"/>
      <c r="AM37" s="2208"/>
      <c r="AN37" s="2208"/>
      <c r="AO37" s="2209"/>
      <c r="AP37" s="2207"/>
      <c r="AQ37" s="2208"/>
      <c r="AR37" s="2209"/>
      <c r="AS37" s="2210">
        <f t="shared" si="2"/>
        <v>0</v>
      </c>
      <c r="AT37" s="2211"/>
      <c r="AU37" s="2211"/>
      <c r="AV37" s="2211"/>
      <c r="AW37" s="2211"/>
      <c r="AX37" s="2212"/>
      <c r="AY37" s="2213">
        <f t="shared" si="3"/>
        <v>0</v>
      </c>
      <c r="AZ37" s="2214"/>
      <c r="BA37" s="2214"/>
      <c r="BB37" s="2214"/>
      <c r="BC37" s="2214"/>
      <c r="BD37" s="2215"/>
      <c r="BE37" s="1194"/>
    </row>
    <row r="38" spans="1:58" ht="15.75" customHeight="1">
      <c r="A38" s="1190"/>
      <c r="B38" s="2157" t="s">
        <v>2418</v>
      </c>
      <c r="C38" s="2158"/>
      <c r="D38" s="2158"/>
      <c r="E38" s="2158"/>
      <c r="F38" s="2158"/>
      <c r="G38" s="2158"/>
      <c r="H38" s="2158"/>
      <c r="I38" s="2158"/>
      <c r="J38" s="2222" t="s">
        <v>2417</v>
      </c>
      <c r="K38" s="2222"/>
      <c r="L38" s="2222"/>
      <c r="M38" s="2222"/>
      <c r="N38" s="2222">
        <v>55</v>
      </c>
      <c r="O38" s="2222"/>
      <c r="P38" s="2222"/>
      <c r="Q38" s="2222"/>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07"/>
      <c r="AM38" s="2208"/>
      <c r="AN38" s="2208"/>
      <c r="AO38" s="2209"/>
      <c r="AP38" s="2207"/>
      <c r="AQ38" s="2208"/>
      <c r="AR38" s="2209"/>
      <c r="AS38" s="2210">
        <f t="shared" si="2"/>
        <v>0</v>
      </c>
      <c r="AT38" s="2211"/>
      <c r="AU38" s="2211"/>
      <c r="AV38" s="2211"/>
      <c r="AW38" s="2211"/>
      <c r="AX38" s="2212"/>
      <c r="AY38" s="2213">
        <f t="shared" si="3"/>
        <v>0</v>
      </c>
      <c r="AZ38" s="2214"/>
      <c r="BA38" s="2214"/>
      <c r="BB38" s="2214"/>
      <c r="BC38" s="2214"/>
      <c r="BD38" s="2215"/>
      <c r="BE38" s="1194"/>
    </row>
    <row r="39" spans="1:58" ht="15.75" customHeight="1">
      <c r="A39" s="1190"/>
      <c r="B39" s="2157" t="s">
        <v>2416</v>
      </c>
      <c r="C39" s="2158"/>
      <c r="D39" s="2158"/>
      <c r="E39" s="2158"/>
      <c r="F39" s="2158"/>
      <c r="G39" s="2158"/>
      <c r="H39" s="2158"/>
      <c r="I39" s="2158"/>
      <c r="J39" s="2222"/>
      <c r="K39" s="2222"/>
      <c r="L39" s="2222"/>
      <c r="M39" s="2222"/>
      <c r="N39" s="2222"/>
      <c r="O39" s="2222"/>
      <c r="P39" s="2222"/>
      <c r="Q39" s="2222"/>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07"/>
      <c r="AM39" s="2208"/>
      <c r="AN39" s="2208"/>
      <c r="AO39" s="2209"/>
      <c r="AP39" s="2207"/>
      <c r="AQ39" s="2208"/>
      <c r="AR39" s="2209"/>
      <c r="AS39" s="2210">
        <f t="shared" si="2"/>
        <v>0</v>
      </c>
      <c r="AT39" s="2211"/>
      <c r="AU39" s="2211"/>
      <c r="AV39" s="2211"/>
      <c r="AW39" s="2211"/>
      <c r="AX39" s="2212"/>
      <c r="AY39" s="2213">
        <f t="shared" si="3"/>
        <v>0</v>
      </c>
      <c r="AZ39" s="2214"/>
      <c r="BA39" s="2214"/>
      <c r="BB39" s="2214"/>
      <c r="BC39" s="2214"/>
      <c r="BD39" s="2215"/>
      <c r="BE39" s="1194"/>
    </row>
    <row r="40" spans="1:58" ht="15.75" customHeight="1">
      <c r="A40" s="1190"/>
      <c r="B40" s="2157" t="s">
        <v>2416</v>
      </c>
      <c r="C40" s="2158"/>
      <c r="D40" s="2158"/>
      <c r="E40" s="2158"/>
      <c r="F40" s="2158"/>
      <c r="G40" s="2158"/>
      <c r="H40" s="2158"/>
      <c r="I40" s="2158"/>
      <c r="J40" s="2222"/>
      <c r="K40" s="2222"/>
      <c r="L40" s="2222"/>
      <c r="M40" s="2222"/>
      <c r="N40" s="2222"/>
      <c r="O40" s="2222"/>
      <c r="P40" s="2222"/>
      <c r="Q40" s="2222"/>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07"/>
      <c r="AM40" s="2208"/>
      <c r="AN40" s="2208"/>
      <c r="AO40" s="2209"/>
      <c r="AP40" s="2207"/>
      <c r="AQ40" s="2208"/>
      <c r="AR40" s="2209"/>
      <c r="AS40" s="2210">
        <f t="shared" si="2"/>
        <v>0</v>
      </c>
      <c r="AT40" s="2211"/>
      <c r="AU40" s="2211"/>
      <c r="AV40" s="2211"/>
      <c r="AW40" s="2211"/>
      <c r="AX40" s="2212"/>
      <c r="AY40" s="2213">
        <f t="shared" si="3"/>
        <v>0</v>
      </c>
      <c r="AZ40" s="2214"/>
      <c r="BA40" s="2214"/>
      <c r="BB40" s="2214"/>
      <c r="BC40" s="2214"/>
      <c r="BD40" s="2215"/>
      <c r="BE40" s="1194"/>
    </row>
    <row r="41" spans="1:58" ht="15.75" customHeight="1">
      <c r="A41" s="1190"/>
      <c r="B41" s="2157" t="s">
        <v>2415</v>
      </c>
      <c r="C41" s="2158"/>
      <c r="D41" s="2158"/>
      <c r="E41" s="2158"/>
      <c r="F41" s="2158"/>
      <c r="G41" s="2158"/>
      <c r="H41" s="2158"/>
      <c r="I41" s="2158"/>
      <c r="J41" s="2222"/>
      <c r="K41" s="2222"/>
      <c r="L41" s="2222"/>
      <c r="M41" s="2222"/>
      <c r="N41" s="2222"/>
      <c r="O41" s="2222"/>
      <c r="P41" s="2222"/>
      <c r="Q41" s="2222"/>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07"/>
      <c r="AM41" s="2208"/>
      <c r="AN41" s="2208"/>
      <c r="AO41" s="2209"/>
      <c r="AP41" s="2207"/>
      <c r="AQ41" s="2208"/>
      <c r="AR41" s="2209"/>
      <c r="AS41" s="2210">
        <f t="shared" si="2"/>
        <v>0</v>
      </c>
      <c r="AT41" s="2211"/>
      <c r="AU41" s="2211"/>
      <c r="AV41" s="2211"/>
      <c r="AW41" s="2211"/>
      <c r="AX41" s="2212"/>
      <c r="AY41" s="2213">
        <f t="shared" si="3"/>
        <v>0</v>
      </c>
      <c r="AZ41" s="2214"/>
      <c r="BA41" s="2214"/>
      <c r="BB41" s="2214"/>
      <c r="BC41" s="2214"/>
      <c r="BD41" s="2215"/>
      <c r="BE41" s="1194"/>
    </row>
    <row r="42" spans="1:58" ht="15.75" customHeight="1">
      <c r="A42" s="1190"/>
      <c r="B42" s="2157" t="s">
        <v>2415</v>
      </c>
      <c r="C42" s="2158"/>
      <c r="D42" s="2158"/>
      <c r="E42" s="2158"/>
      <c r="F42" s="2158"/>
      <c r="G42" s="2158"/>
      <c r="H42" s="2158"/>
      <c r="I42" s="2158"/>
      <c r="J42" s="2222"/>
      <c r="K42" s="2222"/>
      <c r="L42" s="2222"/>
      <c r="M42" s="2222"/>
      <c r="N42" s="2222"/>
      <c r="O42" s="2222"/>
      <c r="P42" s="2222"/>
      <c r="Q42" s="2222"/>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07"/>
      <c r="AM42" s="2208"/>
      <c r="AN42" s="2208"/>
      <c r="AO42" s="2209"/>
      <c r="AP42" s="2207"/>
      <c r="AQ42" s="2208"/>
      <c r="AR42" s="2209"/>
      <c r="AS42" s="2210">
        <f t="shared" si="2"/>
        <v>0</v>
      </c>
      <c r="AT42" s="2211"/>
      <c r="AU42" s="2211"/>
      <c r="AV42" s="2211"/>
      <c r="AW42" s="2211"/>
      <c r="AX42" s="2212"/>
      <c r="AY42" s="2213">
        <f t="shared" si="3"/>
        <v>0</v>
      </c>
      <c r="AZ42" s="2214"/>
      <c r="BA42" s="2214"/>
      <c r="BB42" s="2214"/>
      <c r="BC42" s="2214"/>
      <c r="BD42" s="2215"/>
      <c r="BE42" s="1194"/>
    </row>
    <row r="43" spans="1:58" ht="15.75" customHeight="1">
      <c r="A43" s="1190"/>
      <c r="B43" s="2162" t="s">
        <v>2414</v>
      </c>
      <c r="C43" s="2163"/>
      <c r="D43" s="2163"/>
      <c r="E43" s="2163"/>
      <c r="F43" s="2163"/>
      <c r="G43" s="2163"/>
      <c r="H43" s="2163"/>
      <c r="I43" s="2163"/>
      <c r="J43" s="2222"/>
      <c r="K43" s="2222"/>
      <c r="L43" s="2222"/>
      <c r="M43" s="2222"/>
      <c r="N43" s="2222"/>
      <c r="O43" s="2222"/>
      <c r="P43" s="2222"/>
      <c r="Q43" s="2222"/>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07"/>
      <c r="AM43" s="2208"/>
      <c r="AN43" s="2208"/>
      <c r="AO43" s="2209"/>
      <c r="AP43" s="2207"/>
      <c r="AQ43" s="2208"/>
      <c r="AR43" s="2209"/>
      <c r="AS43" s="2210">
        <f t="shared" si="2"/>
        <v>0</v>
      </c>
      <c r="AT43" s="2211"/>
      <c r="AU43" s="2211"/>
      <c r="AV43" s="2211"/>
      <c r="AW43" s="2211"/>
      <c r="AX43" s="2212"/>
      <c r="AY43" s="2213">
        <f t="shared" si="3"/>
        <v>0</v>
      </c>
      <c r="AZ43" s="2214"/>
      <c r="BA43" s="2214"/>
      <c r="BB43" s="2214"/>
      <c r="BC43" s="2214"/>
      <c r="BD43" s="2215"/>
      <c r="BE43" s="1194"/>
    </row>
    <row r="44" spans="1:58" ht="15.75" customHeight="1">
      <c r="A44" s="1190"/>
      <c r="B44" s="2162" t="s">
        <v>2413</v>
      </c>
      <c r="C44" s="2163"/>
      <c r="D44" s="2163"/>
      <c r="E44" s="2163"/>
      <c r="F44" s="2163"/>
      <c r="G44" s="2163"/>
      <c r="H44" s="2163"/>
      <c r="I44" s="2163"/>
      <c r="J44" s="2222"/>
      <c r="K44" s="2222"/>
      <c r="L44" s="2222"/>
      <c r="M44" s="2222"/>
      <c r="N44" s="2222"/>
      <c r="O44" s="2222"/>
      <c r="P44" s="2222"/>
      <c r="Q44" s="2222"/>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07"/>
      <c r="AM44" s="2208"/>
      <c r="AN44" s="2208"/>
      <c r="AO44" s="2209"/>
      <c r="AP44" s="2207"/>
      <c r="AQ44" s="2208"/>
      <c r="AR44" s="2209"/>
      <c r="AS44" s="2210">
        <f t="shared" si="2"/>
        <v>0</v>
      </c>
      <c r="AT44" s="2211"/>
      <c r="AU44" s="2211"/>
      <c r="AV44" s="2211"/>
      <c r="AW44" s="2211"/>
      <c r="AX44" s="2212"/>
      <c r="AY44" s="2213">
        <f t="shared" si="3"/>
        <v>0</v>
      </c>
      <c r="AZ44" s="2214"/>
      <c r="BA44" s="2214"/>
      <c r="BB44" s="2214"/>
      <c r="BC44" s="2214"/>
      <c r="BD44" s="2215"/>
      <c r="BE44" s="1194"/>
    </row>
    <row r="45" spans="1:58" ht="15.75" customHeight="1">
      <c r="A45" s="1190"/>
      <c r="B45" s="2162" t="s">
        <v>2412</v>
      </c>
      <c r="C45" s="2163"/>
      <c r="D45" s="2163"/>
      <c r="E45" s="2163"/>
      <c r="F45" s="2163"/>
      <c r="G45" s="2163"/>
      <c r="H45" s="2163"/>
      <c r="I45" s="2163"/>
      <c r="J45" s="2222"/>
      <c r="K45" s="2222"/>
      <c r="L45" s="2222"/>
      <c r="M45" s="2222"/>
      <c r="N45" s="2222"/>
      <c r="O45" s="2222"/>
      <c r="P45" s="2222"/>
      <c r="Q45" s="2222"/>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07"/>
      <c r="AM45" s="2208"/>
      <c r="AN45" s="2208"/>
      <c r="AO45" s="2209"/>
      <c r="AP45" s="2207"/>
      <c r="AQ45" s="2208"/>
      <c r="AR45" s="2209"/>
      <c r="AS45" s="2210">
        <f t="shared" si="2"/>
        <v>0</v>
      </c>
      <c r="AT45" s="2211"/>
      <c r="AU45" s="2211"/>
      <c r="AV45" s="2211"/>
      <c r="AW45" s="2211"/>
      <c r="AX45" s="2212"/>
      <c r="AY45" s="2213">
        <f t="shared" si="3"/>
        <v>0</v>
      </c>
      <c r="AZ45" s="2214"/>
      <c r="BA45" s="2214"/>
      <c r="BB45" s="2214"/>
      <c r="BC45" s="2214"/>
      <c r="BD45" s="2215"/>
      <c r="BE45" s="1194"/>
    </row>
    <row r="46" spans="1:58" ht="15.75" customHeight="1">
      <c r="A46" s="1190"/>
      <c r="B46" s="2162" t="s">
        <v>2336</v>
      </c>
      <c r="C46" s="2163"/>
      <c r="D46" s="2163"/>
      <c r="E46" s="2163"/>
      <c r="F46" s="2163"/>
      <c r="G46" s="2163"/>
      <c r="H46" s="2163"/>
      <c r="I46" s="2163"/>
      <c r="J46" s="2222"/>
      <c r="K46" s="2222"/>
      <c r="L46" s="2222"/>
      <c r="M46" s="2222"/>
      <c r="N46" s="2222">
        <v>99</v>
      </c>
      <c r="O46" s="2222"/>
      <c r="P46" s="2222"/>
      <c r="Q46" s="2222"/>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07"/>
      <c r="AM46" s="2208"/>
      <c r="AN46" s="2208"/>
      <c r="AO46" s="2209"/>
      <c r="AP46" s="2207"/>
      <c r="AQ46" s="2208"/>
      <c r="AR46" s="2209"/>
      <c r="AS46" s="2210">
        <f t="shared" si="2"/>
        <v>0</v>
      </c>
      <c r="AT46" s="2211"/>
      <c r="AU46" s="2211"/>
      <c r="AV46" s="2211"/>
      <c r="AW46" s="2211"/>
      <c r="AX46" s="2212"/>
      <c r="AY46" s="2213">
        <f t="shared" si="3"/>
        <v>0</v>
      </c>
      <c r="AZ46" s="2214"/>
      <c r="BA46" s="2214"/>
      <c r="BB46" s="2214"/>
      <c r="BC46" s="2214"/>
      <c r="BD46" s="2215"/>
      <c r="BE46" s="1194"/>
    </row>
    <row r="47" spans="1:58" ht="15.75" customHeight="1" thickBot="1">
      <c r="A47" s="1190"/>
      <c r="B47" s="2216" t="s">
        <v>300</v>
      </c>
      <c r="C47" s="2217"/>
      <c r="D47" s="2217"/>
      <c r="E47" s="2217"/>
      <c r="F47" s="2217"/>
      <c r="G47" s="2217"/>
      <c r="H47" s="2217"/>
      <c r="I47" s="2217"/>
      <c r="J47" s="2218"/>
      <c r="K47" s="2218"/>
      <c r="L47" s="2218"/>
      <c r="M47" s="2218"/>
      <c r="N47" s="2218"/>
      <c r="O47" s="2218"/>
      <c r="P47" s="2218"/>
      <c r="Q47" s="2218"/>
      <c r="R47" s="2203"/>
      <c r="S47" s="2203"/>
      <c r="T47" s="2203"/>
      <c r="U47" s="2203"/>
      <c r="V47" s="2203"/>
      <c r="W47" s="2203"/>
      <c r="X47" s="2203"/>
      <c r="Y47" s="2203"/>
      <c r="Z47" s="2203"/>
      <c r="AA47" s="2203"/>
      <c r="AB47" s="2203"/>
      <c r="AC47" s="2203"/>
      <c r="AD47" s="2203"/>
      <c r="AE47" s="2203"/>
      <c r="AF47" s="2203"/>
      <c r="AG47" s="2203"/>
      <c r="AH47" s="2203"/>
      <c r="AI47" s="2203"/>
      <c r="AJ47" s="2203"/>
      <c r="AK47" s="2203"/>
      <c r="AL47" s="2204"/>
      <c r="AM47" s="2205"/>
      <c r="AN47" s="2205"/>
      <c r="AO47" s="2206"/>
      <c r="AP47" s="2204"/>
      <c r="AQ47" s="2205"/>
      <c r="AR47" s="2206"/>
      <c r="AS47" s="2210">
        <f t="shared" si="2"/>
        <v>0</v>
      </c>
      <c r="AT47" s="2211"/>
      <c r="AU47" s="2211"/>
      <c r="AV47" s="2211"/>
      <c r="AW47" s="2211"/>
      <c r="AX47" s="2212"/>
      <c r="AY47" s="2219">
        <f t="shared" si="3"/>
        <v>0</v>
      </c>
      <c r="AZ47" s="2220"/>
      <c r="BA47" s="2220"/>
      <c r="BB47" s="2220"/>
      <c r="BC47" s="2220"/>
      <c r="BD47" s="2221"/>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9" t="s">
        <v>2409</v>
      </c>
      <c r="C50" s="2025"/>
      <c r="D50" s="2025"/>
      <c r="E50" s="2025"/>
      <c r="F50" s="2025"/>
      <c r="G50" s="2025"/>
      <c r="H50" s="2025"/>
      <c r="I50" s="2025"/>
      <c r="J50" s="2025"/>
      <c r="K50" s="2025"/>
      <c r="L50" s="2025"/>
      <c r="M50" s="2025"/>
      <c r="N50" s="2025"/>
      <c r="O50" s="2025"/>
      <c r="P50" s="2025"/>
      <c r="Q50" s="2025"/>
      <c r="R50" s="2025"/>
      <c r="S50" s="2025"/>
      <c r="T50" s="2025"/>
      <c r="U50" s="2025"/>
      <c r="V50" s="2025"/>
      <c r="W50" s="2025"/>
      <c r="X50" s="2025"/>
      <c r="Y50" s="2025"/>
      <c r="Z50" s="2025"/>
      <c r="AA50" s="2025"/>
      <c r="AB50" s="2025"/>
      <c r="AC50" s="2025"/>
      <c r="AD50" s="2025"/>
      <c r="AE50" s="2025"/>
      <c r="AF50" s="2025"/>
      <c r="AG50" s="2025"/>
      <c r="AH50" s="2025"/>
      <c r="AI50" s="2025"/>
      <c r="AJ50" s="2025"/>
      <c r="AK50" s="2025"/>
      <c r="AL50" s="2025"/>
      <c r="AM50" s="2025"/>
      <c r="AN50" s="2025"/>
      <c r="AO50" s="202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2" t="s">
        <v>2402</v>
      </c>
      <c r="C51" s="2100"/>
      <c r="D51" s="2100"/>
      <c r="E51" s="2100"/>
      <c r="F51" s="2100"/>
      <c r="G51" s="2100"/>
      <c r="H51" s="2100"/>
      <c r="I51" s="2100"/>
      <c r="J51" s="2100" t="s">
        <v>2408</v>
      </c>
      <c r="K51" s="2100"/>
      <c r="L51" s="2100"/>
      <c r="M51" s="2100"/>
      <c r="N51" s="2100"/>
      <c r="O51" s="2100"/>
      <c r="P51" s="2100"/>
      <c r="Q51" s="2100"/>
      <c r="R51" s="2201" t="s">
        <v>2407</v>
      </c>
      <c r="S51" s="2201"/>
      <c r="T51" s="2201"/>
      <c r="U51" s="2201"/>
      <c r="V51" s="2201"/>
      <c r="W51" s="2201"/>
      <c r="X51" s="2201"/>
      <c r="Y51" s="2201"/>
      <c r="Z51" s="2201" t="s">
        <v>2406</v>
      </c>
      <c r="AA51" s="2201"/>
      <c r="AB51" s="2201"/>
      <c r="AC51" s="2201"/>
      <c r="AD51" s="2201"/>
      <c r="AE51" s="2201"/>
      <c r="AF51" s="2201"/>
      <c r="AG51" s="2201"/>
      <c r="AH51" s="2201" t="s">
        <v>2405</v>
      </c>
      <c r="AI51" s="2201"/>
      <c r="AJ51" s="2201"/>
      <c r="AK51" s="2201"/>
      <c r="AL51" s="2201"/>
      <c r="AM51" s="2201"/>
      <c r="AN51" s="2201"/>
      <c r="AO51" s="2202"/>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2" t="s">
        <v>2404</v>
      </c>
      <c r="C52" s="2163"/>
      <c r="D52" s="2163"/>
      <c r="E52" s="2163"/>
      <c r="F52" s="2163"/>
      <c r="G52" s="2163"/>
      <c r="H52" s="2163"/>
      <c r="I52" s="2163"/>
      <c r="J52" s="1986">
        <v>0</v>
      </c>
      <c r="K52" s="1986"/>
      <c r="L52" s="1986"/>
      <c r="M52" s="1986"/>
      <c r="N52" s="1986"/>
      <c r="O52" s="1986"/>
      <c r="P52" s="1986"/>
      <c r="Q52" s="1986"/>
      <c r="R52" s="2193">
        <v>0</v>
      </c>
      <c r="S52" s="2193"/>
      <c r="T52" s="2193"/>
      <c r="U52" s="2193"/>
      <c r="V52" s="2193"/>
      <c r="W52" s="2193"/>
      <c r="X52" s="2193"/>
      <c r="Y52" s="2193"/>
      <c r="Z52" s="2194">
        <v>0</v>
      </c>
      <c r="AA52" s="2194"/>
      <c r="AB52" s="2194"/>
      <c r="AC52" s="2194"/>
      <c r="AD52" s="2194"/>
      <c r="AE52" s="2194"/>
      <c r="AF52" s="2194"/>
      <c r="AG52" s="2194"/>
      <c r="AH52" s="2195"/>
      <c r="AI52" s="2195"/>
      <c r="AJ52" s="2195"/>
      <c r="AK52" s="2195"/>
      <c r="AL52" s="2195"/>
      <c r="AM52" s="2195"/>
      <c r="AN52" s="2195"/>
      <c r="AO52" s="219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2" t="s">
        <v>2403</v>
      </c>
      <c r="C53" s="2163"/>
      <c r="D53" s="2163"/>
      <c r="E53" s="2163"/>
      <c r="F53" s="2163"/>
      <c r="G53" s="2163"/>
      <c r="H53" s="2163"/>
      <c r="I53" s="2163"/>
      <c r="J53" s="1986">
        <v>0</v>
      </c>
      <c r="K53" s="1986"/>
      <c r="L53" s="1986"/>
      <c r="M53" s="1986"/>
      <c r="N53" s="1986"/>
      <c r="O53" s="1986"/>
      <c r="P53" s="1986"/>
      <c r="Q53" s="1986"/>
      <c r="R53" s="2193">
        <v>0</v>
      </c>
      <c r="S53" s="2193"/>
      <c r="T53" s="2193"/>
      <c r="U53" s="2193"/>
      <c r="V53" s="2193"/>
      <c r="W53" s="2193"/>
      <c r="X53" s="2193"/>
      <c r="Y53" s="2193"/>
      <c r="Z53" s="2194">
        <v>0</v>
      </c>
      <c r="AA53" s="2194"/>
      <c r="AB53" s="2194"/>
      <c r="AC53" s="2194"/>
      <c r="AD53" s="2194"/>
      <c r="AE53" s="2194"/>
      <c r="AF53" s="2194"/>
      <c r="AG53" s="2194"/>
      <c r="AH53" s="2195"/>
      <c r="AI53" s="2195"/>
      <c r="AJ53" s="2195"/>
      <c r="AK53" s="2195"/>
      <c r="AL53" s="2195"/>
      <c r="AM53" s="2195"/>
      <c r="AN53" s="2195"/>
      <c r="AO53" s="219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2"/>
      <c r="C54" s="2163"/>
      <c r="D54" s="2163"/>
      <c r="E54" s="2163"/>
      <c r="F54" s="2163"/>
      <c r="G54" s="2163"/>
      <c r="H54" s="2163"/>
      <c r="I54" s="2163"/>
      <c r="J54" s="1986"/>
      <c r="K54" s="1986"/>
      <c r="L54" s="1986"/>
      <c r="M54" s="1986"/>
      <c r="N54" s="1986"/>
      <c r="O54" s="1986"/>
      <c r="P54" s="1986"/>
      <c r="Q54" s="1986"/>
      <c r="R54" s="2193"/>
      <c r="S54" s="2193"/>
      <c r="T54" s="2193"/>
      <c r="U54" s="2193"/>
      <c r="V54" s="2193"/>
      <c r="W54" s="2193"/>
      <c r="X54" s="2193"/>
      <c r="Y54" s="2193"/>
      <c r="Z54" s="2194"/>
      <c r="AA54" s="2194"/>
      <c r="AB54" s="2194"/>
      <c r="AC54" s="2194"/>
      <c r="AD54" s="2194"/>
      <c r="AE54" s="2194"/>
      <c r="AF54" s="2194"/>
      <c r="AG54" s="2194"/>
      <c r="AH54" s="2195"/>
      <c r="AI54" s="2195"/>
      <c r="AJ54" s="2195"/>
      <c r="AK54" s="2195"/>
      <c r="AL54" s="2195"/>
      <c r="AM54" s="2195"/>
      <c r="AN54" s="2195"/>
      <c r="AO54" s="219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2"/>
      <c r="C55" s="2163"/>
      <c r="D55" s="2163"/>
      <c r="E55" s="2163"/>
      <c r="F55" s="2163"/>
      <c r="G55" s="2163"/>
      <c r="H55" s="2163"/>
      <c r="I55" s="2163"/>
      <c r="J55" s="1986"/>
      <c r="K55" s="1986"/>
      <c r="L55" s="1986"/>
      <c r="M55" s="1986"/>
      <c r="N55" s="1986"/>
      <c r="O55" s="1986"/>
      <c r="P55" s="1986"/>
      <c r="Q55" s="1986"/>
      <c r="R55" s="2193"/>
      <c r="S55" s="2193"/>
      <c r="T55" s="2193"/>
      <c r="U55" s="2193"/>
      <c r="V55" s="2193"/>
      <c r="W55" s="2193"/>
      <c r="X55" s="2193"/>
      <c r="Y55" s="2193"/>
      <c r="Z55" s="2194"/>
      <c r="AA55" s="2194"/>
      <c r="AB55" s="2194"/>
      <c r="AC55" s="2194"/>
      <c r="AD55" s="2194"/>
      <c r="AE55" s="2194"/>
      <c r="AF55" s="2194"/>
      <c r="AG55" s="2194"/>
      <c r="AH55" s="2195"/>
      <c r="AI55" s="2195"/>
      <c r="AJ55" s="2195"/>
      <c r="AK55" s="2195"/>
      <c r="AL55" s="2195"/>
      <c r="AM55" s="2195"/>
      <c r="AN55" s="2195"/>
      <c r="AO55" s="2196"/>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2"/>
      <c r="C56" s="2163"/>
      <c r="D56" s="2163"/>
      <c r="E56" s="2163"/>
      <c r="F56" s="2163"/>
      <c r="G56" s="2163"/>
      <c r="H56" s="2163"/>
      <c r="I56" s="2163"/>
      <c r="J56" s="1986"/>
      <c r="K56" s="1986"/>
      <c r="L56" s="1986"/>
      <c r="M56" s="1986"/>
      <c r="N56" s="1986"/>
      <c r="O56" s="1986"/>
      <c r="P56" s="1986"/>
      <c r="Q56" s="1986"/>
      <c r="R56" s="2193"/>
      <c r="S56" s="2193"/>
      <c r="T56" s="2193"/>
      <c r="U56" s="2193"/>
      <c r="V56" s="2193"/>
      <c r="W56" s="2193"/>
      <c r="X56" s="2193"/>
      <c r="Y56" s="2193"/>
      <c r="Z56" s="2194"/>
      <c r="AA56" s="2194"/>
      <c r="AB56" s="2194"/>
      <c r="AC56" s="2194"/>
      <c r="AD56" s="2194"/>
      <c r="AE56" s="2194"/>
      <c r="AF56" s="2194"/>
      <c r="AG56" s="2194"/>
      <c r="AH56" s="2195"/>
      <c r="AI56" s="2195"/>
      <c r="AJ56" s="2195"/>
      <c r="AK56" s="2195"/>
      <c r="AL56" s="2195"/>
      <c r="AM56" s="2195"/>
      <c r="AN56" s="2195"/>
      <c r="AO56" s="219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0" t="s">
        <v>1587</v>
      </c>
      <c r="C57" s="2131"/>
      <c r="D57" s="2131"/>
      <c r="E57" s="2131"/>
      <c r="F57" s="2131"/>
      <c r="G57" s="2131"/>
      <c r="H57" s="2131"/>
      <c r="I57" s="2131"/>
      <c r="J57" s="2131"/>
      <c r="K57" s="2131"/>
      <c r="L57" s="2131"/>
      <c r="M57" s="2131"/>
      <c r="N57" s="2131"/>
      <c r="O57" s="2131"/>
      <c r="P57" s="2131"/>
      <c r="Q57" s="2131"/>
      <c r="R57" s="2197">
        <f>SUM(R52:Y56)</f>
        <v>0</v>
      </c>
      <c r="S57" s="2197"/>
      <c r="T57" s="2197"/>
      <c r="U57" s="2197"/>
      <c r="V57" s="2197"/>
      <c r="W57" s="2197"/>
      <c r="X57" s="2197"/>
      <c r="Y57" s="2197"/>
      <c r="Z57" s="2198">
        <f>SUM(Z52:AG56)</f>
        <v>0</v>
      </c>
      <c r="AA57" s="2198"/>
      <c r="AB57" s="2198"/>
      <c r="AC57" s="2198"/>
      <c r="AD57" s="2198"/>
      <c r="AE57" s="2198"/>
      <c r="AF57" s="2198"/>
      <c r="AG57" s="2198"/>
      <c r="AH57" s="2199"/>
      <c r="AI57" s="2199"/>
      <c r="AJ57" s="2199"/>
      <c r="AK57" s="2199"/>
      <c r="AL57" s="2199"/>
      <c r="AM57" s="2199"/>
      <c r="AN57" s="2199"/>
      <c r="AO57" s="220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0" t="s">
        <v>2402</v>
      </c>
      <c r="C59" s="2191"/>
      <c r="D59" s="2191"/>
      <c r="E59" s="2191"/>
      <c r="F59" s="2191"/>
      <c r="G59" s="2191"/>
      <c r="H59" s="2191"/>
      <c r="I59" s="2192"/>
      <c r="J59" s="2098" t="s">
        <v>2401</v>
      </c>
      <c r="K59" s="2098"/>
      <c r="L59" s="2098"/>
      <c r="M59" s="2098"/>
      <c r="N59" s="2098"/>
      <c r="O59" s="2098"/>
      <c r="P59" s="2098"/>
      <c r="Q59" s="2098"/>
      <c r="R59" s="2098"/>
      <c r="S59" s="2098"/>
      <c r="T59" s="2098"/>
      <c r="U59" s="2098"/>
      <c r="V59" s="2098"/>
      <c r="W59" s="2098"/>
      <c r="X59" s="2098"/>
      <c r="Y59" s="2098"/>
      <c r="Z59" s="2098"/>
      <c r="AA59" s="2098"/>
      <c r="AB59" s="2098"/>
      <c r="AC59" s="2098"/>
      <c r="AD59" s="2098"/>
      <c r="AE59" s="2098"/>
      <c r="AF59" s="2098"/>
      <c r="AG59" s="2098"/>
      <c r="AH59" s="2098"/>
      <c r="AI59" s="2098"/>
      <c r="AJ59" s="2098"/>
      <c r="AK59" s="2098"/>
      <c r="AL59" s="2098"/>
      <c r="AM59" s="2098"/>
      <c r="AN59" s="2098"/>
      <c r="AO59" s="2098"/>
      <c r="AP59" s="2098"/>
      <c r="AQ59" s="2098"/>
      <c r="AR59" s="2098"/>
      <c r="AS59" s="2098"/>
      <c r="AT59" s="2098"/>
      <c r="AU59" s="2098"/>
      <c r="AV59" s="2098"/>
      <c r="AW59" s="2099"/>
      <c r="AX59" s="1190"/>
      <c r="AY59" s="1190"/>
      <c r="AZ59" s="1190"/>
      <c r="BA59" s="1190"/>
      <c r="BB59" s="1190"/>
      <c r="BC59" s="1190"/>
      <c r="BD59" s="1190"/>
      <c r="BE59" s="1194"/>
    </row>
    <row r="60" spans="1:77" ht="15.75" customHeight="1">
      <c r="A60" s="1190"/>
      <c r="B60" s="2182" t="str">
        <f>IF(B52="", "", B52)</f>
        <v>Services Company 1</v>
      </c>
      <c r="C60" s="2183"/>
      <c r="D60" s="2183"/>
      <c r="E60" s="2183"/>
      <c r="F60" s="2183"/>
      <c r="G60" s="2183"/>
      <c r="H60" s="2183"/>
      <c r="I60" s="2184"/>
      <c r="J60" s="2185"/>
      <c r="K60" s="1989"/>
      <c r="L60" s="1989"/>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c r="AN60" s="1989"/>
      <c r="AO60" s="1989"/>
      <c r="AP60" s="1989"/>
      <c r="AQ60" s="1989"/>
      <c r="AR60" s="1989"/>
      <c r="AS60" s="1989"/>
      <c r="AT60" s="1989"/>
      <c r="AU60" s="1989"/>
      <c r="AV60" s="1989"/>
      <c r="AW60" s="1990"/>
      <c r="AX60" s="1190"/>
      <c r="AY60" s="1190"/>
      <c r="AZ60" s="1190"/>
      <c r="BA60" s="1190"/>
      <c r="BB60" s="1190"/>
      <c r="BC60" s="1190"/>
      <c r="BD60" s="1190"/>
      <c r="BE60" s="1194"/>
    </row>
    <row r="61" spans="1:77" ht="15.75" customHeight="1">
      <c r="A61" s="1190"/>
      <c r="B61" s="2182" t="str">
        <f>IF(B53="", "", B53)</f>
        <v>Services Company 2</v>
      </c>
      <c r="C61" s="2183"/>
      <c r="D61" s="2183"/>
      <c r="E61" s="2183"/>
      <c r="F61" s="2183"/>
      <c r="G61" s="2183"/>
      <c r="H61" s="2183"/>
      <c r="I61" s="2184"/>
      <c r="J61" s="2185"/>
      <c r="K61" s="1989"/>
      <c r="L61" s="1989"/>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c r="AN61" s="1989"/>
      <c r="AO61" s="1989"/>
      <c r="AP61" s="1989"/>
      <c r="AQ61" s="1989"/>
      <c r="AR61" s="1989"/>
      <c r="AS61" s="1989"/>
      <c r="AT61" s="1989"/>
      <c r="AU61" s="1989"/>
      <c r="AV61" s="1989"/>
      <c r="AW61" s="1990"/>
      <c r="AX61" s="1190"/>
      <c r="AY61" s="1190"/>
      <c r="AZ61" s="1190"/>
      <c r="BA61" s="1190"/>
      <c r="BB61" s="1190"/>
      <c r="BC61" s="1190"/>
      <c r="BD61" s="1190"/>
      <c r="BE61" s="1194"/>
    </row>
    <row r="62" spans="1:77" ht="15.75" customHeight="1">
      <c r="A62" s="1190"/>
      <c r="B62" s="2182" t="str">
        <f>IF(B54="", "", B54)</f>
        <v/>
      </c>
      <c r="C62" s="2183"/>
      <c r="D62" s="2183"/>
      <c r="E62" s="2183"/>
      <c r="F62" s="2183"/>
      <c r="G62" s="2183"/>
      <c r="H62" s="2183"/>
      <c r="I62" s="2184"/>
      <c r="J62" s="2185"/>
      <c r="K62" s="1989"/>
      <c r="L62" s="1989"/>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c r="AN62" s="1989"/>
      <c r="AO62" s="1989"/>
      <c r="AP62" s="1989"/>
      <c r="AQ62" s="1989"/>
      <c r="AR62" s="1989"/>
      <c r="AS62" s="1989"/>
      <c r="AT62" s="1989"/>
      <c r="AU62" s="1989"/>
      <c r="AV62" s="1989"/>
      <c r="AW62" s="1990"/>
      <c r="AX62" s="1190"/>
      <c r="AY62" s="1190"/>
      <c r="AZ62" s="1190"/>
      <c r="BA62" s="1190"/>
      <c r="BB62" s="1190"/>
      <c r="BC62" s="1190"/>
      <c r="BD62" s="1190"/>
      <c r="BE62" s="1194"/>
    </row>
    <row r="63" spans="1:77" ht="15.75" customHeight="1">
      <c r="A63" s="1190"/>
      <c r="B63" s="2182" t="str">
        <f>IF(B55="", "", B55)</f>
        <v/>
      </c>
      <c r="C63" s="2183"/>
      <c r="D63" s="2183"/>
      <c r="E63" s="2183"/>
      <c r="F63" s="2183"/>
      <c r="G63" s="2183"/>
      <c r="H63" s="2183"/>
      <c r="I63" s="2184"/>
      <c r="J63" s="2185"/>
      <c r="K63" s="1989"/>
      <c r="L63" s="1989"/>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c r="AN63" s="1989"/>
      <c r="AO63" s="1989"/>
      <c r="AP63" s="1989"/>
      <c r="AQ63" s="1989"/>
      <c r="AR63" s="1989"/>
      <c r="AS63" s="1989"/>
      <c r="AT63" s="1989"/>
      <c r="AU63" s="1989"/>
      <c r="AV63" s="1989"/>
      <c r="AW63" s="1990"/>
      <c r="AX63" s="1190"/>
      <c r="AY63" s="1190"/>
      <c r="AZ63" s="1190"/>
      <c r="BA63" s="1190"/>
      <c r="BB63" s="1190"/>
      <c r="BC63" s="1190"/>
      <c r="BD63" s="1190"/>
      <c r="BE63" s="1194"/>
    </row>
    <row r="64" spans="1:77" ht="15.75" customHeight="1" thickBot="1">
      <c r="A64" s="1190"/>
      <c r="B64" s="2186" t="str">
        <f>IF(B56="", "", B56)</f>
        <v/>
      </c>
      <c r="C64" s="2187"/>
      <c r="D64" s="2187"/>
      <c r="E64" s="2187"/>
      <c r="F64" s="2187"/>
      <c r="G64" s="2187"/>
      <c r="H64" s="2187"/>
      <c r="I64" s="2188"/>
      <c r="J64" s="2189"/>
      <c r="K64" s="2172"/>
      <c r="L64" s="2172"/>
      <c r="M64" s="2172"/>
      <c r="N64" s="2172"/>
      <c r="O64" s="2172"/>
      <c r="P64" s="2172"/>
      <c r="Q64" s="2172"/>
      <c r="R64" s="2172"/>
      <c r="S64" s="2172"/>
      <c r="T64" s="2172"/>
      <c r="U64" s="2172"/>
      <c r="V64" s="2172"/>
      <c r="W64" s="2172"/>
      <c r="X64" s="2172"/>
      <c r="Y64" s="2172"/>
      <c r="Z64" s="2172"/>
      <c r="AA64" s="2172"/>
      <c r="AB64" s="2172"/>
      <c r="AC64" s="2172"/>
      <c r="AD64" s="2172"/>
      <c r="AE64" s="2172"/>
      <c r="AF64" s="2172"/>
      <c r="AG64" s="2172"/>
      <c r="AH64" s="2172"/>
      <c r="AI64" s="2172"/>
      <c r="AJ64" s="2172"/>
      <c r="AK64" s="2172"/>
      <c r="AL64" s="2172"/>
      <c r="AM64" s="2172"/>
      <c r="AN64" s="2172"/>
      <c r="AO64" s="2172"/>
      <c r="AP64" s="2172"/>
      <c r="AQ64" s="2172"/>
      <c r="AR64" s="2172"/>
      <c r="AS64" s="2172"/>
      <c r="AT64" s="2172"/>
      <c r="AU64" s="2172"/>
      <c r="AV64" s="2172"/>
      <c r="AW64" s="217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7" t="s">
        <v>2399</v>
      </c>
      <c r="C68" s="2098"/>
      <c r="D68" s="2098"/>
      <c r="E68" s="2098"/>
      <c r="F68" s="2098"/>
      <c r="G68" s="2098"/>
      <c r="H68" s="2098"/>
      <c r="I68" s="2098"/>
      <c r="J68" s="2098"/>
      <c r="K68" s="2098"/>
      <c r="L68" s="2098"/>
      <c r="M68" s="2098"/>
      <c r="N68" s="2098"/>
      <c r="O68" s="2098"/>
      <c r="P68" s="2098"/>
      <c r="Q68" s="2098"/>
      <c r="R68" s="2098"/>
      <c r="S68" s="2098"/>
      <c r="T68" s="2098"/>
      <c r="U68" s="2098"/>
      <c r="V68" s="2098"/>
      <c r="W68" s="2098"/>
      <c r="X68" s="2098"/>
      <c r="Y68" s="2098"/>
      <c r="Z68" s="2098"/>
      <c r="AA68" s="2099"/>
      <c r="AB68" s="1190"/>
      <c r="AC68" s="2023" t="s">
        <v>2398</v>
      </c>
      <c r="AD68" s="2024"/>
      <c r="AE68" s="2024"/>
      <c r="AF68" s="2024"/>
      <c r="AG68" s="2024"/>
      <c r="AH68" s="2024"/>
      <c r="AI68" s="2024"/>
      <c r="AJ68" s="2024"/>
      <c r="AK68" s="2024"/>
      <c r="AL68" s="2024"/>
      <c r="AM68" s="2024"/>
      <c r="AN68" s="2024"/>
      <c r="AO68" s="2024"/>
      <c r="AP68" s="2024"/>
      <c r="AQ68" s="2024"/>
      <c r="AR68" s="2024"/>
      <c r="AS68" s="2024"/>
      <c r="AT68" s="2024"/>
      <c r="AU68" s="2024"/>
      <c r="AV68" s="2174" t="s">
        <v>670</v>
      </c>
      <c r="AW68" s="2080"/>
      <c r="AX68" s="2080"/>
      <c r="AY68" s="2080"/>
      <c r="AZ68" s="2080"/>
      <c r="BA68" s="2080"/>
      <c r="BB68" s="2080"/>
      <c r="BC68" s="2081"/>
      <c r="BD68" s="1190"/>
      <c r="BE68" s="1194"/>
      <c r="BM68" s="1199" t="s">
        <v>2397</v>
      </c>
    </row>
    <row r="69" spans="1:94" ht="15.75" customHeight="1" thickTop="1" thickBot="1">
      <c r="A69" s="1190"/>
      <c r="B69" s="2175" t="s">
        <v>2396</v>
      </c>
      <c r="C69" s="2176"/>
      <c r="D69" s="2176"/>
      <c r="E69" s="2176"/>
      <c r="F69" s="2176"/>
      <c r="G69" s="2176"/>
      <c r="H69" s="2176"/>
      <c r="I69" s="2176"/>
      <c r="J69" s="2176"/>
      <c r="K69" s="2176"/>
      <c r="L69" s="2176"/>
      <c r="M69" s="2176"/>
      <c r="N69" s="2176"/>
      <c r="O69" s="2177" t="s">
        <v>2395</v>
      </c>
      <c r="P69" s="2178"/>
      <c r="Q69" s="2178"/>
      <c r="R69" s="2178"/>
      <c r="S69" s="2178"/>
      <c r="T69" s="2178"/>
      <c r="U69" s="2178"/>
      <c r="V69" s="2178"/>
      <c r="W69" s="2178"/>
      <c r="X69" s="2178"/>
      <c r="Y69" s="2178"/>
      <c r="Z69" s="2178"/>
      <c r="AA69" s="2179"/>
      <c r="AB69" s="1190"/>
      <c r="AC69" s="2180" t="s">
        <v>2394</v>
      </c>
      <c r="AD69" s="2181"/>
      <c r="AE69" s="2181"/>
      <c r="AF69" s="2181"/>
      <c r="AG69" s="2181"/>
      <c r="AH69" s="2181"/>
      <c r="AI69" s="2181"/>
      <c r="AJ69" s="2181"/>
      <c r="AK69" s="2181"/>
      <c r="AL69" s="2181"/>
      <c r="AM69" s="2181"/>
      <c r="AN69" s="2181"/>
      <c r="AO69" s="2181"/>
      <c r="AP69" s="2181"/>
      <c r="AQ69" s="2181"/>
      <c r="AR69" s="2181"/>
      <c r="AS69" s="2181"/>
      <c r="AT69" s="2181"/>
      <c r="AU69" s="2181"/>
      <c r="AV69" s="2174" t="s">
        <v>670</v>
      </c>
      <c r="AW69" s="2080"/>
      <c r="AX69" s="2080"/>
      <c r="AY69" s="2080"/>
      <c r="AZ69" s="2080"/>
      <c r="BA69" s="2080"/>
      <c r="BB69" s="2080"/>
      <c r="BC69" s="2081"/>
      <c r="BD69" s="1190"/>
      <c r="BE69" s="1194"/>
      <c r="BM69" s="1200" t="s">
        <v>546</v>
      </c>
    </row>
    <row r="70" spans="1:94" ht="15.75" customHeight="1">
      <c r="A70" s="1190"/>
      <c r="B70" s="2157" t="s">
        <v>2393</v>
      </c>
      <c r="C70" s="2158"/>
      <c r="D70" s="2158"/>
      <c r="E70" s="2158"/>
      <c r="F70" s="2158"/>
      <c r="G70" s="2158"/>
      <c r="H70" s="2158"/>
      <c r="I70" s="2158"/>
      <c r="J70" s="2158"/>
      <c r="K70" s="2158"/>
      <c r="L70" s="2158"/>
      <c r="M70" s="2158"/>
      <c r="N70" s="2158"/>
      <c r="O70" s="2031">
        <v>0</v>
      </c>
      <c r="P70" s="2031"/>
      <c r="Q70" s="2031"/>
      <c r="R70" s="2031"/>
      <c r="S70" s="2031"/>
      <c r="T70" s="2031"/>
      <c r="U70" s="2031"/>
      <c r="V70" s="2031"/>
      <c r="W70" s="2031"/>
      <c r="X70" s="2031"/>
      <c r="Y70" s="2031"/>
      <c r="Z70" s="2031"/>
      <c r="AA70" s="2159"/>
      <c r="AB70" s="1190"/>
      <c r="AC70" s="2069" t="s">
        <v>2392</v>
      </c>
      <c r="AD70" s="2025"/>
      <c r="AE70" s="2025"/>
      <c r="AF70" s="2168"/>
      <c r="AG70" s="2168"/>
      <c r="AH70" s="2168"/>
      <c r="AI70" s="2168"/>
      <c r="AJ70" s="2168"/>
      <c r="AK70" s="2168"/>
      <c r="AL70" s="2168"/>
      <c r="AM70" s="2168"/>
      <c r="AN70" s="2168"/>
      <c r="AO70" s="2168"/>
      <c r="AP70" s="2168"/>
      <c r="AQ70" s="2168"/>
      <c r="AR70" s="2168"/>
      <c r="AS70" s="2168"/>
      <c r="AT70" s="2168"/>
      <c r="AU70" s="2169"/>
      <c r="AV70" s="1190"/>
      <c r="AW70" s="1190"/>
      <c r="AX70" s="1190"/>
      <c r="AY70" s="1190"/>
      <c r="AZ70" s="1190"/>
      <c r="BA70" s="1190"/>
      <c r="BB70" s="1190"/>
      <c r="BC70" s="1190"/>
      <c r="BD70" s="1190"/>
      <c r="BE70" s="1194"/>
      <c r="BM70" s="1201" t="s">
        <v>670</v>
      </c>
    </row>
    <row r="71" spans="1:94" ht="15.75" customHeight="1" thickBot="1">
      <c r="A71" s="1190"/>
      <c r="B71" s="2157" t="s">
        <v>2391</v>
      </c>
      <c r="C71" s="2158"/>
      <c r="D71" s="2158"/>
      <c r="E71" s="2158"/>
      <c r="F71" s="2158"/>
      <c r="G71" s="2158"/>
      <c r="H71" s="2158"/>
      <c r="I71" s="2158"/>
      <c r="J71" s="2158"/>
      <c r="K71" s="2158"/>
      <c r="L71" s="2158"/>
      <c r="M71" s="2158"/>
      <c r="N71" s="2158"/>
      <c r="O71" s="2031">
        <v>0</v>
      </c>
      <c r="P71" s="2031"/>
      <c r="Q71" s="2031"/>
      <c r="R71" s="2031"/>
      <c r="S71" s="2031"/>
      <c r="T71" s="2031"/>
      <c r="U71" s="2031"/>
      <c r="V71" s="2031"/>
      <c r="W71" s="2031"/>
      <c r="X71" s="2031"/>
      <c r="Y71" s="2031"/>
      <c r="Z71" s="2031"/>
      <c r="AA71" s="2159"/>
      <c r="AB71" s="1190"/>
      <c r="AC71" s="2170" t="s">
        <v>2390</v>
      </c>
      <c r="AD71" s="2171"/>
      <c r="AE71" s="2171"/>
      <c r="AF71" s="2172"/>
      <c r="AG71" s="2172"/>
      <c r="AH71" s="2172"/>
      <c r="AI71" s="2172"/>
      <c r="AJ71" s="2172"/>
      <c r="AK71" s="2172"/>
      <c r="AL71" s="2172"/>
      <c r="AM71" s="2172"/>
      <c r="AN71" s="2172"/>
      <c r="AO71" s="2172"/>
      <c r="AP71" s="2172"/>
      <c r="AQ71" s="2172"/>
      <c r="AR71" s="2172"/>
      <c r="AS71" s="2172"/>
      <c r="AT71" s="2172"/>
      <c r="AU71" s="2173"/>
      <c r="AV71" s="1190"/>
      <c r="AW71" s="1190"/>
      <c r="AX71" s="1190"/>
      <c r="AY71" s="1190"/>
      <c r="AZ71" s="1190"/>
      <c r="BA71" s="1190"/>
      <c r="BB71" s="1190"/>
      <c r="BC71" s="1190"/>
      <c r="BD71" s="1190"/>
      <c r="BE71" s="1194"/>
      <c r="BM71" s="1187" t="s">
        <v>2389</v>
      </c>
    </row>
    <row r="72" spans="1:94" ht="15.75" customHeight="1">
      <c r="A72" s="1190"/>
      <c r="B72" s="2157" t="s">
        <v>2388</v>
      </c>
      <c r="C72" s="2158"/>
      <c r="D72" s="2158"/>
      <c r="E72" s="2158"/>
      <c r="F72" s="2158"/>
      <c r="G72" s="2158"/>
      <c r="H72" s="2158"/>
      <c r="I72" s="2158"/>
      <c r="J72" s="2158"/>
      <c r="K72" s="2158"/>
      <c r="L72" s="2158"/>
      <c r="M72" s="2158"/>
      <c r="N72" s="2158"/>
      <c r="O72" s="2031">
        <v>0</v>
      </c>
      <c r="P72" s="2031"/>
      <c r="Q72" s="2031"/>
      <c r="R72" s="2031"/>
      <c r="S72" s="2031"/>
      <c r="T72" s="2031"/>
      <c r="U72" s="2031"/>
      <c r="V72" s="2031"/>
      <c r="W72" s="2031"/>
      <c r="X72" s="2031"/>
      <c r="Y72" s="2031"/>
      <c r="Z72" s="2031"/>
      <c r="AA72" s="2159"/>
      <c r="AB72" s="1190"/>
      <c r="AC72" s="2160" t="s">
        <v>2387</v>
      </c>
      <c r="AD72" s="2161"/>
      <c r="AE72" s="2161"/>
      <c r="AF72" s="2161"/>
      <c r="AG72" s="2161"/>
      <c r="AH72" s="2161"/>
      <c r="AI72" s="2161"/>
      <c r="AJ72" s="2161"/>
      <c r="AK72" s="2161"/>
      <c r="AL72" s="2161"/>
      <c r="AM72" s="2161"/>
      <c r="AN72" s="2161"/>
      <c r="AO72" s="2161"/>
      <c r="AP72" s="2161"/>
      <c r="AQ72" s="2161"/>
      <c r="AR72" s="2161"/>
      <c r="AS72" s="2161"/>
      <c r="AT72" s="2161"/>
      <c r="AU72" s="2161"/>
      <c r="AV72" s="2025"/>
      <c r="AW72" s="2025"/>
      <c r="AX72" s="2025"/>
      <c r="AY72" s="2025"/>
      <c r="AZ72" s="2025"/>
      <c r="BA72" s="2025"/>
      <c r="BB72" s="2025"/>
      <c r="BC72" s="2026"/>
      <c r="BD72" s="1190"/>
      <c r="BE72" s="1194"/>
    </row>
    <row r="73" spans="1:94" ht="15.75" customHeight="1">
      <c r="A73" s="1190"/>
      <c r="B73" s="2162" t="s">
        <v>2386</v>
      </c>
      <c r="C73" s="2163"/>
      <c r="D73" s="2163"/>
      <c r="E73" s="2163"/>
      <c r="F73" s="2163"/>
      <c r="G73" s="2163"/>
      <c r="H73" s="2163"/>
      <c r="I73" s="2163"/>
      <c r="J73" s="2163"/>
      <c r="K73" s="2163"/>
      <c r="L73" s="2163"/>
      <c r="M73" s="2163"/>
      <c r="N73" s="2163"/>
      <c r="O73" s="2031">
        <v>0</v>
      </c>
      <c r="P73" s="2031"/>
      <c r="Q73" s="2031"/>
      <c r="R73" s="2031"/>
      <c r="S73" s="2031"/>
      <c r="T73" s="2031"/>
      <c r="U73" s="2031"/>
      <c r="V73" s="2031"/>
      <c r="W73" s="2031"/>
      <c r="X73" s="2031"/>
      <c r="Y73" s="2031"/>
      <c r="Z73" s="2031"/>
      <c r="AA73" s="2159"/>
      <c r="AB73" s="1190"/>
      <c r="AC73" s="2040" t="s">
        <v>2331</v>
      </c>
      <c r="AD73" s="2041"/>
      <c r="AE73" s="2041"/>
      <c r="AF73" s="2041"/>
      <c r="AG73" s="2041"/>
      <c r="AH73" s="2041"/>
      <c r="AI73" s="2041"/>
      <c r="AJ73" s="2041"/>
      <c r="AK73" s="2041"/>
      <c r="AL73" s="2041"/>
      <c r="AM73" s="2041"/>
      <c r="AN73" s="2041"/>
      <c r="AO73" s="2041"/>
      <c r="AP73" s="2041"/>
      <c r="AQ73" s="2041"/>
      <c r="AR73" s="2041"/>
      <c r="AS73" s="2041"/>
      <c r="AT73" s="2041"/>
      <c r="AU73" s="2041"/>
      <c r="AV73" s="2041"/>
      <c r="AW73" s="2041"/>
      <c r="AX73" s="2041"/>
      <c r="AY73" s="2041"/>
      <c r="AZ73" s="2041"/>
      <c r="BA73" s="2041"/>
      <c r="BB73" s="2041"/>
      <c r="BC73" s="2042"/>
      <c r="BD73" s="1190"/>
      <c r="BE73" s="1194"/>
      <c r="CK73" s="1188"/>
      <c r="CL73" s="1188"/>
      <c r="CM73" s="1188"/>
      <c r="CN73" s="1188"/>
      <c r="CO73" s="1188"/>
      <c r="CP73" s="1188"/>
    </row>
    <row r="74" spans="1:94" ht="15.75" customHeight="1">
      <c r="A74" s="1190"/>
      <c r="B74" s="1985"/>
      <c r="C74" s="1986"/>
      <c r="D74" s="1986"/>
      <c r="E74" s="1986"/>
      <c r="F74" s="1986"/>
      <c r="G74" s="1986"/>
      <c r="H74" s="1986"/>
      <c r="I74" s="1986"/>
      <c r="J74" s="1986"/>
      <c r="K74" s="1986"/>
      <c r="L74" s="1986"/>
      <c r="M74" s="1986"/>
      <c r="N74" s="1986"/>
      <c r="O74" s="2031"/>
      <c r="P74" s="2031"/>
      <c r="Q74" s="2031"/>
      <c r="R74" s="2031"/>
      <c r="S74" s="2031"/>
      <c r="T74" s="2031"/>
      <c r="U74" s="2031"/>
      <c r="V74" s="2031"/>
      <c r="W74" s="2031"/>
      <c r="X74" s="2031"/>
      <c r="Y74" s="2031"/>
      <c r="Z74" s="2031"/>
      <c r="AA74" s="2159"/>
      <c r="AB74" s="1190"/>
      <c r="AC74" s="2040"/>
      <c r="AD74" s="2041"/>
      <c r="AE74" s="2041"/>
      <c r="AF74" s="2041"/>
      <c r="AG74" s="2041"/>
      <c r="AH74" s="2041"/>
      <c r="AI74" s="2041"/>
      <c r="AJ74" s="2041"/>
      <c r="AK74" s="2041"/>
      <c r="AL74" s="2041"/>
      <c r="AM74" s="2041"/>
      <c r="AN74" s="2041"/>
      <c r="AO74" s="2041"/>
      <c r="AP74" s="2041"/>
      <c r="AQ74" s="2041"/>
      <c r="AR74" s="2041"/>
      <c r="AS74" s="2041"/>
      <c r="AT74" s="2041"/>
      <c r="AU74" s="2041"/>
      <c r="AV74" s="2041"/>
      <c r="AW74" s="2041"/>
      <c r="AX74" s="2041"/>
      <c r="AY74" s="2041"/>
      <c r="AZ74" s="2041"/>
      <c r="BA74" s="2041"/>
      <c r="BB74" s="2041"/>
      <c r="BC74" s="2042"/>
      <c r="BD74" s="1190"/>
      <c r="BE74" s="1194"/>
      <c r="CK74" s="1188"/>
      <c r="CL74" s="1188"/>
      <c r="CM74" s="1188"/>
      <c r="CN74" s="1188"/>
      <c r="CO74" s="1188"/>
      <c r="CP74" s="1188"/>
    </row>
    <row r="75" spans="1:94" ht="15.75" customHeight="1" thickBot="1">
      <c r="A75" s="1190"/>
      <c r="B75" s="2164" t="s">
        <v>124</v>
      </c>
      <c r="C75" s="2165"/>
      <c r="D75" s="2165"/>
      <c r="E75" s="2165"/>
      <c r="F75" s="2165"/>
      <c r="G75" s="2165"/>
      <c r="H75" s="2165"/>
      <c r="I75" s="2165"/>
      <c r="J75" s="2165"/>
      <c r="K75" s="2165"/>
      <c r="L75" s="2165"/>
      <c r="M75" s="2165"/>
      <c r="N75" s="2165"/>
      <c r="O75" s="2166">
        <f>SUM(O70:AA74)</f>
        <v>0</v>
      </c>
      <c r="P75" s="2166"/>
      <c r="Q75" s="2166"/>
      <c r="R75" s="2166"/>
      <c r="S75" s="2166"/>
      <c r="T75" s="2166"/>
      <c r="U75" s="2166"/>
      <c r="V75" s="2166"/>
      <c r="W75" s="2166"/>
      <c r="X75" s="2166"/>
      <c r="Y75" s="2166"/>
      <c r="Z75" s="2166"/>
      <c r="AA75" s="2167"/>
      <c r="AB75" s="1190"/>
      <c r="AC75" s="2040"/>
      <c r="AD75" s="2041"/>
      <c r="AE75" s="2041"/>
      <c r="AF75" s="2041"/>
      <c r="AG75" s="2041"/>
      <c r="AH75" s="2041"/>
      <c r="AI75" s="2041"/>
      <c r="AJ75" s="2041"/>
      <c r="AK75" s="2041"/>
      <c r="AL75" s="2041"/>
      <c r="AM75" s="2041"/>
      <c r="AN75" s="2041"/>
      <c r="AO75" s="2041"/>
      <c r="AP75" s="2041"/>
      <c r="AQ75" s="2041"/>
      <c r="AR75" s="2041"/>
      <c r="AS75" s="2041"/>
      <c r="AT75" s="2041"/>
      <c r="AU75" s="2041"/>
      <c r="AV75" s="2041"/>
      <c r="AW75" s="2041"/>
      <c r="AX75" s="2041"/>
      <c r="AY75" s="2041"/>
      <c r="AZ75" s="2041"/>
      <c r="BA75" s="2041"/>
      <c r="BB75" s="2041"/>
      <c r="BC75" s="204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0"/>
      <c r="AD76" s="2041"/>
      <c r="AE76" s="2041"/>
      <c r="AF76" s="2041"/>
      <c r="AG76" s="2041"/>
      <c r="AH76" s="2041"/>
      <c r="AI76" s="2041"/>
      <c r="AJ76" s="2041"/>
      <c r="AK76" s="2041"/>
      <c r="AL76" s="2041"/>
      <c r="AM76" s="2041"/>
      <c r="AN76" s="2041"/>
      <c r="AO76" s="2041"/>
      <c r="AP76" s="2041"/>
      <c r="AQ76" s="2041"/>
      <c r="AR76" s="2041"/>
      <c r="AS76" s="2041"/>
      <c r="AT76" s="2041"/>
      <c r="AU76" s="2041"/>
      <c r="AV76" s="2041"/>
      <c r="AW76" s="2041"/>
      <c r="AX76" s="2041"/>
      <c r="AY76" s="2041"/>
      <c r="AZ76" s="2041"/>
      <c r="BA76" s="2041"/>
      <c r="BB76" s="2041"/>
      <c r="BC76" s="204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3"/>
      <c r="AD77" s="2044"/>
      <c r="AE77" s="2044"/>
      <c r="AF77" s="2044"/>
      <c r="AG77" s="2044"/>
      <c r="AH77" s="2044"/>
      <c r="AI77" s="2044"/>
      <c r="AJ77" s="2044"/>
      <c r="AK77" s="2044"/>
      <c r="AL77" s="2044"/>
      <c r="AM77" s="2044"/>
      <c r="AN77" s="2044"/>
      <c r="AO77" s="2044"/>
      <c r="AP77" s="2044"/>
      <c r="AQ77" s="2044"/>
      <c r="AR77" s="2044"/>
      <c r="AS77" s="2044"/>
      <c r="AT77" s="2044"/>
      <c r="AU77" s="2044"/>
      <c r="AV77" s="2044"/>
      <c r="AW77" s="2044"/>
      <c r="AX77" s="2044"/>
      <c r="AY77" s="2044"/>
      <c r="AZ77" s="2044"/>
      <c r="BA77" s="2044"/>
      <c r="BB77" s="2044"/>
      <c r="BC77" s="2045"/>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42"/>
      <c r="G79" s="2143"/>
      <c r="H79" s="2143"/>
      <c r="I79" s="2143"/>
      <c r="J79" s="2143"/>
      <c r="K79" s="2143"/>
      <c r="L79" s="2143"/>
      <c r="M79" s="2143"/>
      <c r="N79" s="2143"/>
      <c r="O79" s="2143"/>
      <c r="P79" s="2143"/>
      <c r="Q79" s="2143"/>
      <c r="R79" s="2143"/>
      <c r="S79" s="2143"/>
      <c r="T79" s="214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5" t="s">
        <v>2384</v>
      </c>
      <c r="C80" s="2146"/>
      <c r="D80" s="2146"/>
      <c r="E80" s="2146"/>
      <c r="F80" s="2146"/>
      <c r="G80" s="2146"/>
      <c r="H80" s="2146"/>
      <c r="I80" s="2146"/>
      <c r="J80" s="2146"/>
      <c r="K80" s="2146"/>
      <c r="L80" s="2146"/>
      <c r="M80" s="2146"/>
      <c r="N80" s="2146"/>
      <c r="O80" s="2146"/>
      <c r="P80" s="2146"/>
      <c r="Q80" s="2146"/>
      <c r="R80" s="2148" t="str">
        <f>IFERROR(INDEX(BR96:BR98,MATCH(F79,$BQ$96:$BQ$98,0))/SUM($BR$96:$BR$98),"")</f>
        <v/>
      </c>
      <c r="S80" s="2149"/>
      <c r="T80" s="2150"/>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1" t="s">
        <v>2383</v>
      </c>
      <c r="C81" s="2152"/>
      <c r="D81" s="2152"/>
      <c r="E81" s="2152"/>
      <c r="F81" s="2152"/>
      <c r="G81" s="2152"/>
      <c r="H81" s="2152"/>
      <c r="I81" s="2152"/>
      <c r="J81" s="2152"/>
      <c r="K81" s="2152"/>
      <c r="L81" s="2152"/>
      <c r="M81" s="2152"/>
      <c r="N81" s="2152"/>
      <c r="O81" s="2152"/>
      <c r="P81" s="2152"/>
      <c r="Q81" s="2152"/>
      <c r="R81" s="2133" t="s">
        <v>2189</v>
      </c>
      <c r="S81" s="2134"/>
      <c r="T81" s="2135"/>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4" t="s">
        <v>2382</v>
      </c>
      <c r="C83" s="2155"/>
      <c r="D83" s="2155"/>
      <c r="E83" s="2155"/>
      <c r="F83" s="2155"/>
      <c r="G83" s="2155"/>
      <c r="H83" s="2155"/>
      <c r="I83" s="2155"/>
      <c r="J83" s="2155"/>
      <c r="K83" s="2155"/>
      <c r="L83" s="2155"/>
      <c r="M83" s="2155"/>
      <c r="N83" s="2155"/>
      <c r="O83" s="2155"/>
      <c r="P83" s="2155"/>
      <c r="Q83" s="2155"/>
      <c r="R83" s="2155"/>
      <c r="S83" s="2155"/>
      <c r="T83" s="2155"/>
      <c r="U83" s="2155"/>
      <c r="V83" s="2155"/>
      <c r="W83" s="2155"/>
      <c r="X83" s="2155"/>
      <c r="Y83" s="2155"/>
      <c r="Z83" s="2155"/>
      <c r="AA83" s="2155"/>
      <c r="AB83" s="2155"/>
      <c r="AC83" s="2155"/>
      <c r="AD83" s="2155"/>
      <c r="AE83" s="2155"/>
      <c r="AF83" s="2155"/>
      <c r="AG83" s="2155"/>
      <c r="AH83" s="2156"/>
      <c r="AI83" s="1190"/>
      <c r="AJ83" s="2121" t="s">
        <v>2381</v>
      </c>
      <c r="AK83" s="2122"/>
      <c r="AL83" s="2122"/>
      <c r="AM83" s="2122"/>
      <c r="AN83" s="2122"/>
      <c r="AO83" s="2122"/>
      <c r="AP83" s="2122"/>
      <c r="AQ83" s="2122"/>
      <c r="AR83" s="2122"/>
      <c r="AS83" s="2122"/>
      <c r="AT83" s="2122"/>
      <c r="AU83" s="2122"/>
      <c r="AV83" s="2122"/>
      <c r="AW83" s="2122"/>
      <c r="AX83" s="2122"/>
      <c r="AY83" s="2138" t="s">
        <v>546</v>
      </c>
      <c r="AZ83" s="2138"/>
      <c r="BA83" s="2138"/>
      <c r="BB83" s="2139"/>
      <c r="BC83" s="1190"/>
      <c r="BD83" s="1190"/>
      <c r="BE83" s="1194"/>
      <c r="CK83" s="1188"/>
      <c r="CL83" s="1188"/>
      <c r="CM83" s="1188"/>
      <c r="CN83" s="1188"/>
      <c r="CO83" s="1188"/>
      <c r="CP83" s="1188"/>
    </row>
    <row r="84" spans="1:94" ht="15.75" customHeight="1">
      <c r="A84" s="1190"/>
      <c r="B84" s="2132"/>
      <c r="C84" s="2100"/>
      <c r="D84" s="2100"/>
      <c r="E84" s="2100"/>
      <c r="F84" s="2100"/>
      <c r="G84" s="2100"/>
      <c r="H84" s="2100"/>
      <c r="I84" s="2100" t="s">
        <v>2371</v>
      </c>
      <c r="J84" s="2100"/>
      <c r="K84" s="2100"/>
      <c r="L84" s="2100"/>
      <c r="M84" s="2100"/>
      <c r="N84" s="2100"/>
      <c r="O84" s="2100" t="s">
        <v>2347</v>
      </c>
      <c r="P84" s="2100"/>
      <c r="Q84" s="2100"/>
      <c r="R84" s="2100"/>
      <c r="S84" s="2100"/>
      <c r="T84" s="2100"/>
      <c r="U84" s="2100"/>
      <c r="V84" s="2136" t="s">
        <v>2346</v>
      </c>
      <c r="W84" s="2136"/>
      <c r="X84" s="2136"/>
      <c r="Y84" s="2136"/>
      <c r="Z84" s="2136"/>
      <c r="AA84" s="2136"/>
      <c r="AB84" s="2070" t="s">
        <v>2370</v>
      </c>
      <c r="AC84" s="2070"/>
      <c r="AD84" s="2070"/>
      <c r="AE84" s="2070"/>
      <c r="AF84" s="2070"/>
      <c r="AG84" s="2070"/>
      <c r="AH84" s="2137"/>
      <c r="AI84" s="1190"/>
      <c r="AJ84" s="2124"/>
      <c r="AK84" s="2125"/>
      <c r="AL84" s="2125"/>
      <c r="AM84" s="2125"/>
      <c r="AN84" s="2125"/>
      <c r="AO84" s="2125"/>
      <c r="AP84" s="2125"/>
      <c r="AQ84" s="2125"/>
      <c r="AR84" s="2125"/>
      <c r="AS84" s="2125"/>
      <c r="AT84" s="2125"/>
      <c r="AU84" s="2125"/>
      <c r="AV84" s="2125"/>
      <c r="AW84" s="2125"/>
      <c r="AX84" s="2125"/>
      <c r="AY84" s="2140"/>
      <c r="AZ84" s="2140"/>
      <c r="BA84" s="2140"/>
      <c r="BB84" s="2141"/>
      <c r="BC84" s="1190"/>
      <c r="BD84" s="1190"/>
      <c r="BE84" s="1194"/>
      <c r="CK84" s="1188"/>
      <c r="CL84" s="1188"/>
      <c r="CM84" s="1188"/>
      <c r="CN84" s="1188"/>
      <c r="CO84" s="1188"/>
      <c r="CP84" s="1188"/>
    </row>
    <row r="85" spans="1:94" ht="15.75" customHeight="1">
      <c r="A85" s="1190"/>
      <c r="B85" s="2132"/>
      <c r="C85" s="2100"/>
      <c r="D85" s="2100"/>
      <c r="E85" s="2100"/>
      <c r="F85" s="2100"/>
      <c r="G85" s="2100"/>
      <c r="H85" s="2100"/>
      <c r="I85" s="2100"/>
      <c r="J85" s="2100"/>
      <c r="K85" s="2100"/>
      <c r="L85" s="2100"/>
      <c r="M85" s="2100"/>
      <c r="N85" s="2100"/>
      <c r="O85" s="2100"/>
      <c r="P85" s="2100"/>
      <c r="Q85" s="2100"/>
      <c r="R85" s="2100"/>
      <c r="S85" s="2100"/>
      <c r="T85" s="2100"/>
      <c r="U85" s="2100"/>
      <c r="V85" s="2136"/>
      <c r="W85" s="2136"/>
      <c r="X85" s="2136"/>
      <c r="Y85" s="2136"/>
      <c r="Z85" s="2136"/>
      <c r="AA85" s="2136"/>
      <c r="AB85" s="2070"/>
      <c r="AC85" s="2070"/>
      <c r="AD85" s="2070"/>
      <c r="AE85" s="2070"/>
      <c r="AF85" s="2070"/>
      <c r="AG85" s="2070"/>
      <c r="AH85" s="2137"/>
      <c r="AI85" s="1190"/>
      <c r="AJ85" s="2124"/>
      <c r="AK85" s="2125"/>
      <c r="AL85" s="2125"/>
      <c r="AM85" s="2125"/>
      <c r="AN85" s="2125"/>
      <c r="AO85" s="2125"/>
      <c r="AP85" s="2125"/>
      <c r="AQ85" s="2125"/>
      <c r="AR85" s="2125"/>
      <c r="AS85" s="2125"/>
      <c r="AT85" s="2125"/>
      <c r="AU85" s="2125"/>
      <c r="AV85" s="2125"/>
      <c r="AW85" s="2125"/>
      <c r="AX85" s="2125"/>
      <c r="AY85" s="2140"/>
      <c r="AZ85" s="2140"/>
      <c r="BA85" s="2140"/>
      <c r="BB85" s="2141"/>
      <c r="BC85" s="1190"/>
      <c r="BD85" s="1190"/>
      <c r="BE85" s="1194"/>
      <c r="CK85" s="1188"/>
      <c r="CL85" s="1188"/>
      <c r="CM85" s="1188"/>
      <c r="CN85" s="1188"/>
      <c r="CO85" s="1188"/>
      <c r="CP85" s="1188"/>
    </row>
    <row r="86" spans="1:94" ht="15.75" customHeight="1">
      <c r="A86" s="1190"/>
      <c r="B86" s="2132" t="s">
        <v>2369</v>
      </c>
      <c r="C86" s="2100"/>
      <c r="D86" s="2100"/>
      <c r="E86" s="2100"/>
      <c r="F86" s="2100"/>
      <c r="G86" s="2100"/>
      <c r="H86" s="2100"/>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190"/>
      <c r="AJ86" s="2124"/>
      <c r="AK86" s="2125"/>
      <c r="AL86" s="2125"/>
      <c r="AM86" s="2125"/>
      <c r="AN86" s="2125"/>
      <c r="AO86" s="2125"/>
      <c r="AP86" s="2125"/>
      <c r="AQ86" s="2125"/>
      <c r="AR86" s="2125"/>
      <c r="AS86" s="2125"/>
      <c r="AT86" s="2125"/>
      <c r="AU86" s="2125"/>
      <c r="AV86" s="2125"/>
      <c r="AW86" s="2125"/>
      <c r="AX86" s="2125"/>
      <c r="AY86" s="2140"/>
      <c r="AZ86" s="2140"/>
      <c r="BA86" s="2140"/>
      <c r="BB86" s="2141"/>
      <c r="BC86" s="1190"/>
      <c r="BD86" s="1190"/>
      <c r="BE86" s="1194"/>
      <c r="CK86" s="1188"/>
      <c r="CL86" s="1188"/>
      <c r="CM86" s="1188"/>
      <c r="CN86" s="1188"/>
      <c r="CO86" s="1188"/>
      <c r="CP86" s="1188"/>
    </row>
    <row r="87" spans="1:94" ht="15.75" customHeight="1">
      <c r="A87" s="1190"/>
      <c r="B87" s="2132" t="s">
        <v>2368</v>
      </c>
      <c r="C87" s="2100"/>
      <c r="D87" s="2100"/>
      <c r="E87" s="2100"/>
      <c r="F87" s="2100"/>
      <c r="G87" s="2100"/>
      <c r="H87" s="2100"/>
      <c r="I87" s="2073">
        <v>0</v>
      </c>
      <c r="J87" s="2073"/>
      <c r="K87" s="2073"/>
      <c r="L87" s="2073"/>
      <c r="M87" s="2073"/>
      <c r="N87" s="2073"/>
      <c r="O87" s="2073">
        <v>0</v>
      </c>
      <c r="P87" s="2073"/>
      <c r="Q87" s="2073"/>
      <c r="R87" s="2073"/>
      <c r="S87" s="2073"/>
      <c r="T87" s="2073"/>
      <c r="U87" s="2073"/>
      <c r="V87" s="2073">
        <v>0</v>
      </c>
      <c r="W87" s="2073"/>
      <c r="X87" s="2073"/>
      <c r="Y87" s="2073"/>
      <c r="Z87" s="2073"/>
      <c r="AA87" s="2073"/>
      <c r="AB87" s="2073">
        <v>0</v>
      </c>
      <c r="AC87" s="2073"/>
      <c r="AD87" s="2073"/>
      <c r="AE87" s="2073"/>
      <c r="AF87" s="2073"/>
      <c r="AG87" s="2073"/>
      <c r="AH87" s="2074"/>
      <c r="AI87" s="1190"/>
      <c r="AJ87" s="2040" t="s">
        <v>2375</v>
      </c>
      <c r="AK87" s="2041"/>
      <c r="AL87" s="2041"/>
      <c r="AM87" s="2041"/>
      <c r="AN87" s="2041"/>
      <c r="AO87" s="2041"/>
      <c r="AP87" s="2041"/>
      <c r="AQ87" s="2041"/>
      <c r="AR87" s="2041"/>
      <c r="AS87" s="2041"/>
      <c r="AT87" s="2041"/>
      <c r="AU87" s="2041"/>
      <c r="AV87" s="2041"/>
      <c r="AW87" s="2041"/>
      <c r="AX87" s="2041"/>
      <c r="AY87" s="2041"/>
      <c r="AZ87" s="2041"/>
      <c r="BA87" s="2041"/>
      <c r="BB87" s="2042"/>
      <c r="BC87" s="1190"/>
      <c r="BD87" s="1190"/>
      <c r="BE87" s="1194"/>
      <c r="CK87" s="1188"/>
      <c r="CL87" s="1188"/>
      <c r="CM87" s="1188"/>
      <c r="CN87" s="1188"/>
      <c r="CO87" s="1188"/>
      <c r="CP87" s="1188"/>
    </row>
    <row r="88" spans="1:94" ht="15.75" customHeight="1" thickBot="1">
      <c r="A88" s="1190"/>
      <c r="B88" s="2130" t="s">
        <v>2367</v>
      </c>
      <c r="C88" s="2131"/>
      <c r="D88" s="2131"/>
      <c r="E88" s="2131"/>
      <c r="F88" s="2131"/>
      <c r="G88" s="2131"/>
      <c r="H88" s="2131"/>
      <c r="I88" s="2067">
        <v>0</v>
      </c>
      <c r="J88" s="2067"/>
      <c r="K88" s="2067"/>
      <c r="L88" s="2067"/>
      <c r="M88" s="2067"/>
      <c r="N88" s="2067"/>
      <c r="O88" s="2067">
        <v>0</v>
      </c>
      <c r="P88" s="2067"/>
      <c r="Q88" s="2067"/>
      <c r="R88" s="2067"/>
      <c r="S88" s="2067"/>
      <c r="T88" s="2067"/>
      <c r="U88" s="2067"/>
      <c r="V88" s="2067">
        <v>0</v>
      </c>
      <c r="W88" s="2067"/>
      <c r="X88" s="2067"/>
      <c r="Y88" s="2067"/>
      <c r="Z88" s="2067"/>
      <c r="AA88" s="2067"/>
      <c r="AB88" s="2067">
        <v>0</v>
      </c>
      <c r="AC88" s="2067"/>
      <c r="AD88" s="2067"/>
      <c r="AE88" s="2067"/>
      <c r="AF88" s="2067"/>
      <c r="AG88" s="2067"/>
      <c r="AH88" s="2068"/>
      <c r="AI88" s="1190"/>
      <c r="AJ88" s="2043"/>
      <c r="AK88" s="2044"/>
      <c r="AL88" s="2044"/>
      <c r="AM88" s="2044"/>
      <c r="AN88" s="2044"/>
      <c r="AO88" s="2044"/>
      <c r="AP88" s="2044"/>
      <c r="AQ88" s="2044"/>
      <c r="AR88" s="2044"/>
      <c r="AS88" s="2044"/>
      <c r="AT88" s="2044"/>
      <c r="AU88" s="2044"/>
      <c r="AV88" s="2044"/>
      <c r="AW88" s="2044"/>
      <c r="AX88" s="2044"/>
      <c r="AY88" s="2044"/>
      <c r="AZ88" s="2044"/>
      <c r="BA88" s="2044"/>
      <c r="BB88" s="204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42"/>
      <c r="G92" s="2143"/>
      <c r="H92" s="2143"/>
      <c r="I92" s="2143"/>
      <c r="J92" s="2143"/>
      <c r="K92" s="2143"/>
      <c r="L92" s="2143"/>
      <c r="M92" s="2143"/>
      <c r="N92" s="2143"/>
      <c r="O92" s="2143"/>
      <c r="P92" s="2143"/>
      <c r="Q92" s="2143"/>
      <c r="R92" s="2143"/>
      <c r="S92" s="2143"/>
      <c r="T92" s="214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5" t="s">
        <v>2379</v>
      </c>
      <c r="C93" s="2146"/>
      <c r="D93" s="2146"/>
      <c r="E93" s="2146"/>
      <c r="F93" s="2146"/>
      <c r="G93" s="2146"/>
      <c r="H93" s="2146"/>
      <c r="I93" s="2146"/>
      <c r="J93" s="2146"/>
      <c r="K93" s="2146"/>
      <c r="L93" s="2146"/>
      <c r="M93" s="2146"/>
      <c r="N93" s="2146"/>
      <c r="O93" s="2146"/>
      <c r="P93" s="2146"/>
      <c r="Q93" s="2147"/>
      <c r="R93" s="2148" t="str">
        <f>IFERROR(INDEX(BR96:BR98,MATCH(F92,$BQ$96:$BQ$98,0))/SUM($BR$96:$BR$98),"")</f>
        <v/>
      </c>
      <c r="S93" s="2149"/>
      <c r="T93" s="2150"/>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1" t="s">
        <v>2378</v>
      </c>
      <c r="C94" s="2152"/>
      <c r="D94" s="2152"/>
      <c r="E94" s="2152"/>
      <c r="F94" s="2152"/>
      <c r="G94" s="2152"/>
      <c r="H94" s="2152"/>
      <c r="I94" s="2152"/>
      <c r="J94" s="2152"/>
      <c r="K94" s="2152"/>
      <c r="L94" s="2152"/>
      <c r="M94" s="2152"/>
      <c r="N94" s="2152"/>
      <c r="O94" s="2152"/>
      <c r="P94" s="2152"/>
      <c r="Q94" s="2153"/>
      <c r="R94" s="2133" t="s">
        <v>2189</v>
      </c>
      <c r="S94" s="2134"/>
      <c r="T94" s="2135"/>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4" t="s">
        <v>2377</v>
      </c>
      <c r="C96" s="2155"/>
      <c r="D96" s="2155"/>
      <c r="E96" s="2155"/>
      <c r="F96" s="2155"/>
      <c r="G96" s="2155"/>
      <c r="H96" s="2155"/>
      <c r="I96" s="2155"/>
      <c r="J96" s="2155"/>
      <c r="K96" s="2155"/>
      <c r="L96" s="2155"/>
      <c r="M96" s="2155"/>
      <c r="N96" s="2155"/>
      <c r="O96" s="2155"/>
      <c r="P96" s="2155"/>
      <c r="Q96" s="2155"/>
      <c r="R96" s="2155"/>
      <c r="S96" s="2155"/>
      <c r="T96" s="2155"/>
      <c r="U96" s="2155"/>
      <c r="V96" s="2155"/>
      <c r="W96" s="2155"/>
      <c r="X96" s="2155"/>
      <c r="Y96" s="2155"/>
      <c r="Z96" s="2155"/>
      <c r="AA96" s="2155"/>
      <c r="AB96" s="2155"/>
      <c r="AC96" s="2155"/>
      <c r="AD96" s="2155"/>
      <c r="AE96" s="2155"/>
      <c r="AF96" s="2155"/>
      <c r="AG96" s="2155"/>
      <c r="AH96" s="2156"/>
      <c r="AI96" s="1190"/>
      <c r="AJ96" s="2121" t="s">
        <v>2376</v>
      </c>
      <c r="AK96" s="2122"/>
      <c r="AL96" s="2122"/>
      <c r="AM96" s="2122"/>
      <c r="AN96" s="2122"/>
      <c r="AO96" s="2122"/>
      <c r="AP96" s="2122"/>
      <c r="AQ96" s="2122"/>
      <c r="AR96" s="2122"/>
      <c r="AS96" s="2122"/>
      <c r="AT96" s="2122"/>
      <c r="AU96" s="2122"/>
      <c r="AV96" s="2122"/>
      <c r="AW96" s="2122"/>
      <c r="AX96" s="2122"/>
      <c r="AY96" s="2138" t="s">
        <v>546</v>
      </c>
      <c r="AZ96" s="2138"/>
      <c r="BA96" s="2138"/>
      <c r="BB96" s="2139"/>
      <c r="BC96" s="1190"/>
      <c r="BD96" s="1190"/>
      <c r="BE96" s="1194"/>
      <c r="BQ96" s="1256" t="str">
        <f>Application!M243&amp;IF(TRIM(Application!AA249)&lt;&gt;""," ("&amp;Application!AA249&amp;")","")</f>
        <v>Kingdom Development, Inc.</v>
      </c>
      <c r="BR96" s="1259">
        <f>Application!AH246</f>
        <v>1E-3</v>
      </c>
      <c r="CM96" s="1188"/>
      <c r="CN96" s="1188"/>
      <c r="CO96" s="1188"/>
      <c r="CP96" s="1188"/>
    </row>
    <row r="97" spans="1:94" ht="15.75" customHeight="1">
      <c r="A97" s="1190"/>
      <c r="B97" s="2132"/>
      <c r="C97" s="2100"/>
      <c r="D97" s="2100"/>
      <c r="E97" s="2100"/>
      <c r="F97" s="2100"/>
      <c r="G97" s="2100"/>
      <c r="H97" s="2100"/>
      <c r="I97" s="2100" t="s">
        <v>2371</v>
      </c>
      <c r="J97" s="2100"/>
      <c r="K97" s="2100"/>
      <c r="L97" s="2100"/>
      <c r="M97" s="2100"/>
      <c r="N97" s="2100"/>
      <c r="O97" s="2100" t="s">
        <v>2347</v>
      </c>
      <c r="P97" s="2100"/>
      <c r="Q97" s="2100"/>
      <c r="R97" s="2100"/>
      <c r="S97" s="2100"/>
      <c r="T97" s="2100"/>
      <c r="U97" s="2100"/>
      <c r="V97" s="2136" t="s">
        <v>2346</v>
      </c>
      <c r="W97" s="2136"/>
      <c r="X97" s="2136"/>
      <c r="Y97" s="2136"/>
      <c r="Z97" s="2136"/>
      <c r="AA97" s="2136"/>
      <c r="AB97" s="2070" t="s">
        <v>2370</v>
      </c>
      <c r="AC97" s="2070"/>
      <c r="AD97" s="2070"/>
      <c r="AE97" s="2070"/>
      <c r="AF97" s="2070"/>
      <c r="AG97" s="2070"/>
      <c r="AH97" s="2137"/>
      <c r="AI97" s="1190"/>
      <c r="AJ97" s="2124"/>
      <c r="AK97" s="2125"/>
      <c r="AL97" s="2125"/>
      <c r="AM97" s="2125"/>
      <c r="AN97" s="2125"/>
      <c r="AO97" s="2125"/>
      <c r="AP97" s="2125"/>
      <c r="AQ97" s="2125"/>
      <c r="AR97" s="2125"/>
      <c r="AS97" s="2125"/>
      <c r="AT97" s="2125"/>
      <c r="AU97" s="2125"/>
      <c r="AV97" s="2125"/>
      <c r="AW97" s="2125"/>
      <c r="AX97" s="2125"/>
      <c r="AY97" s="2140"/>
      <c r="AZ97" s="2140"/>
      <c r="BA97" s="2140"/>
      <c r="BB97" s="2141"/>
      <c r="BC97" s="1190"/>
      <c r="BD97" s="1190"/>
      <c r="BE97" s="1194"/>
      <c r="BQ97" s="1256" t="str">
        <f>Application!M251&amp;IF(TRIM(Application!AA257)&lt;&gt;""," ("&amp;Application!AA257&amp;")","")</f>
        <v>Samuelian Group LLC</v>
      </c>
      <c r="BR97" s="1259">
        <f>Application!AH254</f>
        <v>8.0000000000000002E-3</v>
      </c>
      <c r="CM97" s="1188"/>
      <c r="CN97" s="1188"/>
      <c r="CO97" s="1188"/>
      <c r="CP97" s="1188"/>
    </row>
    <row r="98" spans="1:94" ht="15.75" customHeight="1">
      <c r="A98" s="1190"/>
      <c r="B98" s="2132"/>
      <c r="C98" s="2100"/>
      <c r="D98" s="2100"/>
      <c r="E98" s="2100"/>
      <c r="F98" s="2100"/>
      <c r="G98" s="2100"/>
      <c r="H98" s="2100"/>
      <c r="I98" s="2100"/>
      <c r="J98" s="2100"/>
      <c r="K98" s="2100"/>
      <c r="L98" s="2100"/>
      <c r="M98" s="2100"/>
      <c r="N98" s="2100"/>
      <c r="O98" s="2100"/>
      <c r="P98" s="2100"/>
      <c r="Q98" s="2100"/>
      <c r="R98" s="2100"/>
      <c r="S98" s="2100"/>
      <c r="T98" s="2100"/>
      <c r="U98" s="2100"/>
      <c r="V98" s="2136"/>
      <c r="W98" s="2136"/>
      <c r="X98" s="2136"/>
      <c r="Y98" s="2136"/>
      <c r="Z98" s="2136"/>
      <c r="AA98" s="2136"/>
      <c r="AB98" s="2070"/>
      <c r="AC98" s="2070"/>
      <c r="AD98" s="2070"/>
      <c r="AE98" s="2070"/>
      <c r="AF98" s="2070"/>
      <c r="AG98" s="2070"/>
      <c r="AH98" s="2137"/>
      <c r="AI98" s="1190"/>
      <c r="AJ98" s="2124"/>
      <c r="AK98" s="2125"/>
      <c r="AL98" s="2125"/>
      <c r="AM98" s="2125"/>
      <c r="AN98" s="2125"/>
      <c r="AO98" s="2125"/>
      <c r="AP98" s="2125"/>
      <c r="AQ98" s="2125"/>
      <c r="AR98" s="2125"/>
      <c r="AS98" s="2125"/>
      <c r="AT98" s="2125"/>
      <c r="AU98" s="2125"/>
      <c r="AV98" s="2125"/>
      <c r="AW98" s="2125"/>
      <c r="AX98" s="2125"/>
      <c r="AY98" s="2140"/>
      <c r="AZ98" s="2140"/>
      <c r="BA98" s="2140"/>
      <c r="BB98" s="2141"/>
      <c r="BC98" s="1190"/>
      <c r="BD98" s="1190"/>
      <c r="BE98" s="1194"/>
      <c r="BQ98" s="1256" t="str">
        <f>Application!M259&amp;IF(TRIM(Application!AA265)&lt;&gt;""," ("&amp;Application!AA265&amp;")","")</f>
        <v>F&amp;M Development Group, LLC</v>
      </c>
      <c r="BR98" s="1259">
        <f>Application!AH262</f>
        <v>1E-3</v>
      </c>
      <c r="CM98" s="1188"/>
      <c r="CN98" s="1188"/>
      <c r="CO98" s="1188"/>
      <c r="CP98" s="1188"/>
    </row>
    <row r="99" spans="1:94" ht="15.75" customHeight="1">
      <c r="A99" s="1190"/>
      <c r="B99" s="2132" t="s">
        <v>2369</v>
      </c>
      <c r="C99" s="2100"/>
      <c r="D99" s="2100"/>
      <c r="E99" s="2100"/>
      <c r="F99" s="2100"/>
      <c r="G99" s="2100"/>
      <c r="H99" s="2100"/>
      <c r="I99" s="2073">
        <v>0</v>
      </c>
      <c r="J99" s="2073"/>
      <c r="K99" s="2073"/>
      <c r="L99" s="2073"/>
      <c r="M99" s="2073"/>
      <c r="N99" s="2073"/>
      <c r="O99" s="2073">
        <v>0</v>
      </c>
      <c r="P99" s="2073"/>
      <c r="Q99" s="2073"/>
      <c r="R99" s="2073"/>
      <c r="S99" s="2073"/>
      <c r="T99" s="2073"/>
      <c r="U99" s="2073"/>
      <c r="V99" s="2073">
        <v>0</v>
      </c>
      <c r="W99" s="2073"/>
      <c r="X99" s="2073"/>
      <c r="Y99" s="2073"/>
      <c r="Z99" s="2073"/>
      <c r="AA99" s="2073"/>
      <c r="AB99" s="2073">
        <v>0</v>
      </c>
      <c r="AC99" s="2073"/>
      <c r="AD99" s="2073"/>
      <c r="AE99" s="2073"/>
      <c r="AF99" s="2073"/>
      <c r="AG99" s="2073"/>
      <c r="AH99" s="2074"/>
      <c r="AI99" s="1190"/>
      <c r="AJ99" s="2124"/>
      <c r="AK99" s="2125"/>
      <c r="AL99" s="2125"/>
      <c r="AM99" s="2125"/>
      <c r="AN99" s="2125"/>
      <c r="AO99" s="2125"/>
      <c r="AP99" s="2125"/>
      <c r="AQ99" s="2125"/>
      <c r="AR99" s="2125"/>
      <c r="AS99" s="2125"/>
      <c r="AT99" s="2125"/>
      <c r="AU99" s="2125"/>
      <c r="AV99" s="2125"/>
      <c r="AW99" s="2125"/>
      <c r="AX99" s="2125"/>
      <c r="AY99" s="2140"/>
      <c r="AZ99" s="2140"/>
      <c r="BA99" s="2140"/>
      <c r="BB99" s="2141"/>
      <c r="BC99" s="1190"/>
      <c r="BD99" s="1190"/>
      <c r="BE99" s="1194"/>
      <c r="CM99" s="1188"/>
      <c r="CN99" s="1188"/>
      <c r="CO99" s="1188"/>
      <c r="CP99" s="1188"/>
    </row>
    <row r="100" spans="1:94" ht="15.75" customHeight="1">
      <c r="A100" s="1190"/>
      <c r="B100" s="2132" t="s">
        <v>2368</v>
      </c>
      <c r="C100" s="2100"/>
      <c r="D100" s="2100"/>
      <c r="E100" s="2100"/>
      <c r="F100" s="2100"/>
      <c r="G100" s="2100"/>
      <c r="H100" s="2100"/>
      <c r="I100" s="2073">
        <v>0</v>
      </c>
      <c r="J100" s="2073"/>
      <c r="K100" s="2073"/>
      <c r="L100" s="2073"/>
      <c r="M100" s="2073"/>
      <c r="N100" s="2073"/>
      <c r="O100" s="2073">
        <v>0</v>
      </c>
      <c r="P100" s="2073"/>
      <c r="Q100" s="2073"/>
      <c r="R100" s="2073"/>
      <c r="S100" s="2073"/>
      <c r="T100" s="2073"/>
      <c r="U100" s="2073"/>
      <c r="V100" s="2073">
        <v>0</v>
      </c>
      <c r="W100" s="2073"/>
      <c r="X100" s="2073"/>
      <c r="Y100" s="2073"/>
      <c r="Z100" s="2073"/>
      <c r="AA100" s="2073"/>
      <c r="AB100" s="2073">
        <v>0</v>
      </c>
      <c r="AC100" s="2073"/>
      <c r="AD100" s="2073"/>
      <c r="AE100" s="2073"/>
      <c r="AF100" s="2073"/>
      <c r="AG100" s="2073"/>
      <c r="AH100" s="2074"/>
      <c r="AI100" s="1190"/>
      <c r="AJ100" s="2040" t="s">
        <v>2375</v>
      </c>
      <c r="AK100" s="2041"/>
      <c r="AL100" s="2041"/>
      <c r="AM100" s="2041"/>
      <c r="AN100" s="2041"/>
      <c r="AO100" s="2041"/>
      <c r="AP100" s="2041"/>
      <c r="AQ100" s="2041"/>
      <c r="AR100" s="2041"/>
      <c r="AS100" s="2041"/>
      <c r="AT100" s="2041"/>
      <c r="AU100" s="2041"/>
      <c r="AV100" s="2041"/>
      <c r="AW100" s="2041"/>
      <c r="AX100" s="2041"/>
      <c r="AY100" s="2041"/>
      <c r="AZ100" s="2041"/>
      <c r="BA100" s="2041"/>
      <c r="BB100" s="2042"/>
      <c r="BC100" s="1190"/>
      <c r="BD100" s="1190"/>
      <c r="BE100" s="1194"/>
      <c r="CM100" s="1188"/>
      <c r="CN100" s="1188"/>
      <c r="CO100" s="1188"/>
      <c r="CP100" s="1188"/>
    </row>
    <row r="101" spans="1:94" ht="15.75" customHeight="1" thickBot="1">
      <c r="A101" s="1190"/>
      <c r="B101" s="2130" t="s">
        <v>2367</v>
      </c>
      <c r="C101" s="2131"/>
      <c r="D101" s="2131"/>
      <c r="E101" s="2131"/>
      <c r="F101" s="2131"/>
      <c r="G101" s="2131"/>
      <c r="H101" s="2131"/>
      <c r="I101" s="2067">
        <v>0</v>
      </c>
      <c r="J101" s="2067"/>
      <c r="K101" s="2067"/>
      <c r="L101" s="2067"/>
      <c r="M101" s="2067"/>
      <c r="N101" s="2067"/>
      <c r="O101" s="2067">
        <v>0</v>
      </c>
      <c r="P101" s="2067"/>
      <c r="Q101" s="2067"/>
      <c r="R101" s="2067"/>
      <c r="S101" s="2067"/>
      <c r="T101" s="2067"/>
      <c r="U101" s="2067"/>
      <c r="V101" s="2067">
        <v>0</v>
      </c>
      <c r="W101" s="2067"/>
      <c r="X101" s="2067"/>
      <c r="Y101" s="2067"/>
      <c r="Z101" s="2067"/>
      <c r="AA101" s="2067"/>
      <c r="AB101" s="2067">
        <v>0</v>
      </c>
      <c r="AC101" s="2067"/>
      <c r="AD101" s="2067"/>
      <c r="AE101" s="2067"/>
      <c r="AF101" s="2067"/>
      <c r="AG101" s="2067"/>
      <c r="AH101" s="2068"/>
      <c r="AI101" s="1190"/>
      <c r="AJ101" s="2043"/>
      <c r="AK101" s="2044"/>
      <c r="AL101" s="2044"/>
      <c r="AM101" s="2044"/>
      <c r="AN101" s="2044"/>
      <c r="AO101" s="2044"/>
      <c r="AP101" s="2044"/>
      <c r="AQ101" s="2044"/>
      <c r="AR101" s="2044"/>
      <c r="AS101" s="2044"/>
      <c r="AT101" s="2044"/>
      <c r="AU101" s="2044"/>
      <c r="AV101" s="2044"/>
      <c r="AW101" s="2044"/>
      <c r="AX101" s="2044"/>
      <c r="AY101" s="2044"/>
      <c r="AZ101" s="2044"/>
      <c r="BA101" s="2044"/>
      <c r="BB101" s="2045"/>
      <c r="BC101" s="1190"/>
      <c r="BD101" s="1190"/>
      <c r="BE101" s="1194"/>
      <c r="BQ101" s="1256" t="str">
        <f>Application!AA335</f>
        <v>FPI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4"/>
      <c r="G104" s="2095"/>
      <c r="H104" s="2095"/>
      <c r="I104" s="2095"/>
      <c r="J104" s="2095"/>
      <c r="K104" s="2095"/>
      <c r="L104" s="2095"/>
      <c r="M104" s="2095"/>
      <c r="N104" s="2095"/>
      <c r="O104" s="2095"/>
      <c r="P104" s="2095"/>
      <c r="Q104" s="2095"/>
      <c r="R104" s="209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33" t="str">
        <f>IFERROR(INDEX(BR96:BR98,MATCH(F104,$BQ$96:$BQ$98,0))/SUM($BR$96:$BR$98),"")</f>
        <v/>
      </c>
      <c r="P105" s="2134"/>
      <c r="Q105" s="2134"/>
      <c r="R105" s="2135"/>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3" t="s">
        <v>2372</v>
      </c>
      <c r="C107" s="2024"/>
      <c r="D107" s="2024"/>
      <c r="E107" s="2024"/>
      <c r="F107" s="2024"/>
      <c r="G107" s="2024"/>
      <c r="H107" s="2024"/>
      <c r="I107" s="2024"/>
      <c r="J107" s="2024"/>
      <c r="K107" s="2024"/>
      <c r="L107" s="2024"/>
      <c r="M107" s="2024"/>
      <c r="N107" s="2024"/>
      <c r="O107" s="2024"/>
      <c r="P107" s="2024"/>
      <c r="Q107" s="2024"/>
      <c r="R107" s="2024"/>
      <c r="S107" s="2024"/>
      <c r="T107" s="2024"/>
      <c r="U107" s="2024"/>
      <c r="V107" s="2024"/>
      <c r="W107" s="2024"/>
      <c r="X107" s="2024"/>
      <c r="Y107" s="2024"/>
      <c r="Z107" s="2024"/>
      <c r="AA107" s="2024"/>
      <c r="AB107" s="2024"/>
      <c r="AC107" s="2024"/>
      <c r="AD107" s="2024"/>
      <c r="AE107" s="2024"/>
      <c r="AF107" s="2024"/>
      <c r="AG107" s="2024"/>
      <c r="AH107" s="2033"/>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2"/>
      <c r="C108" s="2100"/>
      <c r="D108" s="2100"/>
      <c r="E108" s="2100"/>
      <c r="F108" s="2100"/>
      <c r="G108" s="2100"/>
      <c r="H108" s="2100"/>
      <c r="I108" s="2100" t="s">
        <v>2371</v>
      </c>
      <c r="J108" s="2100"/>
      <c r="K108" s="2100"/>
      <c r="L108" s="2100"/>
      <c r="M108" s="2100"/>
      <c r="N108" s="2100"/>
      <c r="O108" s="2100" t="s">
        <v>2347</v>
      </c>
      <c r="P108" s="2100"/>
      <c r="Q108" s="2100"/>
      <c r="R108" s="2100"/>
      <c r="S108" s="2100"/>
      <c r="T108" s="2100"/>
      <c r="U108" s="2100"/>
      <c r="V108" s="2136" t="s">
        <v>2346</v>
      </c>
      <c r="W108" s="2136"/>
      <c r="X108" s="2136"/>
      <c r="Y108" s="2136"/>
      <c r="Z108" s="2136"/>
      <c r="AA108" s="2136"/>
      <c r="AB108" s="2070" t="s">
        <v>2370</v>
      </c>
      <c r="AC108" s="2070"/>
      <c r="AD108" s="2070"/>
      <c r="AE108" s="2070"/>
      <c r="AF108" s="2070"/>
      <c r="AG108" s="2070"/>
      <c r="AH108" s="213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2"/>
      <c r="C109" s="2100"/>
      <c r="D109" s="2100"/>
      <c r="E109" s="2100"/>
      <c r="F109" s="2100"/>
      <c r="G109" s="2100"/>
      <c r="H109" s="2100"/>
      <c r="I109" s="2100"/>
      <c r="J109" s="2100"/>
      <c r="K109" s="2100"/>
      <c r="L109" s="2100"/>
      <c r="M109" s="2100"/>
      <c r="N109" s="2100"/>
      <c r="O109" s="2100"/>
      <c r="P109" s="2100"/>
      <c r="Q109" s="2100"/>
      <c r="R109" s="2100"/>
      <c r="S109" s="2100"/>
      <c r="T109" s="2100"/>
      <c r="U109" s="2100"/>
      <c r="V109" s="2136"/>
      <c r="W109" s="2136"/>
      <c r="X109" s="2136"/>
      <c r="Y109" s="2136"/>
      <c r="Z109" s="2136"/>
      <c r="AA109" s="2136"/>
      <c r="AB109" s="2070"/>
      <c r="AC109" s="2070"/>
      <c r="AD109" s="2070"/>
      <c r="AE109" s="2070"/>
      <c r="AF109" s="2070"/>
      <c r="AG109" s="2070"/>
      <c r="AH109" s="213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2" t="s">
        <v>2369</v>
      </c>
      <c r="C110" s="2100"/>
      <c r="D110" s="2100"/>
      <c r="E110" s="2100"/>
      <c r="F110" s="2100"/>
      <c r="G110" s="2100"/>
      <c r="H110" s="2100"/>
      <c r="I110" s="2073">
        <v>0</v>
      </c>
      <c r="J110" s="2073"/>
      <c r="K110" s="2073"/>
      <c r="L110" s="2073"/>
      <c r="M110" s="2073"/>
      <c r="N110" s="2073"/>
      <c r="O110" s="2073">
        <v>0</v>
      </c>
      <c r="P110" s="2073"/>
      <c r="Q110" s="2073"/>
      <c r="R110" s="2073"/>
      <c r="S110" s="2073"/>
      <c r="T110" s="2073"/>
      <c r="U110" s="2073"/>
      <c r="V110" s="2073">
        <v>0</v>
      </c>
      <c r="W110" s="2073"/>
      <c r="X110" s="2073"/>
      <c r="Y110" s="2073"/>
      <c r="Z110" s="2073"/>
      <c r="AA110" s="2073"/>
      <c r="AB110" s="2073">
        <v>0</v>
      </c>
      <c r="AC110" s="2073"/>
      <c r="AD110" s="2073"/>
      <c r="AE110" s="2073"/>
      <c r="AF110" s="2073"/>
      <c r="AG110" s="2073"/>
      <c r="AH110" s="2074"/>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2" t="s">
        <v>2368</v>
      </c>
      <c r="C111" s="2100"/>
      <c r="D111" s="2100"/>
      <c r="E111" s="2100"/>
      <c r="F111" s="2100"/>
      <c r="G111" s="2100"/>
      <c r="H111" s="2100"/>
      <c r="I111" s="2073">
        <v>0</v>
      </c>
      <c r="J111" s="2073"/>
      <c r="K111" s="2073"/>
      <c r="L111" s="2073"/>
      <c r="M111" s="2073"/>
      <c r="N111" s="2073"/>
      <c r="O111" s="2073">
        <v>0</v>
      </c>
      <c r="P111" s="2073"/>
      <c r="Q111" s="2073"/>
      <c r="R111" s="2073"/>
      <c r="S111" s="2073"/>
      <c r="T111" s="2073"/>
      <c r="U111" s="2073"/>
      <c r="V111" s="2073">
        <v>0</v>
      </c>
      <c r="W111" s="2073"/>
      <c r="X111" s="2073"/>
      <c r="Y111" s="2073"/>
      <c r="Z111" s="2073"/>
      <c r="AA111" s="2073"/>
      <c r="AB111" s="2073">
        <v>0</v>
      </c>
      <c r="AC111" s="2073"/>
      <c r="AD111" s="2073"/>
      <c r="AE111" s="2073"/>
      <c r="AF111" s="2073"/>
      <c r="AG111" s="2073"/>
      <c r="AH111" s="2074"/>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0" t="s">
        <v>2367</v>
      </c>
      <c r="C112" s="2131"/>
      <c r="D112" s="2131"/>
      <c r="E112" s="2131"/>
      <c r="F112" s="2131"/>
      <c r="G112" s="2131"/>
      <c r="H112" s="2131"/>
      <c r="I112" s="2067">
        <v>0</v>
      </c>
      <c r="J112" s="2067"/>
      <c r="K112" s="2067"/>
      <c r="L112" s="2067"/>
      <c r="M112" s="2067"/>
      <c r="N112" s="2067"/>
      <c r="O112" s="2067">
        <v>0</v>
      </c>
      <c r="P112" s="2067"/>
      <c r="Q112" s="2067"/>
      <c r="R112" s="2067"/>
      <c r="S112" s="2067"/>
      <c r="T112" s="2067"/>
      <c r="U112" s="2067"/>
      <c r="V112" s="2067">
        <v>0</v>
      </c>
      <c r="W112" s="2067"/>
      <c r="X112" s="2067"/>
      <c r="Y112" s="2067"/>
      <c r="Z112" s="2067"/>
      <c r="AA112" s="2067"/>
      <c r="AB112" s="2067">
        <v>0</v>
      </c>
      <c r="AC112" s="2067"/>
      <c r="AD112" s="2067"/>
      <c r="AE112" s="2067"/>
      <c r="AF112" s="2067"/>
      <c r="AG112" s="2067"/>
      <c r="AH112" s="2068"/>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4"/>
      <c r="G115" s="2095"/>
      <c r="H115" s="2095"/>
      <c r="I115" s="2095"/>
      <c r="J115" s="2095"/>
      <c r="K115" s="2095"/>
      <c r="L115" s="2095"/>
      <c r="M115" s="2095"/>
      <c r="N115" s="2095"/>
      <c r="O115" s="2095"/>
      <c r="P115" s="2095"/>
      <c r="Q115" s="2095"/>
      <c r="R115" s="209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5" t="s">
        <v>2365</v>
      </c>
      <c r="C117" s="2106"/>
      <c r="D117" s="2106"/>
      <c r="E117" s="2106"/>
      <c r="F117" s="2106"/>
      <c r="G117" s="2106"/>
      <c r="H117" s="2106"/>
      <c r="I117" s="2106"/>
      <c r="J117" s="2106"/>
      <c r="K117" s="2106"/>
      <c r="L117" s="2106"/>
      <c r="M117" s="2106"/>
      <c r="N117" s="2106"/>
      <c r="O117" s="2106"/>
      <c r="P117" s="2106"/>
      <c r="Q117" s="2106"/>
      <c r="R117" s="2106"/>
      <c r="S117" s="2106"/>
      <c r="T117" s="2106"/>
      <c r="U117" s="2109" t="s">
        <v>546</v>
      </c>
      <c r="V117" s="2109"/>
      <c r="W117" s="2109"/>
      <c r="X117" s="211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7"/>
      <c r="C118" s="2108"/>
      <c r="D118" s="2108"/>
      <c r="E118" s="2108"/>
      <c r="F118" s="2108"/>
      <c r="G118" s="2108"/>
      <c r="H118" s="2108"/>
      <c r="I118" s="2108"/>
      <c r="J118" s="2108"/>
      <c r="K118" s="2108"/>
      <c r="L118" s="2108"/>
      <c r="M118" s="2108"/>
      <c r="N118" s="2108"/>
      <c r="O118" s="2108"/>
      <c r="P118" s="2108"/>
      <c r="Q118" s="2108"/>
      <c r="R118" s="2108"/>
      <c r="S118" s="2108"/>
      <c r="T118" s="2108"/>
      <c r="U118" s="2111"/>
      <c r="V118" s="2111"/>
      <c r="W118" s="2111"/>
      <c r="X118" s="211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7"/>
      <c r="C119" s="2108"/>
      <c r="D119" s="2108"/>
      <c r="E119" s="2108"/>
      <c r="F119" s="2108"/>
      <c r="G119" s="2108"/>
      <c r="H119" s="2108"/>
      <c r="I119" s="2108"/>
      <c r="J119" s="2108"/>
      <c r="K119" s="2108"/>
      <c r="L119" s="2108"/>
      <c r="M119" s="2108"/>
      <c r="N119" s="2108"/>
      <c r="O119" s="2108"/>
      <c r="P119" s="2108"/>
      <c r="Q119" s="2108"/>
      <c r="R119" s="2108"/>
      <c r="S119" s="2108"/>
      <c r="T119" s="2108"/>
      <c r="U119" s="2111"/>
      <c r="V119" s="2111"/>
      <c r="W119" s="2111"/>
      <c r="X119" s="211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7"/>
      <c r="C120" s="2108"/>
      <c r="D120" s="2108"/>
      <c r="E120" s="2108"/>
      <c r="F120" s="2108"/>
      <c r="G120" s="2108"/>
      <c r="H120" s="2108"/>
      <c r="I120" s="2108"/>
      <c r="J120" s="2108"/>
      <c r="K120" s="2108"/>
      <c r="L120" s="2108"/>
      <c r="M120" s="2108"/>
      <c r="N120" s="2108"/>
      <c r="O120" s="2108"/>
      <c r="P120" s="2108"/>
      <c r="Q120" s="2108"/>
      <c r="R120" s="2108"/>
      <c r="S120" s="2108"/>
      <c r="T120" s="2108"/>
      <c r="U120" s="2111"/>
      <c r="V120" s="2111"/>
      <c r="W120" s="2111"/>
      <c r="X120" s="211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3" t="s">
        <v>2365</v>
      </c>
      <c r="C121" s="2114"/>
      <c r="D121" s="2114"/>
      <c r="E121" s="2114"/>
      <c r="F121" s="2114"/>
      <c r="G121" s="2114"/>
      <c r="H121" s="2114"/>
      <c r="I121" s="2114"/>
      <c r="J121" s="2114"/>
      <c r="K121" s="2114"/>
      <c r="L121" s="2114"/>
      <c r="M121" s="2114"/>
      <c r="N121" s="2114"/>
      <c r="O121" s="2114"/>
      <c r="P121" s="2114"/>
      <c r="Q121" s="2114"/>
      <c r="R121" s="2114"/>
      <c r="S121" s="2114"/>
      <c r="T121" s="2114"/>
      <c r="U121" s="2117" t="s">
        <v>546</v>
      </c>
      <c r="V121" s="2117"/>
      <c r="W121" s="2117"/>
      <c r="X121" s="211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5"/>
      <c r="C122" s="2116"/>
      <c r="D122" s="2116"/>
      <c r="E122" s="2116"/>
      <c r="F122" s="2116"/>
      <c r="G122" s="2116"/>
      <c r="H122" s="2116"/>
      <c r="I122" s="2116"/>
      <c r="J122" s="2116"/>
      <c r="K122" s="2116"/>
      <c r="L122" s="2116"/>
      <c r="M122" s="2116"/>
      <c r="N122" s="2116"/>
      <c r="O122" s="2116"/>
      <c r="P122" s="2116"/>
      <c r="Q122" s="2116"/>
      <c r="R122" s="2116"/>
      <c r="S122" s="2116"/>
      <c r="T122" s="2116"/>
      <c r="U122" s="2119"/>
      <c r="V122" s="2119"/>
      <c r="W122" s="2119"/>
      <c r="X122" s="212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1" t="s">
        <v>2363</v>
      </c>
      <c r="Y125" s="2122"/>
      <c r="Z125" s="2122"/>
      <c r="AA125" s="2122"/>
      <c r="AB125" s="2122"/>
      <c r="AC125" s="2122"/>
      <c r="AD125" s="2122"/>
      <c r="AE125" s="2122"/>
      <c r="AF125" s="2122"/>
      <c r="AG125" s="2122"/>
      <c r="AH125" s="2122"/>
      <c r="AI125" s="2122"/>
      <c r="AJ125" s="2122"/>
      <c r="AK125" s="2122"/>
      <c r="AL125" s="2122"/>
      <c r="AM125" s="2122"/>
      <c r="AN125" s="2122"/>
      <c r="AO125" s="2122"/>
      <c r="AP125" s="2122"/>
      <c r="AQ125" s="2122"/>
      <c r="AR125" s="2122"/>
      <c r="AS125" s="2122"/>
      <c r="AT125" s="2122"/>
      <c r="AU125" s="2122"/>
      <c r="AV125" s="2122"/>
      <c r="AW125" s="2122"/>
      <c r="AX125" s="2122"/>
      <c r="AY125" s="2122"/>
      <c r="AZ125" s="2122"/>
      <c r="BA125" s="2122"/>
      <c r="BB125" s="2122"/>
      <c r="BC125" s="2122"/>
      <c r="BD125" s="2123"/>
      <c r="BE125" s="1194"/>
    </row>
    <row r="126" spans="1:57" ht="15.75" customHeight="1">
      <c r="A126" s="1190"/>
      <c r="B126" s="2127" t="s">
        <v>1577</v>
      </c>
      <c r="C126" s="2128"/>
      <c r="D126" s="2128"/>
      <c r="E126" s="2128"/>
      <c r="F126" s="2128"/>
      <c r="G126" s="2128"/>
      <c r="H126" s="2128"/>
      <c r="I126" s="2128"/>
      <c r="J126" s="2128"/>
      <c r="K126" s="2128"/>
      <c r="L126" s="2128"/>
      <c r="M126" s="2128"/>
      <c r="N126" s="2128"/>
      <c r="O126" s="2128"/>
      <c r="P126" s="2128"/>
      <c r="Q126" s="2128"/>
      <c r="R126" s="2128"/>
      <c r="S126" s="2128"/>
      <c r="T126" s="2128"/>
      <c r="U126" s="2129"/>
      <c r="V126" s="1190"/>
      <c r="W126" s="1190"/>
      <c r="X126" s="2124"/>
      <c r="Y126" s="2125"/>
      <c r="Z126" s="2125"/>
      <c r="AA126" s="2125"/>
      <c r="AB126" s="2125"/>
      <c r="AC126" s="2125"/>
      <c r="AD126" s="2125"/>
      <c r="AE126" s="2125"/>
      <c r="AF126" s="2125"/>
      <c r="AG126" s="2125"/>
      <c r="AH126" s="2125"/>
      <c r="AI126" s="2125"/>
      <c r="AJ126" s="2125"/>
      <c r="AK126" s="2125"/>
      <c r="AL126" s="2125"/>
      <c r="AM126" s="2125"/>
      <c r="AN126" s="2125"/>
      <c r="AO126" s="2125"/>
      <c r="AP126" s="2125"/>
      <c r="AQ126" s="2125"/>
      <c r="AR126" s="2125"/>
      <c r="AS126" s="2125"/>
      <c r="AT126" s="2125"/>
      <c r="AU126" s="2125"/>
      <c r="AV126" s="2125"/>
      <c r="AW126" s="2125"/>
      <c r="AX126" s="2125"/>
      <c r="AY126" s="2125"/>
      <c r="AZ126" s="2125"/>
      <c r="BA126" s="2125"/>
      <c r="BB126" s="2125"/>
      <c r="BC126" s="2125"/>
      <c r="BD126" s="2126"/>
      <c r="BE126" s="1194"/>
    </row>
    <row r="127" spans="1:57" ht="15.75" customHeight="1">
      <c r="A127" s="1190"/>
      <c r="B127" s="2037"/>
      <c r="C127" s="2038"/>
      <c r="D127" s="2038"/>
      <c r="E127" s="2038"/>
      <c r="F127" s="2038"/>
      <c r="G127" s="2038"/>
      <c r="H127" s="2038"/>
      <c r="I127" s="2100" t="s">
        <v>2362</v>
      </c>
      <c r="J127" s="2100"/>
      <c r="K127" s="2100"/>
      <c r="L127" s="2100"/>
      <c r="M127" s="2100"/>
      <c r="N127" s="2100"/>
      <c r="O127" s="2101" t="s">
        <v>2361</v>
      </c>
      <c r="P127" s="2101"/>
      <c r="Q127" s="2101"/>
      <c r="R127" s="2101"/>
      <c r="S127" s="2101"/>
      <c r="T127" s="2101"/>
      <c r="U127" s="2102"/>
      <c r="V127" s="1190"/>
      <c r="W127" s="1190"/>
      <c r="X127" s="2040" t="s">
        <v>2331</v>
      </c>
      <c r="Y127" s="2041"/>
      <c r="Z127" s="2041"/>
      <c r="AA127" s="2041"/>
      <c r="AB127" s="2041"/>
      <c r="AC127" s="2041"/>
      <c r="AD127" s="2041"/>
      <c r="AE127" s="2041"/>
      <c r="AF127" s="2041"/>
      <c r="AG127" s="2041"/>
      <c r="AH127" s="2041"/>
      <c r="AI127" s="2041"/>
      <c r="AJ127" s="2041"/>
      <c r="AK127" s="2041"/>
      <c r="AL127" s="2041"/>
      <c r="AM127" s="2041"/>
      <c r="AN127" s="2041"/>
      <c r="AO127" s="2041"/>
      <c r="AP127" s="2041"/>
      <c r="AQ127" s="2041"/>
      <c r="AR127" s="2041"/>
      <c r="AS127" s="2041"/>
      <c r="AT127" s="2041"/>
      <c r="AU127" s="2041"/>
      <c r="AV127" s="2041"/>
      <c r="AW127" s="2041"/>
      <c r="AX127" s="2041"/>
      <c r="AY127" s="2041"/>
      <c r="AZ127" s="2041"/>
      <c r="BA127" s="2041"/>
      <c r="BB127" s="2041"/>
      <c r="BC127" s="2041"/>
      <c r="BD127" s="2042"/>
      <c r="BE127" s="1194"/>
    </row>
    <row r="128" spans="1:57" ht="15.75" customHeight="1">
      <c r="A128" s="1190"/>
      <c r="B128" s="2071" t="s">
        <v>2345</v>
      </c>
      <c r="C128" s="2072"/>
      <c r="D128" s="2072"/>
      <c r="E128" s="2072"/>
      <c r="F128" s="2072"/>
      <c r="G128" s="2072"/>
      <c r="H128" s="2072"/>
      <c r="I128" s="2073">
        <v>0</v>
      </c>
      <c r="J128" s="2073"/>
      <c r="K128" s="2073"/>
      <c r="L128" s="2073"/>
      <c r="M128" s="2073"/>
      <c r="N128" s="2073"/>
      <c r="O128" s="2073">
        <v>0</v>
      </c>
      <c r="P128" s="2073"/>
      <c r="Q128" s="2073"/>
      <c r="R128" s="2073"/>
      <c r="S128" s="2073"/>
      <c r="T128" s="2073"/>
      <c r="U128" s="2074"/>
      <c r="V128" s="1190"/>
      <c r="W128" s="1190"/>
      <c r="X128" s="2040"/>
      <c r="Y128" s="2041"/>
      <c r="Z128" s="2041"/>
      <c r="AA128" s="2041"/>
      <c r="AB128" s="2041"/>
      <c r="AC128" s="2041"/>
      <c r="AD128" s="2041"/>
      <c r="AE128" s="2041"/>
      <c r="AF128" s="2041"/>
      <c r="AG128" s="2041"/>
      <c r="AH128" s="2041"/>
      <c r="AI128" s="2041"/>
      <c r="AJ128" s="2041"/>
      <c r="AK128" s="2041"/>
      <c r="AL128" s="2041"/>
      <c r="AM128" s="2041"/>
      <c r="AN128" s="2041"/>
      <c r="AO128" s="2041"/>
      <c r="AP128" s="2041"/>
      <c r="AQ128" s="2041"/>
      <c r="AR128" s="2041"/>
      <c r="AS128" s="2041"/>
      <c r="AT128" s="2041"/>
      <c r="AU128" s="2041"/>
      <c r="AV128" s="2041"/>
      <c r="AW128" s="2041"/>
      <c r="AX128" s="2041"/>
      <c r="AY128" s="2041"/>
      <c r="AZ128" s="2041"/>
      <c r="BA128" s="2041"/>
      <c r="BB128" s="2041"/>
      <c r="BC128" s="2041"/>
      <c r="BD128" s="2042"/>
      <c r="BE128" s="1194"/>
    </row>
    <row r="129" spans="1:57" ht="15.75" customHeight="1" thickBot="1">
      <c r="A129" s="1190"/>
      <c r="B129" s="2065" t="s">
        <v>2344</v>
      </c>
      <c r="C129" s="2066"/>
      <c r="D129" s="2066"/>
      <c r="E129" s="2066"/>
      <c r="F129" s="2066"/>
      <c r="G129" s="2066"/>
      <c r="H129" s="2066"/>
      <c r="I129" s="2067">
        <v>0</v>
      </c>
      <c r="J129" s="2067"/>
      <c r="K129" s="2067"/>
      <c r="L129" s="2067"/>
      <c r="M129" s="2067"/>
      <c r="N129" s="2067"/>
      <c r="O129" s="2103"/>
      <c r="P129" s="2103"/>
      <c r="Q129" s="2103"/>
      <c r="R129" s="2103"/>
      <c r="S129" s="2103"/>
      <c r="T129" s="2103"/>
      <c r="U129" s="2104"/>
      <c r="V129" s="1190"/>
      <c r="W129" s="1190"/>
      <c r="X129" s="2040"/>
      <c r="Y129" s="2041"/>
      <c r="Z129" s="2041"/>
      <c r="AA129" s="2041"/>
      <c r="AB129" s="2041"/>
      <c r="AC129" s="2041"/>
      <c r="AD129" s="2041"/>
      <c r="AE129" s="2041"/>
      <c r="AF129" s="2041"/>
      <c r="AG129" s="2041"/>
      <c r="AH129" s="2041"/>
      <c r="AI129" s="2041"/>
      <c r="AJ129" s="2041"/>
      <c r="AK129" s="2041"/>
      <c r="AL129" s="2041"/>
      <c r="AM129" s="2041"/>
      <c r="AN129" s="2041"/>
      <c r="AO129" s="2041"/>
      <c r="AP129" s="2041"/>
      <c r="AQ129" s="2041"/>
      <c r="AR129" s="2041"/>
      <c r="AS129" s="2041"/>
      <c r="AT129" s="2041"/>
      <c r="AU129" s="2041"/>
      <c r="AV129" s="2041"/>
      <c r="AW129" s="2041"/>
      <c r="AX129" s="2041"/>
      <c r="AY129" s="2041"/>
      <c r="AZ129" s="2041"/>
      <c r="BA129" s="2041"/>
      <c r="BB129" s="2041"/>
      <c r="BC129" s="2041"/>
      <c r="BD129" s="204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0"/>
      <c r="Y130" s="2041"/>
      <c r="Z130" s="2041"/>
      <c r="AA130" s="2041"/>
      <c r="AB130" s="2041"/>
      <c r="AC130" s="2041"/>
      <c r="AD130" s="2041"/>
      <c r="AE130" s="2041"/>
      <c r="AF130" s="2041"/>
      <c r="AG130" s="2041"/>
      <c r="AH130" s="2041"/>
      <c r="AI130" s="2041"/>
      <c r="AJ130" s="2041"/>
      <c r="AK130" s="2041"/>
      <c r="AL130" s="2041"/>
      <c r="AM130" s="2041"/>
      <c r="AN130" s="2041"/>
      <c r="AO130" s="2041"/>
      <c r="AP130" s="2041"/>
      <c r="AQ130" s="2041"/>
      <c r="AR130" s="2041"/>
      <c r="AS130" s="2041"/>
      <c r="AT130" s="2041"/>
      <c r="AU130" s="2041"/>
      <c r="AV130" s="2041"/>
      <c r="AW130" s="2041"/>
      <c r="AX130" s="2041"/>
      <c r="AY130" s="2041"/>
      <c r="AZ130" s="2041"/>
      <c r="BA130" s="2041"/>
      <c r="BB130" s="2041"/>
      <c r="BC130" s="2041"/>
      <c r="BD130" s="2042"/>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0"/>
      <c r="Y131" s="2041"/>
      <c r="Z131" s="2041"/>
      <c r="AA131" s="2041"/>
      <c r="AB131" s="2041"/>
      <c r="AC131" s="2041"/>
      <c r="AD131" s="2041"/>
      <c r="AE131" s="2041"/>
      <c r="AF131" s="2041"/>
      <c r="AG131" s="2041"/>
      <c r="AH131" s="2041"/>
      <c r="AI131" s="2041"/>
      <c r="AJ131" s="2041"/>
      <c r="AK131" s="2041"/>
      <c r="AL131" s="2041"/>
      <c r="AM131" s="2041"/>
      <c r="AN131" s="2041"/>
      <c r="AO131" s="2041"/>
      <c r="AP131" s="2041"/>
      <c r="AQ131" s="2041"/>
      <c r="AR131" s="2041"/>
      <c r="AS131" s="2041"/>
      <c r="AT131" s="2041"/>
      <c r="AU131" s="2041"/>
      <c r="AV131" s="2041"/>
      <c r="AW131" s="2041"/>
      <c r="AX131" s="2041"/>
      <c r="AY131" s="2041"/>
      <c r="AZ131" s="2041"/>
      <c r="BA131" s="2041"/>
      <c r="BB131" s="2041"/>
      <c r="BC131" s="2041"/>
      <c r="BD131" s="204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0"/>
      <c r="Y132" s="2041"/>
      <c r="Z132" s="2041"/>
      <c r="AA132" s="2041"/>
      <c r="AB132" s="2041"/>
      <c r="AC132" s="2041"/>
      <c r="AD132" s="2041"/>
      <c r="AE132" s="2041"/>
      <c r="AF132" s="2041"/>
      <c r="AG132" s="2041"/>
      <c r="AH132" s="2041"/>
      <c r="AI132" s="2041"/>
      <c r="AJ132" s="2041"/>
      <c r="AK132" s="2041"/>
      <c r="AL132" s="2041"/>
      <c r="AM132" s="2041"/>
      <c r="AN132" s="2041"/>
      <c r="AO132" s="2041"/>
      <c r="AP132" s="2041"/>
      <c r="AQ132" s="2041"/>
      <c r="AR132" s="2041"/>
      <c r="AS132" s="2041"/>
      <c r="AT132" s="2041"/>
      <c r="AU132" s="2041"/>
      <c r="AV132" s="2041"/>
      <c r="AW132" s="2041"/>
      <c r="AX132" s="2041"/>
      <c r="AY132" s="2041"/>
      <c r="AZ132" s="2041"/>
      <c r="BA132" s="2041"/>
      <c r="BB132" s="2041"/>
      <c r="BC132" s="2041"/>
      <c r="BD132" s="2042"/>
      <c r="BE132" s="1194"/>
    </row>
    <row r="133" spans="1:57" ht="15.75" customHeight="1">
      <c r="A133" s="1190"/>
      <c r="B133" s="2097" t="s">
        <v>2359</v>
      </c>
      <c r="C133" s="2098"/>
      <c r="D133" s="2098"/>
      <c r="E133" s="2098"/>
      <c r="F133" s="2098"/>
      <c r="G133" s="2098"/>
      <c r="H133" s="2098"/>
      <c r="I133" s="2098"/>
      <c r="J133" s="2098"/>
      <c r="K133" s="2098"/>
      <c r="L133" s="2098"/>
      <c r="M133" s="2098"/>
      <c r="N133" s="2098"/>
      <c r="O133" s="2098"/>
      <c r="P133" s="2098"/>
      <c r="Q133" s="2098"/>
      <c r="R133" s="2098"/>
      <c r="S133" s="2098"/>
      <c r="T133" s="2098"/>
      <c r="U133" s="2099"/>
      <c r="V133" s="1190"/>
      <c r="W133" s="1190"/>
      <c r="X133" s="2040"/>
      <c r="Y133" s="2041"/>
      <c r="Z133" s="2041"/>
      <c r="AA133" s="2041"/>
      <c r="AB133" s="2041"/>
      <c r="AC133" s="2041"/>
      <c r="AD133" s="2041"/>
      <c r="AE133" s="2041"/>
      <c r="AF133" s="2041"/>
      <c r="AG133" s="2041"/>
      <c r="AH133" s="2041"/>
      <c r="AI133" s="2041"/>
      <c r="AJ133" s="2041"/>
      <c r="AK133" s="2041"/>
      <c r="AL133" s="2041"/>
      <c r="AM133" s="2041"/>
      <c r="AN133" s="2041"/>
      <c r="AO133" s="2041"/>
      <c r="AP133" s="2041"/>
      <c r="AQ133" s="2041"/>
      <c r="AR133" s="2041"/>
      <c r="AS133" s="2041"/>
      <c r="AT133" s="2041"/>
      <c r="AU133" s="2041"/>
      <c r="AV133" s="2041"/>
      <c r="AW133" s="2041"/>
      <c r="AX133" s="2041"/>
      <c r="AY133" s="2041"/>
      <c r="AZ133" s="2041"/>
      <c r="BA133" s="2041"/>
      <c r="BB133" s="2041"/>
      <c r="BC133" s="2041"/>
      <c r="BD133" s="2042"/>
      <c r="BE133" s="1194"/>
    </row>
    <row r="134" spans="1:57" ht="15.75" customHeight="1">
      <c r="A134" s="1190"/>
      <c r="B134" s="2037"/>
      <c r="C134" s="2038"/>
      <c r="D134" s="2038"/>
      <c r="E134" s="2038"/>
      <c r="F134" s="2038"/>
      <c r="G134" s="2038"/>
      <c r="H134" s="2038"/>
      <c r="I134" s="2075" t="s">
        <v>2347</v>
      </c>
      <c r="J134" s="2075"/>
      <c r="K134" s="2075"/>
      <c r="L134" s="2075"/>
      <c r="M134" s="2075"/>
      <c r="N134" s="2075"/>
      <c r="O134" s="2075"/>
      <c r="P134" s="2075" t="s">
        <v>2346</v>
      </c>
      <c r="Q134" s="2075"/>
      <c r="R134" s="2075"/>
      <c r="S134" s="2075"/>
      <c r="T134" s="2075"/>
      <c r="U134" s="2076"/>
      <c r="V134" s="1190"/>
      <c r="W134" s="1190"/>
      <c r="X134" s="2040"/>
      <c r="Y134" s="2041"/>
      <c r="Z134" s="2041"/>
      <c r="AA134" s="2041"/>
      <c r="AB134" s="2041"/>
      <c r="AC134" s="2041"/>
      <c r="AD134" s="2041"/>
      <c r="AE134" s="2041"/>
      <c r="AF134" s="2041"/>
      <c r="AG134" s="2041"/>
      <c r="AH134" s="2041"/>
      <c r="AI134" s="2041"/>
      <c r="AJ134" s="2041"/>
      <c r="AK134" s="2041"/>
      <c r="AL134" s="2041"/>
      <c r="AM134" s="2041"/>
      <c r="AN134" s="2041"/>
      <c r="AO134" s="2041"/>
      <c r="AP134" s="2041"/>
      <c r="AQ134" s="2041"/>
      <c r="AR134" s="2041"/>
      <c r="AS134" s="2041"/>
      <c r="AT134" s="2041"/>
      <c r="AU134" s="2041"/>
      <c r="AV134" s="2041"/>
      <c r="AW134" s="2041"/>
      <c r="AX134" s="2041"/>
      <c r="AY134" s="2041"/>
      <c r="AZ134" s="2041"/>
      <c r="BA134" s="2041"/>
      <c r="BB134" s="2041"/>
      <c r="BC134" s="2041"/>
      <c r="BD134" s="2042"/>
      <c r="BE134" s="1194"/>
    </row>
    <row r="135" spans="1:57" ht="15.75" customHeight="1">
      <c r="A135" s="1190"/>
      <c r="B135" s="2037"/>
      <c r="C135" s="2038"/>
      <c r="D135" s="2038"/>
      <c r="E135" s="2038"/>
      <c r="F135" s="2038"/>
      <c r="G135" s="2038"/>
      <c r="H135" s="2038"/>
      <c r="I135" s="2075"/>
      <c r="J135" s="2075"/>
      <c r="K135" s="2075"/>
      <c r="L135" s="2075"/>
      <c r="M135" s="2075"/>
      <c r="N135" s="2075"/>
      <c r="O135" s="2075"/>
      <c r="P135" s="2075"/>
      <c r="Q135" s="2075"/>
      <c r="R135" s="2075"/>
      <c r="S135" s="2075"/>
      <c r="T135" s="2075"/>
      <c r="U135" s="2076"/>
      <c r="V135" s="1190"/>
      <c r="W135" s="1190"/>
      <c r="X135" s="2040"/>
      <c r="Y135" s="2041"/>
      <c r="Z135" s="2041"/>
      <c r="AA135" s="2041"/>
      <c r="AB135" s="2041"/>
      <c r="AC135" s="2041"/>
      <c r="AD135" s="2041"/>
      <c r="AE135" s="2041"/>
      <c r="AF135" s="2041"/>
      <c r="AG135" s="2041"/>
      <c r="AH135" s="2041"/>
      <c r="AI135" s="2041"/>
      <c r="AJ135" s="2041"/>
      <c r="AK135" s="2041"/>
      <c r="AL135" s="2041"/>
      <c r="AM135" s="2041"/>
      <c r="AN135" s="2041"/>
      <c r="AO135" s="2041"/>
      <c r="AP135" s="2041"/>
      <c r="AQ135" s="2041"/>
      <c r="AR135" s="2041"/>
      <c r="AS135" s="2041"/>
      <c r="AT135" s="2041"/>
      <c r="AU135" s="2041"/>
      <c r="AV135" s="2041"/>
      <c r="AW135" s="2041"/>
      <c r="AX135" s="2041"/>
      <c r="AY135" s="2041"/>
      <c r="AZ135" s="2041"/>
      <c r="BA135" s="2041"/>
      <c r="BB135" s="2041"/>
      <c r="BC135" s="2041"/>
      <c r="BD135" s="2042"/>
      <c r="BE135" s="1194"/>
    </row>
    <row r="136" spans="1:57" ht="15.75" customHeight="1">
      <c r="A136" s="1190"/>
      <c r="B136" s="2071" t="s">
        <v>2345</v>
      </c>
      <c r="C136" s="2072"/>
      <c r="D136" s="2072"/>
      <c r="E136" s="2072"/>
      <c r="F136" s="2072"/>
      <c r="G136" s="2072"/>
      <c r="H136" s="2072"/>
      <c r="I136" s="2073">
        <v>0</v>
      </c>
      <c r="J136" s="2073"/>
      <c r="K136" s="2073"/>
      <c r="L136" s="2073"/>
      <c r="M136" s="2073"/>
      <c r="N136" s="2073"/>
      <c r="O136" s="2073"/>
      <c r="P136" s="2073">
        <v>0</v>
      </c>
      <c r="Q136" s="2073"/>
      <c r="R136" s="2073"/>
      <c r="S136" s="2073"/>
      <c r="T136" s="2073"/>
      <c r="U136" s="2074"/>
      <c r="V136" s="1190"/>
      <c r="W136" s="1190"/>
      <c r="X136" s="2040"/>
      <c r="Y136" s="2041"/>
      <c r="Z136" s="2041"/>
      <c r="AA136" s="2041"/>
      <c r="AB136" s="2041"/>
      <c r="AC136" s="2041"/>
      <c r="AD136" s="2041"/>
      <c r="AE136" s="2041"/>
      <c r="AF136" s="2041"/>
      <c r="AG136" s="2041"/>
      <c r="AH136" s="2041"/>
      <c r="AI136" s="2041"/>
      <c r="AJ136" s="2041"/>
      <c r="AK136" s="2041"/>
      <c r="AL136" s="2041"/>
      <c r="AM136" s="2041"/>
      <c r="AN136" s="2041"/>
      <c r="AO136" s="2041"/>
      <c r="AP136" s="2041"/>
      <c r="AQ136" s="2041"/>
      <c r="AR136" s="2041"/>
      <c r="AS136" s="2041"/>
      <c r="AT136" s="2041"/>
      <c r="AU136" s="2041"/>
      <c r="AV136" s="2041"/>
      <c r="AW136" s="2041"/>
      <c r="AX136" s="2041"/>
      <c r="AY136" s="2041"/>
      <c r="AZ136" s="2041"/>
      <c r="BA136" s="2041"/>
      <c r="BB136" s="2041"/>
      <c r="BC136" s="2041"/>
      <c r="BD136" s="2042"/>
      <c r="BE136" s="1194"/>
    </row>
    <row r="137" spans="1:57" ht="15.75" customHeight="1" thickBot="1">
      <c r="A137" s="1190"/>
      <c r="B137" s="2065" t="s">
        <v>2344</v>
      </c>
      <c r="C137" s="2066"/>
      <c r="D137" s="2066"/>
      <c r="E137" s="2066"/>
      <c r="F137" s="2066"/>
      <c r="G137" s="2066"/>
      <c r="H137" s="2066"/>
      <c r="I137" s="2067">
        <v>0</v>
      </c>
      <c r="J137" s="2067"/>
      <c r="K137" s="2067"/>
      <c r="L137" s="2067"/>
      <c r="M137" s="2067"/>
      <c r="N137" s="2067"/>
      <c r="O137" s="2067"/>
      <c r="P137" s="2067">
        <v>0</v>
      </c>
      <c r="Q137" s="2067"/>
      <c r="R137" s="2067"/>
      <c r="S137" s="2067"/>
      <c r="T137" s="2067"/>
      <c r="U137" s="2068"/>
      <c r="V137" s="1190"/>
      <c r="W137" s="1190"/>
      <c r="X137" s="2043"/>
      <c r="Y137" s="2044"/>
      <c r="Z137" s="2044"/>
      <c r="AA137" s="2044"/>
      <c r="AB137" s="2044"/>
      <c r="AC137" s="2044"/>
      <c r="AD137" s="2044"/>
      <c r="AE137" s="2044"/>
      <c r="AF137" s="2044"/>
      <c r="AG137" s="2044"/>
      <c r="AH137" s="2044"/>
      <c r="AI137" s="2044"/>
      <c r="AJ137" s="2044"/>
      <c r="AK137" s="2044"/>
      <c r="AL137" s="2044"/>
      <c r="AM137" s="2044"/>
      <c r="AN137" s="2044"/>
      <c r="AO137" s="2044"/>
      <c r="AP137" s="2044"/>
      <c r="AQ137" s="2044"/>
      <c r="AR137" s="2044"/>
      <c r="AS137" s="2044"/>
      <c r="AT137" s="2044"/>
      <c r="AU137" s="2044"/>
      <c r="AV137" s="2044"/>
      <c r="AW137" s="2044"/>
      <c r="AX137" s="2044"/>
      <c r="AY137" s="2044"/>
      <c r="AZ137" s="2044"/>
      <c r="BA137" s="2044"/>
      <c r="BB137" s="2044"/>
      <c r="BC137" s="2044"/>
      <c r="BD137" s="204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2" t="s">
        <v>2358</v>
      </c>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80" t="s">
        <v>546</v>
      </c>
      <c r="AI139" s="2080"/>
      <c r="AJ139" s="2080"/>
      <c r="AK139" s="2080"/>
      <c r="AL139" s="2080"/>
      <c r="AM139" s="2080"/>
      <c r="AN139" s="2080"/>
      <c r="AO139" s="2080"/>
      <c r="AP139" s="2080"/>
      <c r="AQ139" s="2080"/>
      <c r="AR139" s="2080"/>
      <c r="AS139" s="2080"/>
      <c r="AT139" s="2080"/>
      <c r="AU139" s="2080"/>
      <c r="AV139" s="2080"/>
      <c r="AW139" s="2080"/>
      <c r="AX139" s="2081"/>
      <c r="AY139" s="1190"/>
      <c r="AZ139" s="1190"/>
      <c r="BA139" s="1190"/>
      <c r="BB139" s="1190"/>
      <c r="BC139" s="1190"/>
      <c r="BD139" s="1190"/>
      <c r="BE139" s="1194"/>
    </row>
    <row r="140" spans="1:57" ht="15.75" customHeight="1" thickBot="1">
      <c r="A140" s="1190"/>
      <c r="B140" s="2077" t="s">
        <v>2357</v>
      </c>
      <c r="C140" s="2078"/>
      <c r="D140" s="2078"/>
      <c r="E140" s="2078"/>
      <c r="F140" s="2078"/>
      <c r="G140" s="2078"/>
      <c r="H140" s="2078"/>
      <c r="I140" s="2078"/>
      <c r="J140" s="2078"/>
      <c r="K140" s="2078"/>
      <c r="L140" s="2078"/>
      <c r="M140" s="2078"/>
      <c r="N140" s="2078"/>
      <c r="O140" s="2078"/>
      <c r="P140" s="2078"/>
      <c r="Q140" s="2078"/>
      <c r="R140" s="2078"/>
      <c r="S140" s="2078"/>
      <c r="T140" s="2078"/>
      <c r="U140" s="2078"/>
      <c r="V140" s="2078"/>
      <c r="W140" s="2078"/>
      <c r="X140" s="2078"/>
      <c r="Y140" s="2078"/>
      <c r="Z140" s="2078"/>
      <c r="AA140" s="2078"/>
      <c r="AB140" s="2078"/>
      <c r="AC140" s="2078"/>
      <c r="AD140" s="2078"/>
      <c r="AE140" s="2078"/>
      <c r="AF140" s="2078"/>
      <c r="AG140" s="2079"/>
      <c r="AH140" s="2094"/>
      <c r="AI140" s="2095"/>
      <c r="AJ140" s="2095"/>
      <c r="AK140" s="2095"/>
      <c r="AL140" s="2095"/>
      <c r="AM140" s="2095"/>
      <c r="AN140" s="2095"/>
      <c r="AO140" s="2095"/>
      <c r="AP140" s="2095"/>
      <c r="AQ140" s="2095"/>
      <c r="AR140" s="2095"/>
      <c r="AS140" s="2095"/>
      <c r="AT140" s="2095"/>
      <c r="AU140" s="2095"/>
      <c r="AV140" s="2095"/>
      <c r="AW140" s="2095"/>
      <c r="AX140" s="2096"/>
      <c r="AY140" s="1190"/>
      <c r="AZ140" s="1190"/>
      <c r="BA140" s="1190"/>
      <c r="BB140" s="1190"/>
      <c r="BC140" s="1190"/>
      <c r="BD140" s="1190"/>
      <c r="BE140" s="1194"/>
    </row>
    <row r="141" spans="1:57" ht="15.75" customHeight="1">
      <c r="A141" s="1190"/>
      <c r="B141" s="2077" t="s">
        <v>2356</v>
      </c>
      <c r="C141" s="2078"/>
      <c r="D141" s="2078"/>
      <c r="E141" s="2078"/>
      <c r="F141" s="2078"/>
      <c r="G141" s="2078"/>
      <c r="H141" s="2078"/>
      <c r="I141" s="2078"/>
      <c r="J141" s="2078"/>
      <c r="K141" s="2078"/>
      <c r="L141" s="2078"/>
      <c r="M141" s="2078"/>
      <c r="N141" s="2078"/>
      <c r="O141" s="2078"/>
      <c r="P141" s="2078"/>
      <c r="Q141" s="2078"/>
      <c r="R141" s="2078"/>
      <c r="S141" s="2078"/>
      <c r="T141" s="2078"/>
      <c r="U141" s="2078"/>
      <c r="V141" s="2078"/>
      <c r="W141" s="2078"/>
      <c r="X141" s="2078"/>
      <c r="Y141" s="2078"/>
      <c r="Z141" s="2078"/>
      <c r="AA141" s="2078"/>
      <c r="AB141" s="2078"/>
      <c r="AC141" s="2078"/>
      <c r="AD141" s="2078"/>
      <c r="AE141" s="2078"/>
      <c r="AF141" s="2078"/>
      <c r="AG141" s="2079"/>
      <c r="AH141" s="2080" t="s">
        <v>546</v>
      </c>
      <c r="AI141" s="2080"/>
      <c r="AJ141" s="2080"/>
      <c r="AK141" s="2080"/>
      <c r="AL141" s="2080"/>
      <c r="AM141" s="2080"/>
      <c r="AN141" s="2080"/>
      <c r="AO141" s="2080"/>
      <c r="AP141" s="2080"/>
      <c r="AQ141" s="2080"/>
      <c r="AR141" s="2080"/>
      <c r="AS141" s="2080"/>
      <c r="AT141" s="2080"/>
      <c r="AU141" s="2080"/>
      <c r="AV141" s="2080"/>
      <c r="AW141" s="2080"/>
      <c r="AX141" s="2081"/>
      <c r="AY141" s="1190"/>
      <c r="AZ141" s="1190"/>
      <c r="BA141" s="1190"/>
      <c r="BB141" s="1190"/>
      <c r="BC141" s="1190"/>
      <c r="BD141" s="1190"/>
      <c r="BE141" s="1194"/>
    </row>
    <row r="142" spans="1:57" ht="15.75" customHeight="1">
      <c r="A142" s="1190"/>
      <c r="B142" s="2082" t="s">
        <v>2355</v>
      </c>
      <c r="C142" s="2083"/>
      <c r="D142" s="2083"/>
      <c r="E142" s="2083"/>
      <c r="F142" s="2083"/>
      <c r="G142" s="2083"/>
      <c r="H142" s="2083"/>
      <c r="I142" s="2083"/>
      <c r="J142" s="2083"/>
      <c r="K142" s="2083"/>
      <c r="L142" s="2083"/>
      <c r="M142" s="2083"/>
      <c r="N142" s="2083"/>
      <c r="O142" s="2083"/>
      <c r="P142" s="2083"/>
      <c r="Q142" s="2083"/>
      <c r="R142" s="2084" t="s">
        <v>2354</v>
      </c>
      <c r="S142" s="2084"/>
      <c r="T142" s="2084"/>
      <c r="U142" s="2084"/>
      <c r="V142" s="2084"/>
      <c r="W142" s="2084"/>
      <c r="X142" s="2084"/>
      <c r="Y142" s="2084"/>
      <c r="Z142" s="2084"/>
      <c r="AA142" s="2084"/>
      <c r="AB142" s="2084"/>
      <c r="AC142" s="2084"/>
      <c r="AD142" s="2084"/>
      <c r="AE142" s="2084"/>
      <c r="AF142" s="2084"/>
      <c r="AG142" s="2084"/>
      <c r="AH142" s="2084"/>
      <c r="AI142" s="2084"/>
      <c r="AJ142" s="2084"/>
      <c r="AK142" s="2084"/>
      <c r="AL142" s="2084"/>
      <c r="AM142" s="2084"/>
      <c r="AN142" s="2084"/>
      <c r="AO142" s="2084"/>
      <c r="AP142" s="2084"/>
      <c r="AQ142" s="2084"/>
      <c r="AR142" s="2084"/>
      <c r="AS142" s="2084"/>
      <c r="AT142" s="2084"/>
      <c r="AU142" s="2084"/>
      <c r="AV142" s="2084"/>
      <c r="AW142" s="2084"/>
      <c r="AX142" s="2085"/>
      <c r="AY142" s="1190"/>
      <c r="AZ142" s="1190"/>
      <c r="BA142" s="1190"/>
      <c r="BB142" s="1190"/>
      <c r="BC142" s="1190" t="s">
        <v>250</v>
      </c>
      <c r="BD142" s="1190"/>
      <c r="BE142" s="1194"/>
    </row>
    <row r="143" spans="1:57" ht="15.75" customHeight="1">
      <c r="A143" s="1190"/>
      <c r="B143" s="2086" t="s">
        <v>2353</v>
      </c>
      <c r="C143" s="2087"/>
      <c r="D143" s="2087"/>
      <c r="E143" s="2087"/>
      <c r="F143" s="2087"/>
      <c r="G143" s="2087"/>
      <c r="H143" s="2087"/>
      <c r="I143" s="2087"/>
      <c r="J143" s="2087"/>
      <c r="K143" s="2087"/>
      <c r="L143" s="2087"/>
      <c r="M143" s="2087"/>
      <c r="N143" s="2087"/>
      <c r="O143" s="2087"/>
      <c r="P143" s="2087"/>
      <c r="Q143" s="2087"/>
      <c r="R143" s="2087"/>
      <c r="S143" s="2087"/>
      <c r="T143" s="2087"/>
      <c r="U143" s="2087"/>
      <c r="V143" s="2087"/>
      <c r="W143" s="2087"/>
      <c r="X143" s="2087"/>
      <c r="Y143" s="2087"/>
      <c r="Z143" s="2087"/>
      <c r="AA143" s="2087"/>
      <c r="AB143" s="2087"/>
      <c r="AC143" s="2087"/>
      <c r="AD143" s="2087"/>
      <c r="AE143" s="2087"/>
      <c r="AF143" s="2087"/>
      <c r="AG143" s="2087"/>
      <c r="AH143" s="2087"/>
      <c r="AI143" s="2087"/>
      <c r="AJ143" s="2087"/>
      <c r="AK143" s="2087"/>
      <c r="AL143" s="2087"/>
      <c r="AM143" s="2087"/>
      <c r="AN143" s="2087"/>
      <c r="AO143" s="2087"/>
      <c r="AP143" s="2087"/>
      <c r="AQ143" s="2087"/>
      <c r="AR143" s="2087"/>
      <c r="AS143" s="2087"/>
      <c r="AT143" s="2087"/>
      <c r="AU143" s="2087"/>
      <c r="AV143" s="2087"/>
      <c r="AW143" s="2087"/>
      <c r="AX143" s="2088"/>
      <c r="AY143" s="1190"/>
      <c r="AZ143" s="1190"/>
      <c r="BA143" s="1190"/>
      <c r="BB143" s="1190"/>
      <c r="BC143" s="1190"/>
      <c r="BD143" s="1190"/>
      <c r="BE143" s="1194"/>
    </row>
    <row r="144" spans="1:57" ht="15.75" customHeight="1">
      <c r="A144" s="1190"/>
      <c r="B144" s="2086"/>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2087"/>
      <c r="AE144" s="2087"/>
      <c r="AF144" s="2087"/>
      <c r="AG144" s="2087"/>
      <c r="AH144" s="2087"/>
      <c r="AI144" s="2087"/>
      <c r="AJ144" s="2087"/>
      <c r="AK144" s="2087"/>
      <c r="AL144" s="2087"/>
      <c r="AM144" s="2087"/>
      <c r="AN144" s="2087"/>
      <c r="AO144" s="2087"/>
      <c r="AP144" s="2087"/>
      <c r="AQ144" s="2087"/>
      <c r="AR144" s="2087"/>
      <c r="AS144" s="2087"/>
      <c r="AT144" s="2087"/>
      <c r="AU144" s="2087"/>
      <c r="AV144" s="2087"/>
      <c r="AW144" s="2087"/>
      <c r="AX144" s="2088"/>
      <c r="AY144" s="1190"/>
      <c r="AZ144" s="1190"/>
      <c r="BA144" s="1190"/>
      <c r="BB144" s="1190"/>
      <c r="BC144" s="1190"/>
      <c r="BD144" s="1190"/>
      <c r="BE144" s="1194"/>
    </row>
    <row r="145" spans="1:57" ht="15.75" customHeight="1">
      <c r="A145" s="1190"/>
      <c r="B145" s="2086"/>
      <c r="C145" s="2087"/>
      <c r="D145" s="2087"/>
      <c r="E145" s="2087"/>
      <c r="F145" s="2087"/>
      <c r="G145" s="2087"/>
      <c r="H145" s="2087"/>
      <c r="I145" s="2087"/>
      <c r="J145" s="2087"/>
      <c r="K145" s="2087"/>
      <c r="L145" s="2087"/>
      <c r="M145" s="2087"/>
      <c r="N145" s="2087"/>
      <c r="O145" s="2087"/>
      <c r="P145" s="2087"/>
      <c r="Q145" s="2087"/>
      <c r="R145" s="2087"/>
      <c r="S145" s="2087"/>
      <c r="T145" s="2087"/>
      <c r="U145" s="2087"/>
      <c r="V145" s="2087"/>
      <c r="W145" s="2087"/>
      <c r="X145" s="2087"/>
      <c r="Y145" s="2087"/>
      <c r="Z145" s="2087"/>
      <c r="AA145" s="2087"/>
      <c r="AB145" s="2087"/>
      <c r="AC145" s="2087"/>
      <c r="AD145" s="2087"/>
      <c r="AE145" s="2087"/>
      <c r="AF145" s="2087"/>
      <c r="AG145" s="2087"/>
      <c r="AH145" s="2087"/>
      <c r="AI145" s="2087"/>
      <c r="AJ145" s="2087"/>
      <c r="AK145" s="2087"/>
      <c r="AL145" s="2087"/>
      <c r="AM145" s="2087"/>
      <c r="AN145" s="2087"/>
      <c r="AO145" s="2087"/>
      <c r="AP145" s="2087"/>
      <c r="AQ145" s="2087"/>
      <c r="AR145" s="2087"/>
      <c r="AS145" s="2087"/>
      <c r="AT145" s="2087"/>
      <c r="AU145" s="2087"/>
      <c r="AV145" s="2087"/>
      <c r="AW145" s="2087"/>
      <c r="AX145" s="2088"/>
      <c r="AY145" s="1190"/>
      <c r="AZ145" s="1190"/>
      <c r="BA145" s="1190"/>
      <c r="BB145" s="1190"/>
      <c r="BC145" s="1190"/>
      <c r="BD145" s="1190"/>
      <c r="BE145" s="1194"/>
    </row>
    <row r="146" spans="1:57" ht="15.75" customHeight="1">
      <c r="A146" s="1190"/>
      <c r="B146" s="2086"/>
      <c r="C146" s="2087"/>
      <c r="D146" s="2087"/>
      <c r="E146" s="2087"/>
      <c r="F146" s="2087"/>
      <c r="G146" s="2087"/>
      <c r="H146" s="2087"/>
      <c r="I146" s="2087"/>
      <c r="J146" s="2087"/>
      <c r="K146" s="2087"/>
      <c r="L146" s="2087"/>
      <c r="M146" s="2087"/>
      <c r="N146" s="2087"/>
      <c r="O146" s="2087"/>
      <c r="P146" s="2087"/>
      <c r="Q146" s="2087"/>
      <c r="R146" s="2087"/>
      <c r="S146" s="2087"/>
      <c r="T146" s="2087"/>
      <c r="U146" s="2087"/>
      <c r="V146" s="2087"/>
      <c r="W146" s="2087"/>
      <c r="X146" s="2087"/>
      <c r="Y146" s="2087"/>
      <c r="Z146" s="2087"/>
      <c r="AA146" s="2087"/>
      <c r="AB146" s="2087"/>
      <c r="AC146" s="2087"/>
      <c r="AD146" s="2087"/>
      <c r="AE146" s="2087"/>
      <c r="AF146" s="2087"/>
      <c r="AG146" s="2087"/>
      <c r="AH146" s="2087"/>
      <c r="AI146" s="2087"/>
      <c r="AJ146" s="2087"/>
      <c r="AK146" s="2087"/>
      <c r="AL146" s="2087"/>
      <c r="AM146" s="2087"/>
      <c r="AN146" s="2087"/>
      <c r="AO146" s="2087"/>
      <c r="AP146" s="2087"/>
      <c r="AQ146" s="2087"/>
      <c r="AR146" s="2087"/>
      <c r="AS146" s="2087"/>
      <c r="AT146" s="2087"/>
      <c r="AU146" s="2087"/>
      <c r="AV146" s="2087"/>
      <c r="AW146" s="2087"/>
      <c r="AX146" s="2088"/>
      <c r="AY146" s="1190"/>
      <c r="AZ146" s="1190"/>
      <c r="BA146" s="1190"/>
      <c r="BB146" s="1190"/>
      <c r="BC146" s="1190"/>
      <c r="BD146" s="1190"/>
      <c r="BE146" s="1194"/>
    </row>
    <row r="147" spans="1:57" ht="15.75" customHeight="1">
      <c r="A147" s="1190"/>
      <c r="B147" s="2086"/>
      <c r="C147" s="2087"/>
      <c r="D147" s="2087"/>
      <c r="E147" s="2087"/>
      <c r="F147" s="2087"/>
      <c r="G147" s="2087"/>
      <c r="H147" s="2087"/>
      <c r="I147" s="2087"/>
      <c r="J147" s="2087"/>
      <c r="K147" s="2087"/>
      <c r="L147" s="2087"/>
      <c r="M147" s="2087"/>
      <c r="N147" s="2087"/>
      <c r="O147" s="2087"/>
      <c r="P147" s="2087"/>
      <c r="Q147" s="2087"/>
      <c r="R147" s="2087"/>
      <c r="S147" s="2087"/>
      <c r="T147" s="2087"/>
      <c r="U147" s="2087"/>
      <c r="V147" s="2087"/>
      <c r="W147" s="2087"/>
      <c r="X147" s="2087"/>
      <c r="Y147" s="2087"/>
      <c r="Z147" s="2087"/>
      <c r="AA147" s="2087"/>
      <c r="AB147" s="2087"/>
      <c r="AC147" s="2087"/>
      <c r="AD147" s="2087"/>
      <c r="AE147" s="2087"/>
      <c r="AF147" s="2087"/>
      <c r="AG147" s="2087"/>
      <c r="AH147" s="2087"/>
      <c r="AI147" s="2087"/>
      <c r="AJ147" s="2087"/>
      <c r="AK147" s="2087"/>
      <c r="AL147" s="2087"/>
      <c r="AM147" s="2087"/>
      <c r="AN147" s="2087"/>
      <c r="AO147" s="2087"/>
      <c r="AP147" s="2087"/>
      <c r="AQ147" s="2087"/>
      <c r="AR147" s="2087"/>
      <c r="AS147" s="2087"/>
      <c r="AT147" s="2087"/>
      <c r="AU147" s="2087"/>
      <c r="AV147" s="2087"/>
      <c r="AW147" s="2087"/>
      <c r="AX147" s="2088"/>
      <c r="AY147" s="1190"/>
      <c r="AZ147" s="1190"/>
      <c r="BA147" s="1190"/>
      <c r="BB147" s="1190"/>
      <c r="BC147" s="1190"/>
      <c r="BD147" s="1190"/>
      <c r="BE147" s="1194"/>
    </row>
    <row r="148" spans="1:57" ht="15.75" customHeight="1">
      <c r="A148" s="1190"/>
      <c r="B148" s="2086"/>
      <c r="C148" s="2087"/>
      <c r="D148" s="2087"/>
      <c r="E148" s="2087"/>
      <c r="F148" s="2087"/>
      <c r="G148" s="2087"/>
      <c r="H148" s="2087"/>
      <c r="I148" s="2087"/>
      <c r="J148" s="2087"/>
      <c r="K148" s="2087"/>
      <c r="L148" s="2087"/>
      <c r="M148" s="2087"/>
      <c r="N148" s="2087"/>
      <c r="O148" s="2087"/>
      <c r="P148" s="2087"/>
      <c r="Q148" s="2087"/>
      <c r="R148" s="2087"/>
      <c r="S148" s="2087"/>
      <c r="T148" s="2087"/>
      <c r="U148" s="2087"/>
      <c r="V148" s="2087"/>
      <c r="W148" s="2087"/>
      <c r="X148" s="2087"/>
      <c r="Y148" s="2087"/>
      <c r="Z148" s="2087"/>
      <c r="AA148" s="2087"/>
      <c r="AB148" s="2087"/>
      <c r="AC148" s="2087"/>
      <c r="AD148" s="2087"/>
      <c r="AE148" s="2087"/>
      <c r="AF148" s="2087"/>
      <c r="AG148" s="2087"/>
      <c r="AH148" s="2087"/>
      <c r="AI148" s="2087"/>
      <c r="AJ148" s="2087"/>
      <c r="AK148" s="2087"/>
      <c r="AL148" s="2087"/>
      <c r="AM148" s="2087"/>
      <c r="AN148" s="2087"/>
      <c r="AO148" s="2087"/>
      <c r="AP148" s="2087"/>
      <c r="AQ148" s="2087"/>
      <c r="AR148" s="2087"/>
      <c r="AS148" s="2087"/>
      <c r="AT148" s="2087"/>
      <c r="AU148" s="2087"/>
      <c r="AV148" s="2087"/>
      <c r="AW148" s="2087"/>
      <c r="AX148" s="2088"/>
      <c r="AY148" s="1190"/>
      <c r="AZ148" s="1190"/>
      <c r="BA148" s="1190"/>
      <c r="BB148" s="1190"/>
      <c r="BC148" s="1190"/>
      <c r="BD148" s="1190"/>
      <c r="BE148" s="1194"/>
    </row>
    <row r="149" spans="1:57" ht="15.75" customHeight="1">
      <c r="A149" s="1190"/>
      <c r="B149" s="2086"/>
      <c r="C149" s="2087"/>
      <c r="D149" s="2087"/>
      <c r="E149" s="2087"/>
      <c r="F149" s="2087"/>
      <c r="G149" s="2087"/>
      <c r="H149" s="2087"/>
      <c r="I149" s="2087"/>
      <c r="J149" s="2087"/>
      <c r="K149" s="2087"/>
      <c r="L149" s="2087"/>
      <c r="M149" s="2087"/>
      <c r="N149" s="2087"/>
      <c r="O149" s="2087"/>
      <c r="P149" s="2087"/>
      <c r="Q149" s="2087"/>
      <c r="R149" s="2087"/>
      <c r="S149" s="2087"/>
      <c r="T149" s="2087"/>
      <c r="U149" s="2087"/>
      <c r="V149" s="2087"/>
      <c r="W149" s="2087"/>
      <c r="X149" s="2087"/>
      <c r="Y149" s="2087"/>
      <c r="Z149" s="2087"/>
      <c r="AA149" s="2087"/>
      <c r="AB149" s="2087"/>
      <c r="AC149" s="2087"/>
      <c r="AD149" s="2087"/>
      <c r="AE149" s="2087"/>
      <c r="AF149" s="2087"/>
      <c r="AG149" s="2087"/>
      <c r="AH149" s="2087"/>
      <c r="AI149" s="2087"/>
      <c r="AJ149" s="2087"/>
      <c r="AK149" s="2087"/>
      <c r="AL149" s="2087"/>
      <c r="AM149" s="2087"/>
      <c r="AN149" s="2087"/>
      <c r="AO149" s="2087"/>
      <c r="AP149" s="2087"/>
      <c r="AQ149" s="2087"/>
      <c r="AR149" s="2087"/>
      <c r="AS149" s="2087"/>
      <c r="AT149" s="2087"/>
      <c r="AU149" s="2087"/>
      <c r="AV149" s="2087"/>
      <c r="AW149" s="2087"/>
      <c r="AX149" s="2088"/>
      <c r="AY149" s="1190"/>
      <c r="AZ149" s="1190"/>
      <c r="BA149" s="1190"/>
      <c r="BB149" s="1190"/>
      <c r="BC149" s="1190"/>
      <c r="BD149" s="1190"/>
      <c r="BE149" s="1194"/>
    </row>
    <row r="150" spans="1:57" ht="15.75" customHeight="1">
      <c r="A150" s="1190"/>
      <c r="B150" s="2086"/>
      <c r="C150" s="2087"/>
      <c r="D150" s="2087"/>
      <c r="E150" s="2087"/>
      <c r="F150" s="2087"/>
      <c r="G150" s="2087"/>
      <c r="H150" s="2087"/>
      <c r="I150" s="2087"/>
      <c r="J150" s="2087"/>
      <c r="K150" s="2087"/>
      <c r="L150" s="2087"/>
      <c r="M150" s="2087"/>
      <c r="N150" s="2087"/>
      <c r="O150" s="2087"/>
      <c r="P150" s="2087"/>
      <c r="Q150" s="2087"/>
      <c r="R150" s="2087"/>
      <c r="S150" s="2087"/>
      <c r="T150" s="2087"/>
      <c r="U150" s="2087"/>
      <c r="V150" s="2087"/>
      <c r="W150" s="2087"/>
      <c r="X150" s="2087"/>
      <c r="Y150" s="2087"/>
      <c r="Z150" s="2087"/>
      <c r="AA150" s="2087"/>
      <c r="AB150" s="2087"/>
      <c r="AC150" s="2087"/>
      <c r="AD150" s="2087"/>
      <c r="AE150" s="2087"/>
      <c r="AF150" s="2087"/>
      <c r="AG150" s="2087"/>
      <c r="AH150" s="2087"/>
      <c r="AI150" s="2087"/>
      <c r="AJ150" s="2087"/>
      <c r="AK150" s="2087"/>
      <c r="AL150" s="2087"/>
      <c r="AM150" s="2087"/>
      <c r="AN150" s="2087"/>
      <c r="AO150" s="2087"/>
      <c r="AP150" s="2087"/>
      <c r="AQ150" s="2087"/>
      <c r="AR150" s="2087"/>
      <c r="AS150" s="2087"/>
      <c r="AT150" s="2087"/>
      <c r="AU150" s="2087"/>
      <c r="AV150" s="2087"/>
      <c r="AW150" s="2087"/>
      <c r="AX150" s="2088"/>
      <c r="AY150" s="1190"/>
      <c r="AZ150" s="1190"/>
      <c r="BA150" s="1190"/>
      <c r="BB150" s="1190"/>
      <c r="BC150" s="1190"/>
      <c r="BD150" s="1190"/>
      <c r="BE150" s="1194"/>
    </row>
    <row r="151" spans="1:57" ht="15.75" customHeight="1">
      <c r="A151" s="1190"/>
      <c r="B151" s="2086"/>
      <c r="C151" s="2087"/>
      <c r="D151" s="2087"/>
      <c r="E151" s="2087"/>
      <c r="F151" s="2087"/>
      <c r="G151" s="2087"/>
      <c r="H151" s="2087"/>
      <c r="I151" s="2087"/>
      <c r="J151" s="2087"/>
      <c r="K151" s="2087"/>
      <c r="L151" s="2087"/>
      <c r="M151" s="2087"/>
      <c r="N151" s="2087"/>
      <c r="O151" s="2087"/>
      <c r="P151" s="2087"/>
      <c r="Q151" s="2087"/>
      <c r="R151" s="2087"/>
      <c r="S151" s="2087"/>
      <c r="T151" s="2087"/>
      <c r="U151" s="2087"/>
      <c r="V151" s="2087"/>
      <c r="W151" s="2087"/>
      <c r="X151" s="2087"/>
      <c r="Y151" s="2087"/>
      <c r="Z151" s="2087"/>
      <c r="AA151" s="2087"/>
      <c r="AB151" s="2087"/>
      <c r="AC151" s="2087"/>
      <c r="AD151" s="2087"/>
      <c r="AE151" s="2087"/>
      <c r="AF151" s="2087"/>
      <c r="AG151" s="2087"/>
      <c r="AH151" s="2087"/>
      <c r="AI151" s="2087"/>
      <c r="AJ151" s="2087"/>
      <c r="AK151" s="2087"/>
      <c r="AL151" s="2087"/>
      <c r="AM151" s="2087"/>
      <c r="AN151" s="2087"/>
      <c r="AO151" s="2087"/>
      <c r="AP151" s="2087"/>
      <c r="AQ151" s="2087"/>
      <c r="AR151" s="2087"/>
      <c r="AS151" s="2087"/>
      <c r="AT151" s="2087"/>
      <c r="AU151" s="2087"/>
      <c r="AV151" s="2087"/>
      <c r="AW151" s="2087"/>
      <c r="AX151" s="2088"/>
      <c r="AY151" s="1190"/>
      <c r="AZ151" s="1190"/>
      <c r="BA151" s="1190"/>
      <c r="BB151" s="1190"/>
      <c r="BC151" s="1190"/>
      <c r="BD151" s="1190"/>
      <c r="BE151" s="1194"/>
    </row>
    <row r="152" spans="1:57" ht="15.75" customHeight="1" thickBot="1">
      <c r="A152" s="1190"/>
      <c r="B152" s="2089"/>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K152" s="2090"/>
      <c r="AL152" s="2090"/>
      <c r="AM152" s="2090"/>
      <c r="AN152" s="2090"/>
      <c r="AO152" s="2090"/>
      <c r="AP152" s="2090"/>
      <c r="AQ152" s="2090"/>
      <c r="AR152" s="2090"/>
      <c r="AS152" s="2090"/>
      <c r="AT152" s="2090"/>
      <c r="AU152" s="2090"/>
      <c r="AV152" s="2090"/>
      <c r="AW152" s="2090"/>
      <c r="AX152" s="209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9" t="s">
        <v>2350</v>
      </c>
      <c r="C156" s="2025"/>
      <c r="D156" s="2025"/>
      <c r="E156" s="2025"/>
      <c r="F156" s="2025"/>
      <c r="G156" s="2025"/>
      <c r="H156" s="2025"/>
      <c r="I156" s="2025"/>
      <c r="J156" s="2025"/>
      <c r="K156" s="2025"/>
      <c r="L156" s="2025"/>
      <c r="M156" s="2025"/>
      <c r="N156" s="2025"/>
      <c r="O156" s="2025"/>
      <c r="P156" s="2025"/>
      <c r="Q156" s="2025"/>
      <c r="R156" s="2025"/>
      <c r="S156" s="2025"/>
      <c r="T156" s="2025"/>
      <c r="U156" s="2026"/>
      <c r="V156" s="1190"/>
      <c r="W156" s="1192"/>
      <c r="X156" s="2069" t="s">
        <v>2349</v>
      </c>
      <c r="Y156" s="2025"/>
      <c r="Z156" s="2025"/>
      <c r="AA156" s="2025"/>
      <c r="AB156" s="2025"/>
      <c r="AC156" s="2025"/>
      <c r="AD156" s="2025"/>
      <c r="AE156" s="2025"/>
      <c r="AF156" s="2025"/>
      <c r="AG156" s="2025"/>
      <c r="AH156" s="2025"/>
      <c r="AI156" s="2025"/>
      <c r="AJ156" s="2025"/>
      <c r="AK156" s="2025"/>
      <c r="AL156" s="2025"/>
      <c r="AM156" s="2025"/>
      <c r="AN156" s="2025"/>
      <c r="AO156" s="2025"/>
      <c r="AP156" s="2025"/>
      <c r="AQ156" s="2026"/>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7"/>
      <c r="C157" s="2038"/>
      <c r="D157" s="2038"/>
      <c r="E157" s="2038"/>
      <c r="F157" s="2038"/>
      <c r="G157" s="2038"/>
      <c r="H157" s="2038"/>
      <c r="I157" s="2075" t="s">
        <v>2347</v>
      </c>
      <c r="J157" s="2075"/>
      <c r="K157" s="2075"/>
      <c r="L157" s="2075"/>
      <c r="M157" s="2075"/>
      <c r="N157" s="2075"/>
      <c r="O157" s="2075"/>
      <c r="P157" s="2075" t="s">
        <v>2348</v>
      </c>
      <c r="Q157" s="2075"/>
      <c r="R157" s="2075"/>
      <c r="S157" s="2075"/>
      <c r="T157" s="2075"/>
      <c r="U157" s="2076"/>
      <c r="V157" s="1190"/>
      <c r="W157" s="1190"/>
      <c r="X157" s="2037"/>
      <c r="Y157" s="2038"/>
      <c r="Z157" s="2038"/>
      <c r="AA157" s="2038"/>
      <c r="AB157" s="2038"/>
      <c r="AC157" s="2038"/>
      <c r="AD157" s="2038"/>
      <c r="AE157" s="2075" t="s">
        <v>2347</v>
      </c>
      <c r="AF157" s="2075"/>
      <c r="AG157" s="2075"/>
      <c r="AH157" s="2075"/>
      <c r="AI157" s="2075"/>
      <c r="AJ157" s="2075"/>
      <c r="AK157" s="2075"/>
      <c r="AL157" s="2075" t="s">
        <v>2346</v>
      </c>
      <c r="AM157" s="2075"/>
      <c r="AN157" s="2075"/>
      <c r="AO157" s="2075"/>
      <c r="AP157" s="2075"/>
      <c r="AQ157" s="2076"/>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7"/>
      <c r="C158" s="2038"/>
      <c r="D158" s="2038"/>
      <c r="E158" s="2038"/>
      <c r="F158" s="2038"/>
      <c r="G158" s="2038"/>
      <c r="H158" s="2038"/>
      <c r="I158" s="2075"/>
      <c r="J158" s="2075"/>
      <c r="K158" s="2075"/>
      <c r="L158" s="2075"/>
      <c r="M158" s="2075"/>
      <c r="N158" s="2075"/>
      <c r="O158" s="2075"/>
      <c r="P158" s="2075"/>
      <c r="Q158" s="2075"/>
      <c r="R158" s="2075"/>
      <c r="S158" s="2075"/>
      <c r="T158" s="2075"/>
      <c r="U158" s="2076"/>
      <c r="V158" s="1190"/>
      <c r="W158" s="1190"/>
      <c r="X158" s="2037"/>
      <c r="Y158" s="2038"/>
      <c r="Z158" s="2038"/>
      <c r="AA158" s="2038"/>
      <c r="AB158" s="2038"/>
      <c r="AC158" s="2038"/>
      <c r="AD158" s="2038"/>
      <c r="AE158" s="2075"/>
      <c r="AF158" s="2075"/>
      <c r="AG158" s="2075"/>
      <c r="AH158" s="2075"/>
      <c r="AI158" s="2075"/>
      <c r="AJ158" s="2075"/>
      <c r="AK158" s="2075"/>
      <c r="AL158" s="2075"/>
      <c r="AM158" s="2075"/>
      <c r="AN158" s="2075"/>
      <c r="AO158" s="2075"/>
      <c r="AP158" s="2075"/>
      <c r="AQ158" s="2076"/>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1" t="s">
        <v>2345</v>
      </c>
      <c r="C159" s="2072"/>
      <c r="D159" s="2072"/>
      <c r="E159" s="2072"/>
      <c r="F159" s="2072"/>
      <c r="G159" s="2072"/>
      <c r="H159" s="2072"/>
      <c r="I159" s="2073">
        <v>0</v>
      </c>
      <c r="J159" s="2073"/>
      <c r="K159" s="2073"/>
      <c r="L159" s="2073"/>
      <c r="M159" s="2073"/>
      <c r="N159" s="2073"/>
      <c r="O159" s="2073"/>
      <c r="P159" s="2073">
        <v>0</v>
      </c>
      <c r="Q159" s="2073"/>
      <c r="R159" s="2073"/>
      <c r="S159" s="2073"/>
      <c r="T159" s="2073"/>
      <c r="U159" s="2074"/>
      <c r="V159" s="1190"/>
      <c r="W159" s="1190"/>
      <c r="X159" s="2065" t="s">
        <v>2345</v>
      </c>
      <c r="Y159" s="2066"/>
      <c r="Z159" s="2066"/>
      <c r="AA159" s="2066"/>
      <c r="AB159" s="2066"/>
      <c r="AC159" s="2066"/>
      <c r="AD159" s="2066"/>
      <c r="AE159" s="2067">
        <v>0</v>
      </c>
      <c r="AF159" s="2067"/>
      <c r="AG159" s="2067"/>
      <c r="AH159" s="2067"/>
      <c r="AI159" s="2067"/>
      <c r="AJ159" s="2067"/>
      <c r="AK159" s="2067"/>
      <c r="AL159" s="2067">
        <v>0</v>
      </c>
      <c r="AM159" s="2067"/>
      <c r="AN159" s="2067"/>
      <c r="AO159" s="2067"/>
      <c r="AP159" s="2067"/>
      <c r="AQ159" s="2068"/>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5" t="s">
        <v>2344</v>
      </c>
      <c r="C160" s="2066"/>
      <c r="D160" s="2066"/>
      <c r="E160" s="2066"/>
      <c r="F160" s="2066"/>
      <c r="G160" s="2066"/>
      <c r="H160" s="2066"/>
      <c r="I160" s="2067">
        <v>0</v>
      </c>
      <c r="J160" s="2067"/>
      <c r="K160" s="2067"/>
      <c r="L160" s="2067"/>
      <c r="M160" s="2067"/>
      <c r="N160" s="2067"/>
      <c r="O160" s="2067"/>
      <c r="P160" s="2067">
        <v>0</v>
      </c>
      <c r="Q160" s="2067"/>
      <c r="R160" s="2067"/>
      <c r="S160" s="2067"/>
      <c r="T160" s="2067"/>
      <c r="U160" s="2068"/>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9" t="s">
        <v>2343</v>
      </c>
      <c r="D162" s="2025"/>
      <c r="E162" s="2025"/>
      <c r="F162" s="2025"/>
      <c r="G162" s="2025"/>
      <c r="H162" s="2025"/>
      <c r="I162" s="2025"/>
      <c r="J162" s="2025"/>
      <c r="K162" s="2025"/>
      <c r="L162" s="2025"/>
      <c r="M162" s="2025"/>
      <c r="N162" s="2025"/>
      <c r="O162" s="2025"/>
      <c r="P162" s="2025"/>
      <c r="Q162" s="2025"/>
      <c r="R162" s="2025"/>
      <c r="S162" s="2025"/>
      <c r="T162" s="2025"/>
      <c r="U162" s="2025"/>
      <c r="V162" s="2025"/>
      <c r="W162" s="2025"/>
      <c r="X162" s="2025"/>
      <c r="Y162" s="2025"/>
      <c r="Z162" s="2025"/>
      <c r="AA162" s="2025"/>
      <c r="AB162" s="2025"/>
      <c r="AC162" s="2025"/>
      <c r="AD162" s="2025"/>
      <c r="AE162" s="2025"/>
      <c r="AF162" s="2025"/>
      <c r="AG162" s="202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7" t="s">
        <v>2328</v>
      </c>
      <c r="D163" s="2038"/>
      <c r="E163" s="2038"/>
      <c r="F163" s="2038"/>
      <c r="G163" s="2038"/>
      <c r="H163" s="2038"/>
      <c r="I163" s="2038"/>
      <c r="J163" s="2038"/>
      <c r="K163" s="2038"/>
      <c r="L163" s="2038"/>
      <c r="M163" s="2038"/>
      <c r="N163" s="2038"/>
      <c r="O163" s="2038"/>
      <c r="P163" s="2038"/>
      <c r="Q163" s="2038" t="s">
        <v>2342</v>
      </c>
      <c r="R163" s="2038"/>
      <c r="S163" s="2038"/>
      <c r="T163" s="2070" t="s">
        <v>2341</v>
      </c>
      <c r="U163" s="2070"/>
      <c r="V163" s="2070"/>
      <c r="W163" s="2070"/>
      <c r="X163" s="2070"/>
      <c r="Y163" s="2070"/>
      <c r="Z163" s="2070"/>
      <c r="AA163" s="2070"/>
      <c r="AB163" s="2038" t="s">
        <v>2340</v>
      </c>
      <c r="AC163" s="2038"/>
      <c r="AD163" s="2038"/>
      <c r="AE163" s="2038"/>
      <c r="AF163" s="2038"/>
      <c r="AG163" s="203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2" t="s">
        <v>2339</v>
      </c>
      <c r="D164" s="2053"/>
      <c r="E164" s="2053"/>
      <c r="F164" s="2053"/>
      <c r="G164" s="2053"/>
      <c r="H164" s="2053"/>
      <c r="I164" s="2053"/>
      <c r="J164" s="2053"/>
      <c r="K164" s="2053"/>
      <c r="L164" s="2053"/>
      <c r="M164" s="2053"/>
      <c r="N164" s="2053"/>
      <c r="O164" s="2053"/>
      <c r="P164" s="2053"/>
      <c r="Q164" s="1995">
        <v>55</v>
      </c>
      <c r="R164" s="1995"/>
      <c r="S164" s="1995"/>
      <c r="T164" s="2046"/>
      <c r="U164" s="2046"/>
      <c r="V164" s="2046"/>
      <c r="W164" s="2046"/>
      <c r="X164" s="2046"/>
      <c r="Y164" s="2046"/>
      <c r="Z164" s="2046"/>
      <c r="AA164" s="204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2" t="s">
        <v>2338</v>
      </c>
      <c r="D165" s="2053"/>
      <c r="E165" s="2053"/>
      <c r="F165" s="2053"/>
      <c r="G165" s="2053"/>
      <c r="H165" s="2053"/>
      <c r="I165" s="2053"/>
      <c r="J165" s="2053"/>
      <c r="K165" s="2053"/>
      <c r="L165" s="2053"/>
      <c r="M165" s="2053"/>
      <c r="N165" s="2053"/>
      <c r="O165" s="2053"/>
      <c r="P165" s="2053"/>
      <c r="Q165" s="1995">
        <v>55</v>
      </c>
      <c r="R165" s="1995"/>
      <c r="S165" s="1995"/>
      <c r="T165" s="2055"/>
      <c r="U165" s="2055"/>
      <c r="V165" s="2055"/>
      <c r="W165" s="2055"/>
      <c r="X165" s="2055"/>
      <c r="Y165" s="2055"/>
      <c r="Z165" s="2055"/>
      <c r="AA165" s="2055"/>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2" t="s">
        <v>2337</v>
      </c>
      <c r="D166" s="2053"/>
      <c r="E166" s="2053"/>
      <c r="F166" s="2053"/>
      <c r="G166" s="2053"/>
      <c r="H166" s="2053"/>
      <c r="I166" s="2053"/>
      <c r="J166" s="2053"/>
      <c r="K166" s="2053"/>
      <c r="L166" s="2053"/>
      <c r="M166" s="2053"/>
      <c r="N166" s="2053"/>
      <c r="O166" s="2053"/>
      <c r="P166" s="2053"/>
      <c r="Q166" s="1995">
        <v>55</v>
      </c>
      <c r="R166" s="1995"/>
      <c r="S166" s="1995"/>
      <c r="T166" s="2046"/>
      <c r="U166" s="2046"/>
      <c r="V166" s="2046"/>
      <c r="W166" s="2046"/>
      <c r="X166" s="2046"/>
      <c r="Y166" s="2046"/>
      <c r="Z166" s="2046"/>
      <c r="AA166" s="204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2" t="s">
        <v>2336</v>
      </c>
      <c r="D167" s="2053"/>
      <c r="E167" s="2053"/>
      <c r="F167" s="2053"/>
      <c r="G167" s="2053"/>
      <c r="H167" s="2053"/>
      <c r="I167" s="2053"/>
      <c r="J167" s="2053"/>
      <c r="K167" s="2053"/>
      <c r="L167" s="2053"/>
      <c r="M167" s="2053"/>
      <c r="N167" s="2053"/>
      <c r="O167" s="2053"/>
      <c r="P167" s="2053"/>
      <c r="Q167" s="1995">
        <v>55</v>
      </c>
      <c r="R167" s="1995"/>
      <c r="S167" s="1995"/>
      <c r="T167" s="2046"/>
      <c r="U167" s="2046"/>
      <c r="V167" s="2046"/>
      <c r="W167" s="2046"/>
      <c r="X167" s="2046"/>
      <c r="Y167" s="2046"/>
      <c r="Z167" s="2046"/>
      <c r="AA167" s="2046"/>
      <c r="AB167" s="2056">
        <v>0</v>
      </c>
      <c r="AC167" s="2056"/>
      <c r="AD167" s="2056"/>
      <c r="AE167" s="2056"/>
      <c r="AF167" s="2056"/>
      <c r="AG167" s="2057"/>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2" t="s">
        <v>170</v>
      </c>
      <c r="D168" s="2053"/>
      <c r="E168" s="2053"/>
      <c r="F168" s="2054" t="s">
        <v>2317</v>
      </c>
      <c r="G168" s="2054"/>
      <c r="H168" s="2054"/>
      <c r="I168" s="2054"/>
      <c r="J168" s="2054"/>
      <c r="K168" s="2054"/>
      <c r="L168" s="2054"/>
      <c r="M168" s="2054"/>
      <c r="N168" s="2054"/>
      <c r="O168" s="2054"/>
      <c r="P168" s="2054"/>
      <c r="Q168" s="1995">
        <v>55</v>
      </c>
      <c r="R168" s="1995"/>
      <c r="S168" s="1995"/>
      <c r="T168" s="2055"/>
      <c r="U168" s="2055"/>
      <c r="V168" s="2055"/>
      <c r="W168" s="2055"/>
      <c r="X168" s="2055"/>
      <c r="Y168" s="2055"/>
      <c r="Z168" s="2055"/>
      <c r="AA168" s="2055"/>
      <c r="AB168" s="2056">
        <v>0</v>
      </c>
      <c r="AC168" s="2056"/>
      <c r="AD168" s="2056"/>
      <c r="AE168" s="2056"/>
      <c r="AF168" s="2056"/>
      <c r="AG168" s="2057"/>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2" t="s">
        <v>170</v>
      </c>
      <c r="D169" s="2053"/>
      <c r="E169" s="2053"/>
      <c r="F169" s="2054" t="s">
        <v>2317</v>
      </c>
      <c r="G169" s="2054"/>
      <c r="H169" s="2054"/>
      <c r="I169" s="2054"/>
      <c r="J169" s="2054"/>
      <c r="K169" s="2054"/>
      <c r="L169" s="2054"/>
      <c r="M169" s="2054"/>
      <c r="N169" s="2054"/>
      <c r="O169" s="2054"/>
      <c r="P169" s="2054"/>
      <c r="Q169" s="1995">
        <v>55</v>
      </c>
      <c r="R169" s="1995"/>
      <c r="S169" s="1995"/>
      <c r="T169" s="2055"/>
      <c r="U169" s="2055"/>
      <c r="V169" s="2055"/>
      <c r="W169" s="2055"/>
      <c r="X169" s="2055"/>
      <c r="Y169" s="2055"/>
      <c r="Z169" s="2055"/>
      <c r="AA169" s="2055"/>
      <c r="AB169" s="2056">
        <v>0</v>
      </c>
      <c r="AC169" s="2056"/>
      <c r="AD169" s="2056"/>
      <c r="AE169" s="2056"/>
      <c r="AF169" s="2056"/>
      <c r="AG169" s="2057"/>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8" t="s">
        <v>170</v>
      </c>
      <c r="D170" s="2059"/>
      <c r="E170" s="2059"/>
      <c r="F170" s="2060" t="s">
        <v>2317</v>
      </c>
      <c r="G170" s="2060"/>
      <c r="H170" s="2060"/>
      <c r="I170" s="2060"/>
      <c r="J170" s="2060"/>
      <c r="K170" s="2060"/>
      <c r="L170" s="2060"/>
      <c r="M170" s="2060"/>
      <c r="N170" s="2060"/>
      <c r="O170" s="2060"/>
      <c r="P170" s="2060"/>
      <c r="Q170" s="2061">
        <v>55</v>
      </c>
      <c r="R170" s="2061"/>
      <c r="S170" s="2061"/>
      <c r="T170" s="2062"/>
      <c r="U170" s="2062"/>
      <c r="V170" s="2062"/>
      <c r="W170" s="2062"/>
      <c r="X170" s="2062"/>
      <c r="Y170" s="2062"/>
      <c r="Z170" s="2062"/>
      <c r="AA170" s="2062"/>
      <c r="AB170" s="2063">
        <v>0</v>
      </c>
      <c r="AC170" s="2063"/>
      <c r="AD170" s="2063"/>
      <c r="AE170" s="2063"/>
      <c r="AF170" s="2063"/>
      <c r="AG170" s="206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3" t="s">
        <v>2335</v>
      </c>
      <c r="D172" s="2024"/>
      <c r="E172" s="2024"/>
      <c r="F172" s="2024"/>
      <c r="G172" s="2024"/>
      <c r="H172" s="2024"/>
      <c r="I172" s="2024"/>
      <c r="J172" s="2024"/>
      <c r="K172" s="2024"/>
      <c r="L172" s="2024"/>
      <c r="M172" s="2024"/>
      <c r="N172" s="2033"/>
      <c r="O172" s="1190"/>
      <c r="P172" s="2034" t="s">
        <v>2334</v>
      </c>
      <c r="Q172" s="2035"/>
      <c r="R172" s="2035"/>
      <c r="S172" s="2035"/>
      <c r="T172" s="2035"/>
      <c r="U172" s="2035"/>
      <c r="V172" s="2035"/>
      <c r="W172" s="2035"/>
      <c r="X172" s="2035"/>
      <c r="Y172" s="2035"/>
      <c r="Z172" s="2035"/>
      <c r="AA172" s="2035"/>
      <c r="AB172" s="2035"/>
      <c r="AC172" s="2035"/>
      <c r="AD172" s="2035"/>
      <c r="AE172" s="2035"/>
      <c r="AF172" s="2035"/>
      <c r="AG172" s="2035"/>
      <c r="AH172" s="2035"/>
      <c r="AI172" s="2035"/>
      <c r="AJ172" s="2035"/>
      <c r="AK172" s="2035"/>
      <c r="AL172" s="2035"/>
      <c r="AM172" s="2035"/>
      <c r="AN172" s="2035"/>
      <c r="AO172" s="203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7" t="s">
        <v>2333</v>
      </c>
      <c r="D173" s="2038"/>
      <c r="E173" s="2038"/>
      <c r="F173" s="2038"/>
      <c r="G173" s="2038"/>
      <c r="H173" s="2038"/>
      <c r="I173" s="2038" t="s">
        <v>2332</v>
      </c>
      <c r="J173" s="2038"/>
      <c r="K173" s="2038"/>
      <c r="L173" s="2038"/>
      <c r="M173" s="2038"/>
      <c r="N173" s="2039"/>
      <c r="O173" s="1190"/>
      <c r="P173" s="2040" t="s">
        <v>2331</v>
      </c>
      <c r="Q173" s="2041"/>
      <c r="R173" s="2041"/>
      <c r="S173" s="2041"/>
      <c r="T173" s="2041"/>
      <c r="U173" s="2041"/>
      <c r="V173" s="2041"/>
      <c r="W173" s="2041"/>
      <c r="X173" s="2041"/>
      <c r="Y173" s="2041"/>
      <c r="Z173" s="2041"/>
      <c r="AA173" s="2041"/>
      <c r="AB173" s="2041"/>
      <c r="AC173" s="2041"/>
      <c r="AD173" s="2041"/>
      <c r="AE173" s="2041"/>
      <c r="AF173" s="2041"/>
      <c r="AG173" s="2041"/>
      <c r="AH173" s="2041"/>
      <c r="AI173" s="2041"/>
      <c r="AJ173" s="2041"/>
      <c r="AK173" s="2041"/>
      <c r="AL173" s="2041"/>
      <c r="AM173" s="2041"/>
      <c r="AN173" s="2041"/>
      <c r="AO173" s="204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5"/>
      <c r="D174" s="1986"/>
      <c r="E174" s="1986"/>
      <c r="F174" s="1986"/>
      <c r="G174" s="1986"/>
      <c r="H174" s="1986"/>
      <c r="I174" s="2046"/>
      <c r="J174" s="2046"/>
      <c r="K174" s="2046"/>
      <c r="L174" s="2046"/>
      <c r="M174" s="2046"/>
      <c r="N174" s="2047"/>
      <c r="O174" s="1190"/>
      <c r="P174" s="2040"/>
      <c r="Q174" s="2041"/>
      <c r="R174" s="2041"/>
      <c r="S174" s="2041"/>
      <c r="T174" s="2041"/>
      <c r="U174" s="2041"/>
      <c r="V174" s="2041"/>
      <c r="W174" s="2041"/>
      <c r="X174" s="2041"/>
      <c r="Y174" s="2041"/>
      <c r="Z174" s="2041"/>
      <c r="AA174" s="2041"/>
      <c r="AB174" s="2041"/>
      <c r="AC174" s="2041"/>
      <c r="AD174" s="2041"/>
      <c r="AE174" s="2041"/>
      <c r="AF174" s="2041"/>
      <c r="AG174" s="2041"/>
      <c r="AH174" s="2041"/>
      <c r="AI174" s="2041"/>
      <c r="AJ174" s="2041"/>
      <c r="AK174" s="2041"/>
      <c r="AL174" s="2041"/>
      <c r="AM174" s="2041"/>
      <c r="AN174" s="2041"/>
      <c r="AO174" s="204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5"/>
      <c r="D175" s="1986"/>
      <c r="E175" s="1986"/>
      <c r="F175" s="1986"/>
      <c r="G175" s="1986"/>
      <c r="H175" s="1986"/>
      <c r="I175" s="2046"/>
      <c r="J175" s="2046"/>
      <c r="K175" s="2046"/>
      <c r="L175" s="2046"/>
      <c r="M175" s="2046"/>
      <c r="N175" s="2047"/>
      <c r="O175" s="1190"/>
      <c r="P175" s="2040"/>
      <c r="Q175" s="2041"/>
      <c r="R175" s="2041"/>
      <c r="S175" s="2041"/>
      <c r="T175" s="2041"/>
      <c r="U175" s="2041"/>
      <c r="V175" s="2041"/>
      <c r="W175" s="2041"/>
      <c r="X175" s="2041"/>
      <c r="Y175" s="2041"/>
      <c r="Z175" s="2041"/>
      <c r="AA175" s="2041"/>
      <c r="AB175" s="2041"/>
      <c r="AC175" s="2041"/>
      <c r="AD175" s="2041"/>
      <c r="AE175" s="2041"/>
      <c r="AF175" s="2041"/>
      <c r="AG175" s="2041"/>
      <c r="AH175" s="2041"/>
      <c r="AI175" s="2041"/>
      <c r="AJ175" s="2041"/>
      <c r="AK175" s="2041"/>
      <c r="AL175" s="2041"/>
      <c r="AM175" s="2041"/>
      <c r="AN175" s="2041"/>
      <c r="AO175" s="204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5"/>
      <c r="D176" s="1986"/>
      <c r="E176" s="1986"/>
      <c r="F176" s="1986"/>
      <c r="G176" s="1986"/>
      <c r="H176" s="1986"/>
      <c r="I176" s="2046"/>
      <c r="J176" s="2046"/>
      <c r="K176" s="2046"/>
      <c r="L176" s="2046"/>
      <c r="M176" s="2046"/>
      <c r="N176" s="2047"/>
      <c r="O176" s="1190"/>
      <c r="P176" s="2040"/>
      <c r="Q176" s="2041"/>
      <c r="R176" s="2041"/>
      <c r="S176" s="2041"/>
      <c r="T176" s="2041"/>
      <c r="U176" s="2041"/>
      <c r="V176" s="2041"/>
      <c r="W176" s="2041"/>
      <c r="X176" s="2041"/>
      <c r="Y176" s="2041"/>
      <c r="Z176" s="2041"/>
      <c r="AA176" s="2041"/>
      <c r="AB176" s="2041"/>
      <c r="AC176" s="2041"/>
      <c r="AD176" s="2041"/>
      <c r="AE176" s="2041"/>
      <c r="AF176" s="2041"/>
      <c r="AG176" s="2041"/>
      <c r="AH176" s="2041"/>
      <c r="AI176" s="2041"/>
      <c r="AJ176" s="2041"/>
      <c r="AK176" s="2041"/>
      <c r="AL176" s="2041"/>
      <c r="AM176" s="2041"/>
      <c r="AN176" s="2041"/>
      <c r="AO176" s="204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5"/>
      <c r="D177" s="1986"/>
      <c r="E177" s="1986"/>
      <c r="F177" s="1986"/>
      <c r="G177" s="1986"/>
      <c r="H177" s="1986"/>
      <c r="I177" s="2046"/>
      <c r="J177" s="2046"/>
      <c r="K177" s="2046"/>
      <c r="L177" s="2046"/>
      <c r="M177" s="2046"/>
      <c r="N177" s="2047"/>
      <c r="O177" s="1190"/>
      <c r="P177" s="2040"/>
      <c r="Q177" s="2041"/>
      <c r="R177" s="2041"/>
      <c r="S177" s="2041"/>
      <c r="T177" s="2041"/>
      <c r="U177" s="2041"/>
      <c r="V177" s="2041"/>
      <c r="W177" s="2041"/>
      <c r="X177" s="2041"/>
      <c r="Y177" s="2041"/>
      <c r="Z177" s="2041"/>
      <c r="AA177" s="2041"/>
      <c r="AB177" s="2041"/>
      <c r="AC177" s="2041"/>
      <c r="AD177" s="2041"/>
      <c r="AE177" s="2041"/>
      <c r="AF177" s="2041"/>
      <c r="AG177" s="2041"/>
      <c r="AH177" s="2041"/>
      <c r="AI177" s="2041"/>
      <c r="AJ177" s="2041"/>
      <c r="AK177" s="2041"/>
      <c r="AL177" s="2041"/>
      <c r="AM177" s="2041"/>
      <c r="AN177" s="2041"/>
      <c r="AO177" s="204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5"/>
      <c r="D178" s="1986"/>
      <c r="E178" s="1986"/>
      <c r="F178" s="1986"/>
      <c r="G178" s="1986"/>
      <c r="H178" s="1986"/>
      <c r="I178" s="2046"/>
      <c r="J178" s="2046"/>
      <c r="K178" s="2046"/>
      <c r="L178" s="2046"/>
      <c r="M178" s="2046"/>
      <c r="N178" s="2047"/>
      <c r="O178" s="1190"/>
      <c r="P178" s="2040"/>
      <c r="Q178" s="2041"/>
      <c r="R178" s="2041"/>
      <c r="S178" s="2041"/>
      <c r="T178" s="2041"/>
      <c r="U178" s="2041"/>
      <c r="V178" s="2041"/>
      <c r="W178" s="2041"/>
      <c r="X178" s="2041"/>
      <c r="Y178" s="2041"/>
      <c r="Z178" s="2041"/>
      <c r="AA178" s="2041"/>
      <c r="AB178" s="2041"/>
      <c r="AC178" s="2041"/>
      <c r="AD178" s="2041"/>
      <c r="AE178" s="2041"/>
      <c r="AF178" s="2041"/>
      <c r="AG178" s="2041"/>
      <c r="AH178" s="2041"/>
      <c r="AI178" s="2041"/>
      <c r="AJ178" s="2041"/>
      <c r="AK178" s="2041"/>
      <c r="AL178" s="2041"/>
      <c r="AM178" s="2041"/>
      <c r="AN178" s="2041"/>
      <c r="AO178" s="204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5"/>
      <c r="D179" s="1986"/>
      <c r="E179" s="1986"/>
      <c r="F179" s="1986"/>
      <c r="G179" s="1986"/>
      <c r="H179" s="1986"/>
      <c r="I179" s="2046"/>
      <c r="J179" s="2046"/>
      <c r="K179" s="2046"/>
      <c r="L179" s="2046"/>
      <c r="M179" s="2046"/>
      <c r="N179" s="2047"/>
      <c r="O179" s="1190"/>
      <c r="P179" s="2040"/>
      <c r="Q179" s="2041"/>
      <c r="R179" s="2041"/>
      <c r="S179" s="2041"/>
      <c r="T179" s="2041"/>
      <c r="U179" s="2041"/>
      <c r="V179" s="2041"/>
      <c r="W179" s="2041"/>
      <c r="X179" s="2041"/>
      <c r="Y179" s="2041"/>
      <c r="Z179" s="2041"/>
      <c r="AA179" s="2041"/>
      <c r="AB179" s="2041"/>
      <c r="AC179" s="2041"/>
      <c r="AD179" s="2041"/>
      <c r="AE179" s="2041"/>
      <c r="AF179" s="2041"/>
      <c r="AG179" s="2041"/>
      <c r="AH179" s="2041"/>
      <c r="AI179" s="2041"/>
      <c r="AJ179" s="2041"/>
      <c r="AK179" s="2041"/>
      <c r="AL179" s="2041"/>
      <c r="AM179" s="2041"/>
      <c r="AN179" s="2041"/>
      <c r="AO179" s="204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8"/>
      <c r="D180" s="2049"/>
      <c r="E180" s="2049"/>
      <c r="F180" s="2049"/>
      <c r="G180" s="2049"/>
      <c r="H180" s="2049"/>
      <c r="I180" s="2050"/>
      <c r="J180" s="2050"/>
      <c r="K180" s="2050"/>
      <c r="L180" s="2050"/>
      <c r="M180" s="2050"/>
      <c r="N180" s="2051"/>
      <c r="O180" s="1190"/>
      <c r="P180" s="2043"/>
      <c r="Q180" s="2044"/>
      <c r="R180" s="2044"/>
      <c r="S180" s="2044"/>
      <c r="T180" s="2044"/>
      <c r="U180" s="2044"/>
      <c r="V180" s="2044"/>
      <c r="W180" s="2044"/>
      <c r="X180" s="2044"/>
      <c r="Y180" s="2044"/>
      <c r="Z180" s="2044"/>
      <c r="AA180" s="2044"/>
      <c r="AB180" s="2044"/>
      <c r="AC180" s="2044"/>
      <c r="AD180" s="2044"/>
      <c r="AE180" s="2044"/>
      <c r="AF180" s="2044"/>
      <c r="AG180" s="2044"/>
      <c r="AH180" s="2044"/>
      <c r="AI180" s="2044"/>
      <c r="AJ180" s="2044"/>
      <c r="AK180" s="2044"/>
      <c r="AL180" s="2044"/>
      <c r="AM180" s="2044"/>
      <c r="AN180" s="2044"/>
      <c r="AO180" s="204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4" t="s">
        <v>2330</v>
      </c>
      <c r="D182" s="2015"/>
      <c r="E182" s="2015"/>
      <c r="F182" s="2015"/>
      <c r="G182" s="2015"/>
      <c r="H182" s="2015"/>
      <c r="I182" s="2015"/>
      <c r="J182" s="2015"/>
      <c r="K182" s="2015"/>
      <c r="L182" s="2015"/>
      <c r="M182" s="2015"/>
      <c r="N182" s="2015"/>
      <c r="O182" s="2015"/>
      <c r="P182" s="2015"/>
      <c r="Q182" s="2015"/>
      <c r="R182" s="2015"/>
      <c r="S182" s="2015"/>
      <c r="T182" s="2015"/>
      <c r="U182" s="2015"/>
      <c r="V182" s="2015"/>
      <c r="W182" s="2015"/>
      <c r="X182" s="2015"/>
      <c r="Y182" s="2015"/>
      <c r="Z182" s="2015"/>
      <c r="AA182" s="2015"/>
      <c r="AB182" s="2015"/>
      <c r="AC182" s="2015"/>
      <c r="AD182" s="2015"/>
      <c r="AE182" s="2016"/>
      <c r="AF182" s="1190"/>
      <c r="AG182" s="1190"/>
      <c r="AH182" s="1899"/>
      <c r="AI182" s="1899"/>
      <c r="AJ182" s="1899"/>
      <c r="AK182" s="1899"/>
      <c r="AL182" s="1899"/>
      <c r="AM182" s="1899"/>
      <c r="AN182" s="1899"/>
      <c r="AO182" s="1899"/>
      <c r="AP182" s="1899"/>
      <c r="AQ182" s="1899"/>
      <c r="AR182" s="1899"/>
      <c r="AS182" s="1899"/>
      <c r="AT182" s="1899"/>
      <c r="AU182" s="1899"/>
      <c r="AV182" s="1899"/>
      <c r="AW182" s="1899"/>
      <c r="AX182" s="1899"/>
      <c r="AY182" s="1899"/>
      <c r="AZ182" s="1899"/>
      <c r="BA182" s="1899"/>
      <c r="BB182" s="1899"/>
      <c r="BC182" s="1899"/>
      <c r="BD182" s="1899"/>
      <c r="BE182" s="1899"/>
    </row>
    <row r="183" spans="1:57" ht="15.75" customHeight="1" thickBot="1">
      <c r="A183" s="1190"/>
      <c r="B183" s="1190"/>
      <c r="C183" s="2017"/>
      <c r="D183" s="2018"/>
      <c r="E183" s="2018"/>
      <c r="F183" s="2018"/>
      <c r="G183" s="2018"/>
      <c r="H183" s="2018"/>
      <c r="I183" s="2018"/>
      <c r="J183" s="2018"/>
      <c r="K183" s="2018"/>
      <c r="L183" s="2018"/>
      <c r="M183" s="2018"/>
      <c r="N183" s="2018"/>
      <c r="O183" s="2018"/>
      <c r="P183" s="2018"/>
      <c r="Q183" s="2018"/>
      <c r="R183" s="2018"/>
      <c r="S183" s="2018"/>
      <c r="T183" s="2018"/>
      <c r="U183" s="2018"/>
      <c r="V183" s="2018"/>
      <c r="W183" s="2018"/>
      <c r="X183" s="2018"/>
      <c r="Y183" s="2018"/>
      <c r="Z183" s="2018"/>
      <c r="AA183" s="2018"/>
      <c r="AB183" s="2018"/>
      <c r="AC183" s="2018"/>
      <c r="AD183" s="2018"/>
      <c r="AE183" s="2019"/>
      <c r="AF183" s="1190"/>
      <c r="AG183" s="1190"/>
      <c r="AH183" s="1899"/>
      <c r="AI183" s="1899"/>
      <c r="AJ183" s="1899"/>
      <c r="AK183" s="1899"/>
      <c r="AL183" s="1899"/>
      <c r="AM183" s="1899"/>
      <c r="AN183" s="1899"/>
      <c r="AO183" s="1899"/>
      <c r="AP183" s="1899"/>
      <c r="AQ183" s="1899"/>
      <c r="AR183" s="1899"/>
      <c r="AS183" s="1899"/>
      <c r="AT183" s="1899"/>
      <c r="AU183" s="1899"/>
      <c r="AV183" s="1899"/>
      <c r="AW183" s="1899"/>
      <c r="AX183" s="1899"/>
      <c r="AY183" s="1899"/>
      <c r="AZ183" s="1899"/>
      <c r="BA183" s="1899"/>
      <c r="BB183" s="1899"/>
      <c r="BC183" s="1899"/>
      <c r="BD183" s="1899"/>
      <c r="BE183" s="1899"/>
    </row>
    <row r="184" spans="1:57" ht="15.75" customHeight="1">
      <c r="A184" s="1190"/>
      <c r="B184" s="1190"/>
      <c r="C184" s="2023" t="s">
        <v>2328</v>
      </c>
      <c r="D184" s="2024"/>
      <c r="E184" s="2024"/>
      <c r="F184" s="2024"/>
      <c r="G184" s="2024"/>
      <c r="H184" s="2024"/>
      <c r="I184" s="2024"/>
      <c r="J184" s="2024"/>
      <c r="K184" s="2024"/>
      <c r="L184" s="2024"/>
      <c r="M184" s="2024"/>
      <c r="N184" s="2024" t="s">
        <v>2329</v>
      </c>
      <c r="O184" s="2024"/>
      <c r="P184" s="2024"/>
      <c r="Q184" s="2024"/>
      <c r="R184" s="2024"/>
      <c r="S184" s="2024"/>
      <c r="T184" s="2024"/>
      <c r="U184" s="2025" t="s">
        <v>2328</v>
      </c>
      <c r="V184" s="2025"/>
      <c r="W184" s="2025"/>
      <c r="X184" s="2025"/>
      <c r="Y184" s="2025"/>
      <c r="Z184" s="2025"/>
      <c r="AA184" s="2025"/>
      <c r="AB184" s="2025"/>
      <c r="AC184" s="2025"/>
      <c r="AD184" s="2025"/>
      <c r="AE184" s="2026"/>
      <c r="AF184" s="1190"/>
      <c r="AG184" s="1190"/>
      <c r="AH184" s="1899"/>
      <c r="AI184" s="1899"/>
      <c r="AJ184" s="1899"/>
      <c r="AK184" s="1899"/>
      <c r="AL184" s="1899"/>
      <c r="AM184" s="1899"/>
      <c r="AN184" s="1899"/>
      <c r="AO184" s="1899"/>
      <c r="AP184" s="1899"/>
      <c r="AQ184" s="1899"/>
      <c r="AR184" s="1899"/>
      <c r="AS184" s="1899"/>
      <c r="AT184" s="1899"/>
      <c r="AU184" s="1899"/>
      <c r="AV184" s="1899"/>
      <c r="AW184" s="1899"/>
      <c r="AX184" s="1899"/>
      <c r="AY184" s="1899"/>
      <c r="AZ184" s="1899"/>
      <c r="BA184" s="1899"/>
      <c r="BB184" s="1899"/>
      <c r="BC184" s="1899"/>
      <c r="BD184" s="1899"/>
      <c r="BE184" s="1899"/>
    </row>
    <row r="185" spans="1:57" ht="15.75" customHeight="1">
      <c r="A185" s="1190"/>
      <c r="B185" s="1190"/>
      <c r="C185" s="2002" t="s">
        <v>2327</v>
      </c>
      <c r="D185" s="2003"/>
      <c r="E185" s="2003"/>
      <c r="F185" s="2003"/>
      <c r="G185" s="2003"/>
      <c r="H185" s="2003"/>
      <c r="I185" s="2003"/>
      <c r="J185" s="2003"/>
      <c r="K185" s="2003"/>
      <c r="L185" s="2003"/>
      <c r="M185" s="2003"/>
      <c r="N185" s="2013">
        <f>'Sources and Uses Budget'!B105</f>
        <v>54337992</v>
      </c>
      <c r="O185" s="2013"/>
      <c r="P185" s="2013"/>
      <c r="Q185" s="2013"/>
      <c r="R185" s="2013"/>
      <c r="S185" s="2013"/>
      <c r="T185" s="2013"/>
      <c r="U185" s="2027"/>
      <c r="V185" s="2027"/>
      <c r="W185" s="2027"/>
      <c r="X185" s="2027"/>
      <c r="Y185" s="2027"/>
      <c r="Z185" s="2027"/>
      <c r="AA185" s="2027"/>
      <c r="AB185" s="2027"/>
      <c r="AC185" s="2027"/>
      <c r="AD185" s="2027"/>
      <c r="AE185" s="2028"/>
      <c r="AF185" s="1190"/>
      <c r="AG185" s="1190"/>
      <c r="AH185" s="1899"/>
      <c r="AI185" s="1899"/>
      <c r="AJ185" s="1899"/>
      <c r="AK185" s="1899"/>
      <c r="AL185" s="1899"/>
      <c r="AM185" s="1899"/>
      <c r="AN185" s="1899"/>
      <c r="AO185" s="1899"/>
      <c r="AP185" s="1899"/>
      <c r="AQ185" s="1899"/>
      <c r="AR185" s="1899"/>
      <c r="AS185" s="1899"/>
      <c r="AT185" s="1899"/>
      <c r="AU185" s="1899"/>
      <c r="AV185" s="1899"/>
      <c r="AW185" s="1899"/>
      <c r="AX185" s="1899"/>
      <c r="AY185" s="1899"/>
      <c r="AZ185" s="1899"/>
      <c r="BA185" s="1899"/>
      <c r="BB185" s="1899"/>
      <c r="BC185" s="1899"/>
      <c r="BD185" s="1899"/>
      <c r="BE185" s="1899"/>
    </row>
    <row r="186" spans="1:57" ht="15.75" customHeight="1">
      <c r="A186" s="1190"/>
      <c r="B186" s="1190"/>
      <c r="C186" s="2002" t="s">
        <v>2326</v>
      </c>
      <c r="D186" s="2003"/>
      <c r="E186" s="2003"/>
      <c r="F186" s="2003"/>
      <c r="G186" s="2003"/>
      <c r="H186" s="2003"/>
      <c r="I186" s="2003"/>
      <c r="J186" s="2003"/>
      <c r="K186" s="2003"/>
      <c r="L186" s="2003"/>
      <c r="M186" s="2003"/>
      <c r="N186" s="2013">
        <f>N185/J29</f>
        <v>517504.6857142857</v>
      </c>
      <c r="O186" s="2013"/>
      <c r="P186" s="2013"/>
      <c r="Q186" s="2013"/>
      <c r="R186" s="2013"/>
      <c r="S186" s="2013"/>
      <c r="T186" s="2013"/>
      <c r="U186" s="1228"/>
      <c r="V186" s="1228"/>
      <c r="W186" s="1228"/>
      <c r="X186" s="1228"/>
      <c r="Y186" s="1228"/>
      <c r="Z186" s="1228"/>
      <c r="AA186" s="1228"/>
      <c r="AB186" s="1228"/>
      <c r="AC186" s="1228"/>
      <c r="AD186" s="1228"/>
      <c r="AE186" s="1229"/>
      <c r="AF186" s="1190"/>
      <c r="AG186" s="1190"/>
      <c r="AH186" s="1899"/>
      <c r="AI186" s="1899"/>
      <c r="AJ186" s="1899"/>
      <c r="AK186" s="1899"/>
      <c r="AL186" s="1899"/>
      <c r="AM186" s="1899"/>
      <c r="AN186" s="1899"/>
      <c r="AO186" s="1899"/>
      <c r="AP186" s="1899"/>
      <c r="AQ186" s="1899"/>
      <c r="AR186" s="1899"/>
      <c r="AS186" s="1899"/>
      <c r="AT186" s="1899"/>
      <c r="AU186" s="1899"/>
      <c r="AV186" s="1899"/>
      <c r="AW186" s="1899"/>
      <c r="AX186" s="1899"/>
      <c r="AY186" s="1899"/>
      <c r="AZ186" s="1899"/>
      <c r="BA186" s="1899"/>
      <c r="BB186" s="1899"/>
      <c r="BC186" s="1899"/>
      <c r="BD186" s="1899"/>
      <c r="BE186" s="1899"/>
    </row>
    <row r="187" spans="1:57" ht="15.75" customHeight="1">
      <c r="A187" s="1190"/>
      <c r="B187" s="1190"/>
      <c r="C187" s="2029" t="s">
        <v>2325</v>
      </c>
      <c r="D187" s="2030"/>
      <c r="E187" s="2030"/>
      <c r="F187" s="2030"/>
      <c r="G187" s="2030"/>
      <c r="H187" s="2030"/>
      <c r="I187" s="2030"/>
      <c r="J187" s="2030"/>
      <c r="K187" s="2030"/>
      <c r="L187" s="2030"/>
      <c r="M187" s="2030"/>
      <c r="N187" s="2031">
        <v>0</v>
      </c>
      <c r="O187" s="2031"/>
      <c r="P187" s="2031"/>
      <c r="Q187" s="2031"/>
      <c r="R187" s="2031"/>
      <c r="S187" s="2031"/>
      <c r="T187" s="2031"/>
      <c r="U187" s="1989"/>
      <c r="V187" s="1989"/>
      <c r="W187" s="1989"/>
      <c r="X187" s="1989"/>
      <c r="Y187" s="1989"/>
      <c r="Z187" s="1989"/>
      <c r="AA187" s="1989"/>
      <c r="AB187" s="1989"/>
      <c r="AC187" s="1989"/>
      <c r="AD187" s="1989"/>
      <c r="AE187" s="1990"/>
      <c r="AF187" s="1190"/>
      <c r="AG187" s="1190"/>
      <c r="AH187" s="1899"/>
      <c r="AI187" s="1899"/>
      <c r="AJ187" s="1899"/>
      <c r="AK187" s="1899"/>
      <c r="AL187" s="1899"/>
      <c r="AM187" s="1899"/>
      <c r="AN187" s="1899"/>
      <c r="AO187" s="1899"/>
      <c r="AP187" s="1899"/>
      <c r="AQ187" s="1899"/>
      <c r="AR187" s="1899"/>
      <c r="AS187" s="1899"/>
      <c r="AT187" s="1899"/>
      <c r="AU187" s="1899"/>
      <c r="AV187" s="1899"/>
      <c r="AW187" s="1899"/>
      <c r="AX187" s="1899"/>
      <c r="AY187" s="1899"/>
      <c r="AZ187" s="1899"/>
      <c r="BA187" s="1899"/>
      <c r="BB187" s="1899"/>
      <c r="BC187" s="1899"/>
      <c r="BD187" s="1899"/>
      <c r="BE187" s="1899"/>
    </row>
    <row r="188" spans="1:57" ht="15.75" customHeight="1" thickBot="1">
      <c r="A188" s="1190"/>
      <c r="B188" s="1190"/>
      <c r="C188" s="2002" t="s">
        <v>2324</v>
      </c>
      <c r="D188" s="2003"/>
      <c r="E188" s="2003"/>
      <c r="F188" s="2003"/>
      <c r="G188" s="2003"/>
      <c r="H188" s="2003"/>
      <c r="I188" s="2003"/>
      <c r="J188" s="2003"/>
      <c r="K188" s="2003"/>
      <c r="L188" s="2003"/>
      <c r="M188" s="2003"/>
      <c r="N188" s="2032">
        <f>SUM('Sources and Uses Budget'!B85:B86)</f>
        <v>2000000</v>
      </c>
      <c r="O188" s="2032"/>
      <c r="P188" s="2032"/>
      <c r="Q188" s="2032"/>
      <c r="R188" s="2032"/>
      <c r="S188" s="2032"/>
      <c r="T188" s="2032"/>
      <c r="U188" s="1989"/>
      <c r="V188" s="1989"/>
      <c r="W188" s="1989"/>
      <c r="X188" s="1989"/>
      <c r="Y188" s="1989"/>
      <c r="Z188" s="1989"/>
      <c r="AA188" s="1989"/>
      <c r="AB188" s="1989"/>
      <c r="AC188" s="1989"/>
      <c r="AD188" s="1989"/>
      <c r="AE188" s="1990"/>
      <c r="AF188" s="1190"/>
      <c r="AG188" s="1190"/>
      <c r="AH188" s="1899"/>
      <c r="AI188" s="1899"/>
      <c r="AJ188" s="1899"/>
      <c r="AK188" s="1899"/>
      <c r="AL188" s="1899"/>
      <c r="AM188" s="1899"/>
      <c r="AN188" s="1899"/>
      <c r="AO188" s="1899"/>
      <c r="AP188" s="1899"/>
      <c r="AQ188" s="1899"/>
      <c r="AR188" s="1899"/>
      <c r="AS188" s="1899"/>
      <c r="AT188" s="1899"/>
      <c r="AU188" s="1899"/>
      <c r="AV188" s="1899"/>
      <c r="AW188" s="1899"/>
      <c r="AX188" s="1899"/>
      <c r="AY188" s="1899"/>
      <c r="AZ188" s="1899"/>
      <c r="BA188" s="1899"/>
      <c r="BB188" s="1899"/>
      <c r="BC188" s="1899"/>
      <c r="BD188" s="1899"/>
      <c r="BE188" s="1899"/>
    </row>
    <row r="189" spans="1:57" ht="15.75" customHeight="1" thickBot="1">
      <c r="A189" s="1190"/>
      <c r="B189" s="1190"/>
      <c r="C189" s="2002" t="s">
        <v>2323</v>
      </c>
      <c r="D189" s="2003"/>
      <c r="E189" s="2003"/>
      <c r="F189" s="2003"/>
      <c r="G189" s="2003"/>
      <c r="H189" s="2003"/>
      <c r="I189" s="2003"/>
      <c r="J189" s="2003"/>
      <c r="K189" s="2003"/>
      <c r="L189" s="2003"/>
      <c r="M189" s="2003"/>
      <c r="N189" s="2032">
        <f>'Sources and Uses Budget'!B8</f>
        <v>3000000</v>
      </c>
      <c r="O189" s="2032"/>
      <c r="P189" s="2032"/>
      <c r="Q189" s="2032"/>
      <c r="R189" s="2032"/>
      <c r="S189" s="2032"/>
      <c r="T189" s="2032"/>
      <c r="U189" s="1989"/>
      <c r="V189" s="1989"/>
      <c r="W189" s="1989"/>
      <c r="X189" s="1989"/>
      <c r="Y189" s="1989"/>
      <c r="Z189" s="1989"/>
      <c r="AA189" s="1989"/>
      <c r="AB189" s="1989"/>
      <c r="AC189" s="1989"/>
      <c r="AD189" s="1989"/>
      <c r="AE189" s="1990"/>
      <c r="AF189" s="1190"/>
      <c r="AG189" s="1190"/>
      <c r="AH189" s="1999" t="s">
        <v>2321</v>
      </c>
      <c r="AI189" s="2000"/>
      <c r="AJ189" s="2000"/>
      <c r="AK189" s="2000"/>
      <c r="AL189" s="2000"/>
      <c r="AM189" s="2000"/>
      <c r="AN189" s="2000"/>
      <c r="AO189" s="2000"/>
      <c r="AP189" s="2000"/>
      <c r="AQ189" s="2000"/>
      <c r="AR189" s="2000"/>
      <c r="AS189" s="2000"/>
      <c r="AT189" s="2000"/>
      <c r="AU189" s="2000"/>
      <c r="AV189" s="2000"/>
      <c r="AW189" s="2000"/>
      <c r="AX189" s="2000"/>
      <c r="AY189" s="2000"/>
      <c r="AZ189" s="2000"/>
      <c r="BA189" s="2000"/>
      <c r="BB189" s="2000"/>
      <c r="BC189" s="2000"/>
      <c r="BD189" s="2000"/>
      <c r="BE189" s="2001"/>
    </row>
    <row r="190" spans="1:57" ht="15.75" customHeight="1">
      <c r="A190" s="1190"/>
      <c r="B190" s="1190"/>
      <c r="C190" s="2002" t="s">
        <v>2322</v>
      </c>
      <c r="D190" s="2003"/>
      <c r="E190" s="2003"/>
      <c r="F190" s="2003"/>
      <c r="G190" s="2003"/>
      <c r="H190" s="2003"/>
      <c r="I190" s="2003"/>
      <c r="J190" s="2003"/>
      <c r="K190" s="2003"/>
      <c r="L190" s="2003"/>
      <c r="M190" s="2003"/>
      <c r="N190" s="1988">
        <v>0</v>
      </c>
      <c r="O190" s="1988"/>
      <c r="P190" s="1988"/>
      <c r="Q190" s="1988"/>
      <c r="R190" s="1988"/>
      <c r="S190" s="1988"/>
      <c r="T190" s="1988"/>
      <c r="U190" s="1989"/>
      <c r="V190" s="1989"/>
      <c r="W190" s="1989"/>
      <c r="X190" s="1989"/>
      <c r="Y190" s="1989"/>
      <c r="Z190" s="1989"/>
      <c r="AA190" s="1989"/>
      <c r="AB190" s="1989"/>
      <c r="AC190" s="1989"/>
      <c r="AD190" s="1989"/>
      <c r="AE190" s="1990"/>
      <c r="AF190" s="1190"/>
      <c r="AG190" s="1190"/>
      <c r="AH190" s="2004" t="s">
        <v>2321</v>
      </c>
      <c r="AI190" s="2005"/>
      <c r="AJ190" s="2005"/>
      <c r="AK190" s="2005"/>
      <c r="AL190" s="2005"/>
      <c r="AM190" s="2005"/>
      <c r="AN190" s="2005"/>
      <c r="AO190" s="2005"/>
      <c r="AP190" s="2005"/>
      <c r="AQ190" s="2005"/>
      <c r="AR190" s="2005"/>
      <c r="AS190" s="2005"/>
      <c r="AT190" s="2005"/>
      <c r="AU190" s="2006">
        <v>0</v>
      </c>
      <c r="AV190" s="2006"/>
      <c r="AW190" s="2006"/>
      <c r="AX190" s="2006"/>
      <c r="AY190" s="2006"/>
      <c r="AZ190" s="2006"/>
      <c r="BA190" s="2006"/>
      <c r="BB190" s="2006"/>
      <c r="BC190" s="2007"/>
      <c r="BD190" s="2008"/>
      <c r="BE190" s="2009"/>
    </row>
    <row r="191" spans="1:57" ht="15.75" customHeight="1">
      <c r="A191" s="1190"/>
      <c r="B191" s="1190"/>
      <c r="C191" s="2002" t="s">
        <v>2320</v>
      </c>
      <c r="D191" s="2003"/>
      <c r="E191" s="2003"/>
      <c r="F191" s="2003"/>
      <c r="G191" s="2003"/>
      <c r="H191" s="2003"/>
      <c r="I191" s="2003"/>
      <c r="J191" s="2003"/>
      <c r="K191" s="2003"/>
      <c r="L191" s="2003"/>
      <c r="M191" s="2003"/>
      <c r="N191" s="1988">
        <v>0</v>
      </c>
      <c r="O191" s="1988"/>
      <c r="P191" s="1988"/>
      <c r="Q191" s="1988"/>
      <c r="R191" s="1988"/>
      <c r="S191" s="1988"/>
      <c r="T191" s="1988"/>
      <c r="U191" s="1989"/>
      <c r="V191" s="1989"/>
      <c r="W191" s="1989"/>
      <c r="X191" s="1989"/>
      <c r="Y191" s="1989"/>
      <c r="Z191" s="1989"/>
      <c r="AA191" s="1989"/>
      <c r="AB191" s="1989"/>
      <c r="AC191" s="1989"/>
      <c r="AD191" s="1989"/>
      <c r="AE191" s="1990"/>
      <c r="AF191" s="1190"/>
      <c r="AG191" s="1190"/>
      <c r="AH191" s="2020" t="s">
        <v>2319</v>
      </c>
      <c r="AI191" s="2021"/>
      <c r="AJ191" s="2021"/>
      <c r="AK191" s="2021"/>
      <c r="AL191" s="2021"/>
      <c r="AM191" s="2021"/>
      <c r="AN191" s="2021"/>
      <c r="AO191" s="2021"/>
      <c r="AP191" s="2021"/>
      <c r="AQ191" s="2021"/>
      <c r="AR191" s="2021"/>
      <c r="AS191" s="2021"/>
      <c r="AT191" s="2021"/>
      <c r="AU191" s="2022"/>
      <c r="AV191" s="2022"/>
      <c r="AW191" s="2022"/>
      <c r="AX191" s="2022"/>
      <c r="AY191" s="2022"/>
      <c r="AZ191" s="2022"/>
      <c r="BA191" s="2022"/>
      <c r="BB191" s="2022"/>
      <c r="BC191" s="2010"/>
      <c r="BD191" s="2011"/>
      <c r="BE191" s="2012"/>
    </row>
    <row r="192" spans="1:57" ht="15.75" customHeight="1">
      <c r="A192" s="1190"/>
      <c r="B192" s="1190"/>
      <c r="C192" s="1994" t="s">
        <v>300</v>
      </c>
      <c r="D192" s="1995"/>
      <c r="E192" s="1987" t="s">
        <v>2317</v>
      </c>
      <c r="F192" s="1987"/>
      <c r="G192" s="1987"/>
      <c r="H192" s="1987"/>
      <c r="I192" s="1987"/>
      <c r="J192" s="1987"/>
      <c r="K192" s="1987"/>
      <c r="L192" s="1987"/>
      <c r="M192" s="1987"/>
      <c r="N192" s="1988">
        <v>0</v>
      </c>
      <c r="O192" s="1988"/>
      <c r="P192" s="1988"/>
      <c r="Q192" s="1988"/>
      <c r="R192" s="1988"/>
      <c r="S192" s="1988"/>
      <c r="T192" s="1988"/>
      <c r="U192" s="1989"/>
      <c r="V192" s="1989"/>
      <c r="W192" s="1989"/>
      <c r="X192" s="1989"/>
      <c r="Y192" s="1989"/>
      <c r="Z192" s="1989"/>
      <c r="AA192" s="1989"/>
      <c r="AB192" s="1989"/>
      <c r="AC192" s="1989"/>
      <c r="AD192" s="1989"/>
      <c r="AE192" s="1990"/>
      <c r="AF192" s="1190"/>
      <c r="AG192" s="1190"/>
      <c r="AH192" s="1996" t="s">
        <v>2318</v>
      </c>
      <c r="AI192" s="1997"/>
      <c r="AJ192" s="1997"/>
      <c r="AK192" s="1997"/>
      <c r="AL192" s="1997"/>
      <c r="AM192" s="1997"/>
      <c r="AN192" s="1997"/>
      <c r="AO192" s="1997"/>
      <c r="AP192" s="1997"/>
      <c r="AQ192" s="1997"/>
      <c r="AR192" s="1997"/>
      <c r="AS192" s="1997"/>
      <c r="AT192" s="1997"/>
      <c r="AU192" s="1998">
        <f>SUM(AU190:BB191)</f>
        <v>0</v>
      </c>
      <c r="AV192" s="1998"/>
      <c r="AW192" s="1998"/>
      <c r="AX192" s="1998"/>
      <c r="AY192" s="1998"/>
      <c r="AZ192" s="1998"/>
      <c r="BA192" s="1998"/>
      <c r="BB192" s="1998"/>
      <c r="BC192" s="2010"/>
      <c r="BD192" s="2011"/>
      <c r="BE192" s="2012"/>
    </row>
    <row r="193" spans="1:57" ht="15.75" customHeight="1" thickBot="1">
      <c r="A193" s="1190"/>
      <c r="B193" s="1190"/>
      <c r="C193" s="1985" t="s">
        <v>300</v>
      </c>
      <c r="D193" s="1986"/>
      <c r="E193" s="1987" t="s">
        <v>2317</v>
      </c>
      <c r="F193" s="1987"/>
      <c r="G193" s="1987"/>
      <c r="H193" s="1987"/>
      <c r="I193" s="1987"/>
      <c r="J193" s="1987"/>
      <c r="K193" s="1987"/>
      <c r="L193" s="1987"/>
      <c r="M193" s="1987"/>
      <c r="N193" s="1988">
        <v>0</v>
      </c>
      <c r="O193" s="1988"/>
      <c r="P193" s="1988"/>
      <c r="Q193" s="1988"/>
      <c r="R193" s="1988"/>
      <c r="S193" s="1988"/>
      <c r="T193" s="1988"/>
      <c r="U193" s="1989"/>
      <c r="V193" s="1989"/>
      <c r="W193" s="1989"/>
      <c r="X193" s="1989"/>
      <c r="Y193" s="1989"/>
      <c r="Z193" s="1989"/>
      <c r="AA193" s="1989"/>
      <c r="AB193" s="1989"/>
      <c r="AC193" s="1989"/>
      <c r="AD193" s="1989"/>
      <c r="AE193" s="199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1"/>
      <c r="BD193" s="1992"/>
      <c r="BE193" s="1993"/>
    </row>
    <row r="194" spans="1:57" ht="15.75" customHeight="1" thickBot="1">
      <c r="A194" s="1190"/>
      <c r="B194" s="1190"/>
      <c r="C194" s="1973" t="s">
        <v>300</v>
      </c>
      <c r="D194" s="1974"/>
      <c r="E194" s="1975" t="s">
        <v>2317</v>
      </c>
      <c r="F194" s="1975"/>
      <c r="G194" s="1975"/>
      <c r="H194" s="1975"/>
      <c r="I194" s="1975"/>
      <c r="J194" s="1975"/>
      <c r="K194" s="1975"/>
      <c r="L194" s="1975"/>
      <c r="M194" s="1976"/>
      <c r="N194" s="1977">
        <v>0</v>
      </c>
      <c r="O194" s="1977"/>
      <c r="P194" s="1977"/>
      <c r="Q194" s="1977"/>
      <c r="R194" s="1977"/>
      <c r="S194" s="1977"/>
      <c r="T194" s="1978"/>
      <c r="U194" s="1979"/>
      <c r="V194" s="1980"/>
      <c r="W194" s="1980"/>
      <c r="X194" s="1980"/>
      <c r="Y194" s="1980"/>
      <c r="Z194" s="1980"/>
      <c r="AA194" s="1980"/>
      <c r="AB194" s="1980"/>
      <c r="AC194" s="1980"/>
      <c r="AD194" s="1980"/>
      <c r="AE194" s="1981"/>
      <c r="AF194" s="1190"/>
      <c r="AG194" s="1190"/>
      <c r="AH194" s="1982" t="s">
        <v>2316</v>
      </c>
      <c r="AI194" s="1983"/>
      <c r="AJ194" s="1983"/>
      <c r="AK194" s="1983"/>
      <c r="AL194" s="1983"/>
      <c r="AM194" s="1983"/>
      <c r="AN194" s="1983"/>
      <c r="AO194" s="1983"/>
      <c r="AP194" s="1983"/>
      <c r="AQ194" s="1983"/>
      <c r="AR194" s="1983"/>
      <c r="AS194" s="1983"/>
      <c r="AT194" s="1983"/>
      <c r="AU194" s="1984"/>
      <c r="AV194" s="1984"/>
      <c r="AW194" s="1984"/>
      <c r="AX194" s="1984"/>
      <c r="AY194" s="1984"/>
      <c r="AZ194" s="1984"/>
      <c r="BA194" s="1984"/>
      <c r="BB194" s="1984"/>
      <c r="BC194" s="1171"/>
      <c r="BD194" s="1171"/>
      <c r="BE194" s="1232"/>
    </row>
    <row r="195" spans="1:57" ht="15.75" customHeight="1">
      <c r="A195" s="1190"/>
      <c r="B195" s="1190"/>
      <c r="C195" s="1956" t="s">
        <v>2315</v>
      </c>
      <c r="D195" s="1957"/>
      <c r="E195" s="1957"/>
      <c r="F195" s="1957"/>
      <c r="G195" s="1957"/>
      <c r="H195" s="1957"/>
      <c r="I195" s="1957"/>
      <c r="J195" s="1957"/>
      <c r="K195" s="1957"/>
      <c r="L195" s="1957"/>
      <c r="M195" s="1957"/>
      <c r="N195" s="1958">
        <f>SUM(N187:T194)</f>
        <v>5000000</v>
      </c>
      <c r="O195" s="1958"/>
      <c r="P195" s="1958"/>
      <c r="Q195" s="1958"/>
      <c r="R195" s="1958"/>
      <c r="S195" s="1958"/>
      <c r="T195" s="1959"/>
      <c r="U195" s="1190"/>
      <c r="V195" s="1190"/>
      <c r="W195" s="1190"/>
      <c r="X195" s="1190"/>
      <c r="Y195" s="1190"/>
      <c r="Z195" s="1190"/>
      <c r="AA195" s="1190"/>
      <c r="AB195" s="1190"/>
      <c r="AC195" s="1190"/>
      <c r="AD195" s="1190"/>
      <c r="AE195" s="1190"/>
      <c r="AF195" s="1190"/>
      <c r="AG195" s="1190"/>
      <c r="AH195" s="1960" t="s">
        <v>2314</v>
      </c>
      <c r="AI195" s="1961"/>
      <c r="AJ195" s="1961"/>
      <c r="AK195" s="1961"/>
      <c r="AL195" s="1961"/>
      <c r="AM195" s="1961"/>
      <c r="AN195" s="1961"/>
      <c r="AO195" s="1961"/>
      <c r="AP195" s="1961"/>
      <c r="AQ195" s="1961"/>
      <c r="AR195" s="1961"/>
      <c r="AS195" s="1961"/>
      <c r="AT195" s="1961"/>
      <c r="AU195" s="1961"/>
      <c r="AV195" s="1961"/>
      <c r="AW195" s="1961"/>
      <c r="AX195" s="1961"/>
      <c r="AY195" s="1961"/>
      <c r="AZ195" s="1961"/>
      <c r="BA195" s="1961"/>
      <c r="BB195" s="1961"/>
      <c r="BC195" s="1961"/>
      <c r="BD195" s="1961"/>
      <c r="BE195" s="1962"/>
    </row>
    <row r="196" spans="1:57" ht="15.75" customHeight="1" thickBot="1">
      <c r="A196" s="1190"/>
      <c r="B196" s="1190"/>
      <c r="C196" s="1966" t="s">
        <v>2313</v>
      </c>
      <c r="D196" s="1967"/>
      <c r="E196" s="1967"/>
      <c r="F196" s="1967"/>
      <c r="G196" s="1967"/>
      <c r="H196" s="1967"/>
      <c r="I196" s="1967"/>
      <c r="J196" s="1967"/>
      <c r="K196" s="1967"/>
      <c r="L196" s="1967"/>
      <c r="M196" s="1967"/>
      <c r="N196" s="1968">
        <f>(N185-N195)/J29</f>
        <v>469885.63809523807</v>
      </c>
      <c r="O196" s="1969"/>
      <c r="P196" s="1969"/>
      <c r="Q196" s="1969"/>
      <c r="R196" s="1969"/>
      <c r="S196" s="1969"/>
      <c r="T196" s="1970"/>
      <c r="U196" s="1195"/>
      <c r="V196" s="1190"/>
      <c r="W196" s="1190"/>
      <c r="X196" s="1190"/>
      <c r="Y196" s="1190"/>
      <c r="Z196" s="1190"/>
      <c r="AA196" s="1190"/>
      <c r="AB196" s="1190"/>
      <c r="AC196" s="1190"/>
      <c r="AD196" s="1190"/>
      <c r="AE196" s="1190"/>
      <c r="AF196" s="1190"/>
      <c r="AG196" s="1190"/>
      <c r="AH196" s="1963"/>
      <c r="AI196" s="1964"/>
      <c r="AJ196" s="1964"/>
      <c r="AK196" s="1964"/>
      <c r="AL196" s="1964"/>
      <c r="AM196" s="1964"/>
      <c r="AN196" s="1964"/>
      <c r="AO196" s="1964"/>
      <c r="AP196" s="1964"/>
      <c r="AQ196" s="1964"/>
      <c r="AR196" s="1964"/>
      <c r="AS196" s="1964"/>
      <c r="AT196" s="1964"/>
      <c r="AU196" s="1964"/>
      <c r="AV196" s="1964"/>
      <c r="AW196" s="1964"/>
      <c r="AX196" s="1964"/>
      <c r="AY196" s="1964"/>
      <c r="AZ196" s="1964"/>
      <c r="BA196" s="1964"/>
      <c r="BB196" s="1964"/>
      <c r="BC196" s="1964"/>
      <c r="BD196" s="1964"/>
      <c r="BE196" s="196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1"/>
      <c r="AI197" s="1971"/>
      <c r="AJ197" s="1971"/>
      <c r="AK197" s="1971"/>
      <c r="AL197" s="1971"/>
      <c r="AM197" s="1971"/>
      <c r="AN197" s="1971"/>
      <c r="AO197" s="1971"/>
      <c r="AP197" s="1971"/>
      <c r="AQ197" s="1971"/>
      <c r="AR197" s="1971"/>
      <c r="AS197" s="1972"/>
      <c r="AT197" s="1972"/>
      <c r="AU197" s="1972"/>
      <c r="AV197" s="1972"/>
      <c r="AW197" s="1972"/>
      <c r="AX197" s="1972"/>
      <c r="AY197" s="1972"/>
      <c r="AZ197" s="1972"/>
      <c r="BA197" s="1972"/>
      <c r="BB197" s="1972"/>
      <c r="BC197" s="1972"/>
      <c r="BD197" s="197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1" t="s">
        <v>2312</v>
      </c>
      <c r="D199" s="1952"/>
      <c r="E199" s="1952"/>
      <c r="F199" s="1952"/>
      <c r="G199" s="1952"/>
      <c r="H199" s="1952"/>
      <c r="I199" s="1952"/>
      <c r="J199" s="1952"/>
      <c r="K199" s="1952"/>
      <c r="L199" s="1952"/>
      <c r="M199" s="1952"/>
      <c r="N199" s="1952"/>
      <c r="O199" s="1952"/>
      <c r="P199" s="1952"/>
      <c r="Q199" s="1952"/>
      <c r="R199" s="1952"/>
      <c r="S199" s="1952"/>
      <c r="T199" s="1952"/>
      <c r="U199" s="1952"/>
      <c r="V199" s="1952"/>
      <c r="W199" s="1952"/>
      <c r="X199" s="1952"/>
      <c r="Y199" s="1952"/>
      <c r="Z199" s="1952"/>
      <c r="AA199" s="1952"/>
      <c r="AB199" s="1952"/>
      <c r="AC199" s="1952"/>
      <c r="AD199" s="1952"/>
      <c r="AE199" s="195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4" t="s">
        <v>2311</v>
      </c>
      <c r="D200" s="1954"/>
      <c r="E200" s="1954"/>
      <c r="F200" s="1954"/>
      <c r="G200" s="1954"/>
      <c r="H200" s="1954"/>
      <c r="I200" s="1954"/>
      <c r="J200" s="1954"/>
      <c r="K200" s="1954"/>
      <c r="L200" s="1954"/>
      <c r="M200" s="1954"/>
      <c r="N200" s="1954"/>
      <c r="O200" s="1955" t="s">
        <v>2310</v>
      </c>
      <c r="P200" s="1955"/>
      <c r="Q200" s="1955"/>
      <c r="R200" s="1955"/>
      <c r="S200" s="1955"/>
      <c r="T200" s="1955"/>
      <c r="U200" s="1955"/>
      <c r="V200" s="1955"/>
      <c r="W200" s="1955"/>
      <c r="X200" s="1955" t="s">
        <v>2309</v>
      </c>
      <c r="Y200" s="1955"/>
      <c r="Z200" s="1955"/>
      <c r="AA200" s="1955"/>
      <c r="AB200" s="1955"/>
      <c r="AC200" s="1955"/>
      <c r="AD200" s="1955"/>
      <c r="AE200" s="195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6" t="s">
        <v>2308</v>
      </c>
      <c r="D201" s="1946"/>
      <c r="E201" s="1946"/>
      <c r="F201" s="1946"/>
      <c r="G201" s="1946"/>
      <c r="H201" s="1946"/>
      <c r="I201" s="1946"/>
      <c r="J201" s="1946"/>
      <c r="K201" s="1946"/>
      <c r="L201" s="1946"/>
      <c r="M201" s="1946"/>
      <c r="N201" s="1946"/>
      <c r="O201" s="1947" t="s">
        <v>2307</v>
      </c>
      <c r="P201" s="1947"/>
      <c r="Q201" s="1947"/>
      <c r="R201" s="1947"/>
      <c r="S201" s="1947"/>
      <c r="T201" s="1947"/>
      <c r="U201" s="1947"/>
      <c r="V201" s="1947"/>
      <c r="W201" s="1947"/>
      <c r="X201" s="1948">
        <v>0.03</v>
      </c>
      <c r="Y201" s="1948"/>
      <c r="Z201" s="1948"/>
      <c r="AA201" s="1948"/>
      <c r="AB201" s="1948"/>
      <c r="AC201" s="1948"/>
      <c r="AD201" s="1948"/>
      <c r="AE201" s="194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6" t="s">
        <v>855</v>
      </c>
      <c r="D202" s="1946"/>
      <c r="E202" s="1946"/>
      <c r="F202" s="1946"/>
      <c r="G202" s="1946"/>
      <c r="H202" s="1946"/>
      <c r="I202" s="1946"/>
      <c r="J202" s="1946"/>
      <c r="K202" s="1946"/>
      <c r="L202" s="1946"/>
      <c r="M202" s="1946"/>
      <c r="N202" s="1946"/>
      <c r="O202" s="1947" t="s">
        <v>2307</v>
      </c>
      <c r="P202" s="1947"/>
      <c r="Q202" s="1947"/>
      <c r="R202" s="1947"/>
      <c r="S202" s="1947"/>
      <c r="T202" s="1947"/>
      <c r="U202" s="1947"/>
      <c r="V202" s="1947"/>
      <c r="W202" s="1947"/>
      <c r="X202" s="1948">
        <v>0.03</v>
      </c>
      <c r="Y202" s="1948"/>
      <c r="Z202" s="1948"/>
      <c r="AA202" s="1948"/>
      <c r="AB202" s="1948"/>
      <c r="AC202" s="1948"/>
      <c r="AD202" s="1948"/>
      <c r="AE202" s="194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6" t="s">
        <v>2306</v>
      </c>
      <c r="D203" s="1946"/>
      <c r="E203" s="1946"/>
      <c r="F203" s="1946"/>
      <c r="G203" s="1946"/>
      <c r="H203" s="1946"/>
      <c r="I203" s="1946"/>
      <c r="J203" s="1946"/>
      <c r="K203" s="1946"/>
      <c r="L203" s="1946"/>
      <c r="M203" s="1946"/>
      <c r="N203" s="1946"/>
      <c r="O203" s="1949">
        <f>SUM(O201:W202)</f>
        <v>0</v>
      </c>
      <c r="P203" s="1950"/>
      <c r="Q203" s="1950"/>
      <c r="R203" s="1950"/>
      <c r="S203" s="1950"/>
      <c r="T203" s="1950"/>
      <c r="U203" s="1950"/>
      <c r="V203" s="1950"/>
      <c r="W203" s="1950"/>
      <c r="X203" s="1950" t="s">
        <v>2305</v>
      </c>
      <c r="Y203" s="1950"/>
      <c r="Z203" s="1950"/>
      <c r="AA203" s="1950"/>
      <c r="AB203" s="1950"/>
      <c r="AC203" s="1950"/>
      <c r="AD203" s="1950"/>
      <c r="AE203" s="195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0" t="s">
        <v>2304</v>
      </c>
      <c r="D204" s="1920"/>
      <c r="E204" s="1920"/>
      <c r="F204" s="1920"/>
      <c r="G204" s="1920"/>
      <c r="H204" s="1920"/>
      <c r="I204" s="1920"/>
      <c r="J204" s="1920"/>
      <c r="K204" s="1920"/>
      <c r="L204" s="1920"/>
      <c r="M204" s="1920"/>
      <c r="N204" s="1920"/>
      <c r="O204" s="1920"/>
      <c r="P204" s="1920"/>
      <c r="Q204" s="1920"/>
      <c r="R204" s="1920"/>
      <c r="S204" s="1920"/>
      <c r="T204" s="1920"/>
      <c r="U204" s="1920"/>
      <c r="V204" s="1920"/>
      <c r="W204" s="1920"/>
      <c r="X204" s="1920"/>
      <c r="Y204" s="1920"/>
      <c r="Z204" s="1920"/>
      <c r="AA204" s="1920"/>
      <c r="AB204" s="1920"/>
      <c r="AC204" s="1920"/>
      <c r="AD204" s="1920"/>
      <c r="AE204" s="192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1" t="s">
        <v>2303</v>
      </c>
      <c r="D206" s="1922"/>
      <c r="E206" s="1922"/>
      <c r="F206" s="1922"/>
      <c r="G206" s="1922"/>
      <c r="H206" s="1922"/>
      <c r="I206" s="1922"/>
      <c r="J206" s="1922"/>
      <c r="K206" s="1922"/>
      <c r="L206" s="1922"/>
      <c r="M206" s="1922"/>
      <c r="N206" s="1922"/>
      <c r="O206" s="1922"/>
      <c r="P206" s="1922"/>
      <c r="Q206" s="1922"/>
      <c r="R206" s="1922"/>
      <c r="S206" s="1922"/>
      <c r="T206" s="1922"/>
      <c r="U206" s="1922"/>
      <c r="V206" s="1922"/>
      <c r="W206" s="1922"/>
      <c r="X206" s="1922"/>
      <c r="Y206" s="1922"/>
      <c r="Z206" s="1922"/>
      <c r="AA206" s="1922"/>
      <c r="AB206" s="1922"/>
      <c r="AC206" s="1922"/>
      <c r="AD206" s="1922"/>
      <c r="AE206" s="1922"/>
      <c r="AF206" s="1922"/>
      <c r="AG206" s="1922"/>
      <c r="AH206" s="1922"/>
      <c r="AI206" s="1922"/>
      <c r="AJ206" s="1922"/>
      <c r="AK206" s="192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4" t="s">
        <v>2302</v>
      </c>
      <c r="D207" s="1925"/>
      <c r="E207" s="1925"/>
      <c r="F207" s="1926"/>
      <c r="G207" s="1930" t="s">
        <v>2301</v>
      </c>
      <c r="H207" s="1925"/>
      <c r="I207" s="1925"/>
      <c r="J207" s="1925"/>
      <c r="K207" s="1925"/>
      <c r="L207" s="1925"/>
      <c r="M207" s="1925"/>
      <c r="N207" s="1925"/>
      <c r="O207" s="1926"/>
      <c r="P207" s="1932" t="s">
        <v>2300</v>
      </c>
      <c r="Q207" s="1933"/>
      <c r="R207" s="1933"/>
      <c r="S207" s="1933"/>
      <c r="T207" s="1934"/>
      <c r="U207" s="1938" t="s">
        <v>2299</v>
      </c>
      <c r="V207" s="1939"/>
      <c r="W207" s="1939"/>
      <c r="X207" s="1940"/>
      <c r="Y207" s="1938" t="s">
        <v>2298</v>
      </c>
      <c r="Z207" s="1939"/>
      <c r="AA207" s="1939"/>
      <c r="AB207" s="1940"/>
      <c r="AC207" s="1938" t="s">
        <v>2297</v>
      </c>
      <c r="AD207" s="1939"/>
      <c r="AE207" s="1939"/>
      <c r="AF207" s="1940"/>
      <c r="AG207" s="1930" t="s">
        <v>2296</v>
      </c>
      <c r="AH207" s="1925"/>
      <c r="AI207" s="1925"/>
      <c r="AJ207" s="1925"/>
      <c r="AK207" s="194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7"/>
      <c r="D208" s="1928"/>
      <c r="E208" s="1928"/>
      <c r="F208" s="1929"/>
      <c r="G208" s="1931"/>
      <c r="H208" s="1928"/>
      <c r="I208" s="1928"/>
      <c r="J208" s="1928"/>
      <c r="K208" s="1928"/>
      <c r="L208" s="1928"/>
      <c r="M208" s="1928"/>
      <c r="N208" s="1928"/>
      <c r="O208" s="1929"/>
      <c r="P208" s="1935"/>
      <c r="Q208" s="1936"/>
      <c r="R208" s="1936"/>
      <c r="S208" s="1936"/>
      <c r="T208" s="1937"/>
      <c r="U208" s="1941"/>
      <c r="V208" s="1942"/>
      <c r="W208" s="1942"/>
      <c r="X208" s="1943"/>
      <c r="Y208" s="1941"/>
      <c r="Z208" s="1942"/>
      <c r="AA208" s="1942"/>
      <c r="AB208" s="1943"/>
      <c r="AC208" s="1941"/>
      <c r="AD208" s="1942"/>
      <c r="AE208" s="1942"/>
      <c r="AF208" s="1943"/>
      <c r="AG208" s="1931"/>
      <c r="AH208" s="1928"/>
      <c r="AI208" s="1928"/>
      <c r="AJ208" s="1928"/>
      <c r="AK208" s="194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3">
        <v>1</v>
      </c>
      <c r="D209" s="1914"/>
      <c r="E209" s="1914"/>
      <c r="F209" s="1914"/>
      <c r="G209" s="1915" t="s">
        <v>1885</v>
      </c>
      <c r="H209" s="1915"/>
      <c r="I209" s="1915"/>
      <c r="J209" s="1915"/>
      <c r="K209" s="1915"/>
      <c r="L209" s="1915"/>
      <c r="M209" s="1915"/>
      <c r="N209" s="1915"/>
      <c r="O209" s="1915"/>
      <c r="P209" s="1916"/>
      <c r="Q209" s="1919"/>
      <c r="R209" s="1919"/>
      <c r="S209" s="1919"/>
      <c r="T209" s="1919"/>
      <c r="U209" s="1917" t="s">
        <v>1885</v>
      </c>
      <c r="V209" s="1917"/>
      <c r="W209" s="1917"/>
      <c r="X209" s="1917"/>
      <c r="Y209" s="1917" t="s">
        <v>1885</v>
      </c>
      <c r="Z209" s="1917"/>
      <c r="AA209" s="1917"/>
      <c r="AB209" s="1917"/>
      <c r="AC209" s="1918" t="s">
        <v>1885</v>
      </c>
      <c r="AD209" s="1918"/>
      <c r="AE209" s="1918"/>
      <c r="AF209" s="1918"/>
      <c r="AG209" s="1902"/>
      <c r="AH209" s="1903"/>
      <c r="AI209" s="1903"/>
      <c r="AJ209" s="1903"/>
      <c r="AK209" s="190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3">
        <v>2</v>
      </c>
      <c r="D210" s="1914"/>
      <c r="E210" s="1914"/>
      <c r="F210" s="1914"/>
      <c r="G210" s="1915" t="s">
        <v>1885</v>
      </c>
      <c r="H210" s="1915"/>
      <c r="I210" s="1915"/>
      <c r="J210" s="1915"/>
      <c r="K210" s="1915"/>
      <c r="L210" s="1915"/>
      <c r="M210" s="1915"/>
      <c r="N210" s="1915"/>
      <c r="O210" s="1915"/>
      <c r="P210" s="1916"/>
      <c r="Q210" s="1916"/>
      <c r="R210" s="1916"/>
      <c r="S210" s="1916"/>
      <c r="T210" s="1916"/>
      <c r="U210" s="1917" t="s">
        <v>1885</v>
      </c>
      <c r="V210" s="1917"/>
      <c r="W210" s="1917"/>
      <c r="X210" s="1917"/>
      <c r="Y210" s="1917" t="s">
        <v>1885</v>
      </c>
      <c r="Z210" s="1917"/>
      <c r="AA210" s="1917"/>
      <c r="AB210" s="1917"/>
      <c r="AC210" s="1918" t="s">
        <v>1885</v>
      </c>
      <c r="AD210" s="1918"/>
      <c r="AE210" s="1918"/>
      <c r="AF210" s="1918"/>
      <c r="AG210" s="1902"/>
      <c r="AH210" s="1903"/>
      <c r="AI210" s="1903"/>
      <c r="AJ210" s="1903"/>
      <c r="AK210" s="190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3">
        <v>3</v>
      </c>
      <c r="D211" s="1914"/>
      <c r="E211" s="1914"/>
      <c r="F211" s="1914"/>
      <c r="G211" s="1915" t="s">
        <v>1885</v>
      </c>
      <c r="H211" s="1915"/>
      <c r="I211" s="1915"/>
      <c r="J211" s="1915"/>
      <c r="K211" s="1915"/>
      <c r="L211" s="1915"/>
      <c r="M211" s="1915"/>
      <c r="N211" s="1915"/>
      <c r="O211" s="1915"/>
      <c r="P211" s="1916"/>
      <c r="Q211" s="1916"/>
      <c r="R211" s="1916"/>
      <c r="S211" s="1916"/>
      <c r="T211" s="1916"/>
      <c r="U211" s="1917" t="s">
        <v>1885</v>
      </c>
      <c r="V211" s="1917"/>
      <c r="W211" s="1917"/>
      <c r="X211" s="1917"/>
      <c r="Y211" s="1917" t="s">
        <v>1885</v>
      </c>
      <c r="Z211" s="1917"/>
      <c r="AA211" s="1917"/>
      <c r="AB211" s="1917"/>
      <c r="AC211" s="1918" t="s">
        <v>1885</v>
      </c>
      <c r="AD211" s="1918"/>
      <c r="AE211" s="1918"/>
      <c r="AF211" s="1918"/>
      <c r="AG211" s="1902"/>
      <c r="AH211" s="1903"/>
      <c r="AI211" s="1903"/>
      <c r="AJ211" s="1903"/>
      <c r="AK211" s="190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3">
        <v>4</v>
      </c>
      <c r="D212" s="1914"/>
      <c r="E212" s="1914"/>
      <c r="F212" s="1914"/>
      <c r="G212" s="1915" t="s">
        <v>1885</v>
      </c>
      <c r="H212" s="1915"/>
      <c r="I212" s="1915"/>
      <c r="J212" s="1915"/>
      <c r="K212" s="1915"/>
      <c r="L212" s="1915"/>
      <c r="M212" s="1915"/>
      <c r="N212" s="1915"/>
      <c r="O212" s="1915"/>
      <c r="P212" s="1916"/>
      <c r="Q212" s="1916"/>
      <c r="R212" s="1916"/>
      <c r="S212" s="1916"/>
      <c r="T212" s="1916"/>
      <c r="U212" s="1917" t="s">
        <v>1885</v>
      </c>
      <c r="V212" s="1917"/>
      <c r="W212" s="1917"/>
      <c r="X212" s="1917"/>
      <c r="Y212" s="1917" t="s">
        <v>1885</v>
      </c>
      <c r="Z212" s="1917"/>
      <c r="AA212" s="1917"/>
      <c r="AB212" s="1917"/>
      <c r="AC212" s="1918" t="s">
        <v>1885</v>
      </c>
      <c r="AD212" s="1918"/>
      <c r="AE212" s="1918"/>
      <c r="AF212" s="1918"/>
      <c r="AG212" s="1902"/>
      <c r="AH212" s="1903"/>
      <c r="AI212" s="1903"/>
      <c r="AJ212" s="1903"/>
      <c r="AK212" s="190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3">
        <v>5</v>
      </c>
      <c r="D213" s="1914"/>
      <c r="E213" s="1914"/>
      <c r="F213" s="1914"/>
      <c r="G213" s="1915" t="s">
        <v>1885</v>
      </c>
      <c r="H213" s="1915"/>
      <c r="I213" s="1915"/>
      <c r="J213" s="1915"/>
      <c r="K213" s="1915"/>
      <c r="L213" s="1915"/>
      <c r="M213" s="1915"/>
      <c r="N213" s="1915"/>
      <c r="O213" s="1915"/>
      <c r="P213" s="1916"/>
      <c r="Q213" s="1916"/>
      <c r="R213" s="1916"/>
      <c r="S213" s="1916"/>
      <c r="T213" s="1916"/>
      <c r="U213" s="1917" t="s">
        <v>1885</v>
      </c>
      <c r="V213" s="1917"/>
      <c r="W213" s="1917"/>
      <c r="X213" s="1917"/>
      <c r="Y213" s="1917" t="s">
        <v>1885</v>
      </c>
      <c r="Z213" s="1917"/>
      <c r="AA213" s="1917"/>
      <c r="AB213" s="1917"/>
      <c r="AC213" s="1918" t="s">
        <v>1885</v>
      </c>
      <c r="AD213" s="1918"/>
      <c r="AE213" s="1918"/>
      <c r="AF213" s="1918"/>
      <c r="AG213" s="1902"/>
      <c r="AH213" s="1903"/>
      <c r="AI213" s="1903"/>
      <c r="AJ213" s="1903"/>
      <c r="AK213" s="190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3">
        <v>6</v>
      </c>
      <c r="D214" s="1914"/>
      <c r="E214" s="1914"/>
      <c r="F214" s="1914"/>
      <c r="G214" s="1915" t="s">
        <v>1885</v>
      </c>
      <c r="H214" s="1915"/>
      <c r="I214" s="1915"/>
      <c r="J214" s="1915"/>
      <c r="K214" s="1915"/>
      <c r="L214" s="1915"/>
      <c r="M214" s="1915"/>
      <c r="N214" s="1915"/>
      <c r="O214" s="1915"/>
      <c r="P214" s="1916"/>
      <c r="Q214" s="1916"/>
      <c r="R214" s="1916"/>
      <c r="S214" s="1916"/>
      <c r="T214" s="1916"/>
      <c r="U214" s="1917"/>
      <c r="V214" s="1917"/>
      <c r="W214" s="1917"/>
      <c r="X214" s="1917"/>
      <c r="Y214" s="1917"/>
      <c r="Z214" s="1917"/>
      <c r="AA214" s="1917"/>
      <c r="AB214" s="1917"/>
      <c r="AC214" s="1918" t="s">
        <v>1885</v>
      </c>
      <c r="AD214" s="1918"/>
      <c r="AE214" s="1918"/>
      <c r="AF214" s="1918"/>
      <c r="AG214" s="1902"/>
      <c r="AH214" s="1903"/>
      <c r="AI214" s="1903"/>
      <c r="AJ214" s="1903"/>
      <c r="AK214" s="190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3">
        <v>7</v>
      </c>
      <c r="D215" s="1914"/>
      <c r="E215" s="1914"/>
      <c r="F215" s="1914"/>
      <c r="G215" s="1915"/>
      <c r="H215" s="1915"/>
      <c r="I215" s="1915"/>
      <c r="J215" s="1915"/>
      <c r="K215" s="1915"/>
      <c r="L215" s="1915"/>
      <c r="M215" s="1915"/>
      <c r="N215" s="1915"/>
      <c r="O215" s="1915"/>
      <c r="P215" s="1916"/>
      <c r="Q215" s="1916"/>
      <c r="R215" s="1916"/>
      <c r="S215" s="1916"/>
      <c r="T215" s="1916"/>
      <c r="U215" s="1917"/>
      <c r="V215" s="1917"/>
      <c r="W215" s="1917"/>
      <c r="X215" s="1917"/>
      <c r="Y215" s="1917"/>
      <c r="Z215" s="1917"/>
      <c r="AA215" s="1917"/>
      <c r="AB215" s="1917"/>
      <c r="AC215" s="1918" t="s">
        <v>1885</v>
      </c>
      <c r="AD215" s="1918"/>
      <c r="AE215" s="1918"/>
      <c r="AF215" s="1918"/>
      <c r="AG215" s="1902"/>
      <c r="AH215" s="1903"/>
      <c r="AI215" s="1903"/>
      <c r="AJ215" s="1903"/>
      <c r="AK215" s="190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5" t="s">
        <v>2295</v>
      </c>
      <c r="D216" s="1906"/>
      <c r="E216" s="1906"/>
      <c r="F216" s="1906"/>
      <c r="G216" s="1906"/>
      <c r="H216" s="1906"/>
      <c r="I216" s="1906"/>
      <c r="J216" s="1906"/>
      <c r="K216" s="1906"/>
      <c r="L216" s="1906"/>
      <c r="M216" s="1906"/>
      <c r="N216" s="1906"/>
      <c r="O216" s="1906"/>
      <c r="P216" s="1907"/>
      <c r="Q216" s="1907"/>
      <c r="R216" s="1907"/>
      <c r="S216" s="1907"/>
      <c r="T216" s="1907"/>
      <c r="U216" s="1908">
        <f>-SUM(U209:U215)</f>
        <v>0</v>
      </c>
      <c r="V216" s="1908"/>
      <c r="W216" s="1908"/>
      <c r="X216" s="1908"/>
      <c r="Y216" s="1908">
        <f>-SUM(Y209:Y215)</f>
        <v>0</v>
      </c>
      <c r="Z216" s="1908"/>
      <c r="AA216" s="1908"/>
      <c r="AB216" s="1908"/>
      <c r="AC216" s="1909">
        <f>-SUM(AC209:AC215)</f>
        <v>0</v>
      </c>
      <c r="AD216" s="1909"/>
      <c r="AE216" s="1909"/>
      <c r="AF216" s="1909"/>
      <c r="AG216" s="1910"/>
      <c r="AH216" s="1911"/>
      <c r="AI216" s="1911"/>
      <c r="AJ216" s="1911"/>
      <c r="AK216" s="191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9" t="s">
        <v>2293</v>
      </c>
      <c r="C221" s="1890"/>
      <c r="D221" s="1890"/>
      <c r="E221" s="1890"/>
      <c r="F221" s="1890"/>
      <c r="G221" s="1890"/>
      <c r="H221" s="1890"/>
      <c r="I221" s="1890"/>
      <c r="J221" s="1890"/>
      <c r="K221" s="1890"/>
      <c r="L221" s="1890"/>
      <c r="M221" s="1890"/>
      <c r="N221" s="1890"/>
      <c r="O221" s="1890"/>
      <c r="P221" s="1890"/>
      <c r="Q221" s="1890"/>
      <c r="R221" s="1890"/>
      <c r="S221" s="1890"/>
      <c r="T221" s="1890"/>
      <c r="U221" s="1890"/>
      <c r="V221" s="1890"/>
      <c r="W221" s="1890"/>
      <c r="X221" s="1890"/>
      <c r="Y221" s="1890"/>
      <c r="Z221" s="1890"/>
      <c r="AA221" s="1890"/>
      <c r="AB221" s="1890"/>
      <c r="AC221" s="1890"/>
      <c r="AD221" s="1890"/>
      <c r="AE221" s="1890"/>
      <c r="AF221" s="1890"/>
      <c r="AG221" s="1890"/>
      <c r="AH221" s="1890"/>
      <c r="AI221" s="1890"/>
      <c r="AJ221" s="1890"/>
      <c r="AK221" s="1890"/>
      <c r="AL221" s="1890"/>
      <c r="AM221" s="1890"/>
      <c r="AN221" s="1890"/>
      <c r="AO221" s="1890"/>
      <c r="AP221" s="1890"/>
      <c r="AQ221" s="1890"/>
      <c r="AR221" s="1890"/>
      <c r="AS221" s="1890"/>
      <c r="AT221" s="1890"/>
      <c r="AU221" s="1890"/>
      <c r="AV221" s="1890"/>
      <c r="AW221" s="1890"/>
      <c r="AX221" s="1890"/>
      <c r="AY221" s="1890"/>
      <c r="AZ221" s="1890"/>
      <c r="BA221" s="1890"/>
      <c r="BB221" s="1890"/>
      <c r="BC221" s="1890"/>
      <c r="BD221" s="1891"/>
      <c r="BE221" s="1194"/>
    </row>
    <row r="222" spans="1:57" ht="15.75" customHeight="1">
      <c r="A222" s="1190"/>
      <c r="B222" s="1892"/>
      <c r="C222" s="1893"/>
      <c r="D222" s="1893"/>
      <c r="E222" s="1893"/>
      <c r="F222" s="1893"/>
      <c r="G222" s="1893"/>
      <c r="H222" s="1893"/>
      <c r="I222" s="1893"/>
      <c r="J222" s="1893"/>
      <c r="K222" s="1893"/>
      <c r="L222" s="1893"/>
      <c r="M222" s="1893"/>
      <c r="N222" s="1893"/>
      <c r="O222" s="1893"/>
      <c r="P222" s="1893"/>
      <c r="Q222" s="1893"/>
      <c r="R222" s="1893"/>
      <c r="S222" s="1893"/>
      <c r="T222" s="1893"/>
      <c r="U222" s="1893"/>
      <c r="V222" s="1893"/>
      <c r="W222" s="1893"/>
      <c r="X222" s="1893"/>
      <c r="Y222" s="1893"/>
      <c r="Z222" s="1893"/>
      <c r="AA222" s="1893"/>
      <c r="AB222" s="1893"/>
      <c r="AC222" s="1893"/>
      <c r="AD222" s="1893"/>
      <c r="AE222" s="1893"/>
      <c r="AF222" s="1893"/>
      <c r="AG222" s="1893"/>
      <c r="AH222" s="1893"/>
      <c r="AI222" s="1893"/>
      <c r="AJ222" s="1893"/>
      <c r="AK222" s="1893"/>
      <c r="AL222" s="1893"/>
      <c r="AM222" s="1893"/>
      <c r="AN222" s="1893"/>
      <c r="AO222" s="1893"/>
      <c r="AP222" s="1893"/>
      <c r="AQ222" s="1893"/>
      <c r="AR222" s="1893"/>
      <c r="AS222" s="1893"/>
      <c r="AT222" s="1893"/>
      <c r="AU222" s="1893"/>
      <c r="AV222" s="1893"/>
      <c r="AW222" s="1893"/>
      <c r="AX222" s="1893"/>
      <c r="AY222" s="1893"/>
      <c r="AZ222" s="1893"/>
      <c r="BA222" s="1893"/>
      <c r="BB222" s="1893"/>
      <c r="BC222" s="1893"/>
      <c r="BD222" s="1894"/>
      <c r="BE222" s="1194"/>
    </row>
    <row r="223" spans="1:57" ht="15.75" customHeight="1">
      <c r="A223" s="1190"/>
      <c r="B223" s="1895" t="s">
        <v>2292</v>
      </c>
      <c r="C223" s="1896"/>
      <c r="D223" s="1896"/>
      <c r="E223" s="1896"/>
      <c r="F223" s="1896"/>
      <c r="G223" s="1896"/>
      <c r="H223" s="1896"/>
      <c r="I223" s="1896"/>
      <c r="J223" s="1896"/>
      <c r="K223" s="1896"/>
      <c r="L223" s="1896"/>
      <c r="M223" s="1896"/>
      <c r="N223" s="1896"/>
      <c r="O223" s="1896"/>
      <c r="P223" s="1896"/>
      <c r="Q223" s="1896"/>
      <c r="R223" s="1896"/>
      <c r="S223" s="1896"/>
      <c r="T223" s="1896"/>
      <c r="U223" s="1896"/>
      <c r="V223" s="1896"/>
      <c r="W223" s="1896"/>
      <c r="X223" s="1896"/>
      <c r="Y223" s="1896"/>
      <c r="Z223" s="1896"/>
      <c r="AA223" s="1896"/>
      <c r="AB223" s="1896"/>
      <c r="AC223" s="1896"/>
      <c r="AD223" s="1896"/>
      <c r="AE223" s="1896"/>
      <c r="AF223" s="1896"/>
      <c r="AG223" s="1896"/>
      <c r="AH223" s="1896"/>
      <c r="AI223" s="1896"/>
      <c r="AJ223" s="1896"/>
      <c r="AK223" s="1896"/>
      <c r="AL223" s="1896"/>
      <c r="AM223" s="1896"/>
      <c r="AN223" s="1896"/>
      <c r="AO223" s="1896"/>
      <c r="AP223" s="1896"/>
      <c r="AQ223" s="1896"/>
      <c r="AR223" s="1896"/>
      <c r="AS223" s="1896"/>
      <c r="AT223" s="1896"/>
      <c r="AU223" s="1896"/>
      <c r="AV223" s="1896"/>
      <c r="AW223" s="1896"/>
      <c r="AX223" s="1896"/>
      <c r="AY223" s="1896"/>
      <c r="AZ223" s="1896"/>
      <c r="BA223" s="1896"/>
      <c r="BB223" s="1896"/>
      <c r="BC223" s="1896"/>
      <c r="BD223" s="1897"/>
      <c r="BE223" s="1194"/>
    </row>
    <row r="224" spans="1:57" ht="15.75" customHeight="1">
      <c r="A224" s="1190"/>
      <c r="B224" s="1895" t="s">
        <v>2291</v>
      </c>
      <c r="C224" s="1896"/>
      <c r="D224" s="1896"/>
      <c r="E224" s="1896"/>
      <c r="F224" s="1896"/>
      <c r="G224" s="1896"/>
      <c r="H224" s="1896"/>
      <c r="I224" s="1896"/>
      <c r="J224" s="1896"/>
      <c r="K224" s="1896"/>
      <c r="L224" s="1896"/>
      <c r="M224" s="1896"/>
      <c r="N224" s="1896"/>
      <c r="O224" s="1896"/>
      <c r="P224" s="1896"/>
      <c r="Q224" s="1896"/>
      <c r="R224" s="1896"/>
      <c r="S224" s="1896"/>
      <c r="T224" s="1896"/>
      <c r="U224" s="1896"/>
      <c r="V224" s="1896"/>
      <c r="W224" s="1896"/>
      <c r="X224" s="1896"/>
      <c r="Y224" s="1896"/>
      <c r="Z224" s="1896"/>
      <c r="AA224" s="1896"/>
      <c r="AB224" s="1896"/>
      <c r="AC224" s="1896"/>
      <c r="AD224" s="1896"/>
      <c r="AE224" s="1896"/>
      <c r="AF224" s="1896"/>
      <c r="AG224" s="1896"/>
      <c r="AH224" s="1896"/>
      <c r="AI224" s="1896"/>
      <c r="AJ224" s="1896"/>
      <c r="AK224" s="1896"/>
      <c r="AL224" s="1896"/>
      <c r="AM224" s="1896"/>
      <c r="AN224" s="1896"/>
      <c r="AO224" s="1896"/>
      <c r="AP224" s="1896"/>
      <c r="AQ224" s="1896"/>
      <c r="AR224" s="1896"/>
      <c r="AS224" s="1896"/>
      <c r="AT224" s="1896"/>
      <c r="AU224" s="1896"/>
      <c r="AV224" s="1896"/>
      <c r="AW224" s="1896"/>
      <c r="AX224" s="1896"/>
      <c r="AY224" s="1896"/>
      <c r="AZ224" s="1896"/>
      <c r="BA224" s="1896"/>
      <c r="BB224" s="1896"/>
      <c r="BC224" s="1896"/>
      <c r="BD224" s="1897"/>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8" t="s">
        <v>2290</v>
      </c>
      <c r="C226" s="1899"/>
      <c r="D226" s="1899"/>
      <c r="E226" s="1899"/>
      <c r="F226" s="1899"/>
      <c r="G226" s="1899"/>
      <c r="H226" s="1899"/>
      <c r="I226" s="1899"/>
      <c r="J226" s="1899"/>
      <c r="K226" s="1899"/>
      <c r="L226" s="1899"/>
      <c r="M226" s="1899"/>
      <c r="N226" s="1899"/>
      <c r="O226" s="1899"/>
      <c r="P226" s="1899"/>
      <c r="Q226" s="1899"/>
      <c r="R226" s="1899"/>
      <c r="S226" s="1899"/>
      <c r="T226" s="1899"/>
      <c r="U226" s="1899"/>
      <c r="V226" s="1899"/>
      <c r="W226" s="1899"/>
      <c r="X226" s="1899"/>
      <c r="Y226" s="1899"/>
      <c r="Z226" s="1899"/>
      <c r="AA226" s="1899"/>
      <c r="AB226" s="1899"/>
      <c r="AC226" s="1899"/>
      <c r="AD226" s="1899"/>
      <c r="AE226" s="1899"/>
      <c r="AF226" s="1899"/>
      <c r="AG226" s="1899"/>
      <c r="AH226" s="1899"/>
      <c r="AI226" s="1899"/>
      <c r="AJ226" s="1899"/>
      <c r="AK226" s="1899"/>
      <c r="AL226" s="1899"/>
      <c r="AM226" s="1899"/>
      <c r="AN226" s="1899"/>
      <c r="AO226" s="1899"/>
      <c r="AP226" s="1899"/>
      <c r="AQ226" s="1899"/>
      <c r="AR226" s="1899"/>
      <c r="AS226" s="1899"/>
      <c r="AT226" s="1899"/>
      <c r="AU226" s="1899"/>
      <c r="AV226" s="1899"/>
      <c r="AW226" s="1899"/>
      <c r="AX226" s="1899"/>
      <c r="AY226" s="1899"/>
      <c r="AZ226" s="1899"/>
      <c r="BA226" s="1899"/>
      <c r="BB226" s="1899"/>
      <c r="BC226" s="1899"/>
      <c r="BD226" s="1900"/>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1" t="s">
        <v>2288</v>
      </c>
      <c r="I230" s="1901"/>
      <c r="J230" s="1901"/>
      <c r="K230" s="1901"/>
      <c r="L230" s="1901"/>
      <c r="M230" s="1901"/>
      <c r="N230" s="1901"/>
      <c r="O230" s="1901"/>
      <c r="P230" s="1901"/>
      <c r="Q230" s="1901"/>
      <c r="R230" s="1901"/>
      <c r="S230" s="1901"/>
      <c r="T230" s="1901"/>
      <c r="U230" s="1901"/>
      <c r="V230" s="1901"/>
      <c r="W230" s="1901"/>
      <c r="X230" s="1901"/>
      <c r="Y230" s="1901"/>
      <c r="Z230" s="1901"/>
      <c r="AA230" s="1901"/>
      <c r="AB230" s="1901"/>
      <c r="AC230" s="1901"/>
      <c r="AD230" s="1901"/>
      <c r="AE230" s="1901"/>
      <c r="AF230" s="1901"/>
      <c r="AG230" s="1901"/>
      <c r="AH230" s="1901"/>
      <c r="AI230" s="1901"/>
      <c r="AJ230" s="1901"/>
      <c r="AK230" s="1901"/>
      <c r="AL230" s="1901"/>
      <c r="AM230" s="1901"/>
      <c r="AN230" s="1901"/>
      <c r="AO230" s="1901"/>
      <c r="AP230" s="1901"/>
      <c r="AQ230" s="1901"/>
      <c r="AR230" s="1901"/>
      <c r="AS230" s="1901"/>
      <c r="AT230" s="1901"/>
      <c r="AU230" s="1901"/>
      <c r="AV230" s="1901"/>
      <c r="AW230" s="1901"/>
      <c r="AX230" s="1901"/>
      <c r="AY230" s="1901"/>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4" t="s">
        <v>2287</v>
      </c>
      <c r="I232" s="1884"/>
      <c r="J232" s="1884"/>
      <c r="K232" s="1884"/>
      <c r="L232" s="1884"/>
      <c r="M232" s="1884"/>
      <c r="N232" s="1884"/>
      <c r="O232" s="1884"/>
      <c r="P232" s="1884"/>
      <c r="Q232" s="1884"/>
      <c r="R232" s="1884"/>
      <c r="S232" s="1884"/>
      <c r="T232" s="1884"/>
      <c r="U232" s="1884"/>
      <c r="V232" s="1884"/>
      <c r="W232" s="1884"/>
      <c r="X232" s="1884"/>
      <c r="Y232" s="1884"/>
      <c r="Z232" s="1884"/>
      <c r="AA232" s="1884"/>
      <c r="AB232" s="1884"/>
      <c r="AC232" s="1884"/>
      <c r="AD232" s="1884"/>
      <c r="AE232" s="1884"/>
      <c r="AF232" s="1884"/>
      <c r="AG232" s="1884"/>
      <c r="AH232" s="1884"/>
      <c r="AI232" s="1884"/>
      <c r="AJ232" s="1884"/>
      <c r="AK232" s="1884"/>
      <c r="AL232" s="1884"/>
      <c r="AM232" s="1884"/>
      <c r="AN232" s="1884"/>
      <c r="AO232" s="1884"/>
      <c r="AP232" s="1884"/>
      <c r="AQ232" s="1884"/>
      <c r="AR232" s="1884"/>
      <c r="AS232" s="1884"/>
      <c r="AT232" s="1884"/>
      <c r="AU232" s="1884"/>
      <c r="AV232" s="1884"/>
      <c r="AW232" s="1884"/>
      <c r="AX232" s="1884"/>
      <c r="AY232" s="1884"/>
      <c r="AZ232" s="1884"/>
      <c r="BA232" s="1190"/>
      <c r="BB232" s="1190"/>
      <c r="BC232" s="1190"/>
      <c r="BD232" s="1194"/>
      <c r="BE232" s="1194"/>
    </row>
    <row r="233" spans="1:57" ht="15.75" customHeight="1">
      <c r="A233" s="1190"/>
      <c r="B233" s="1189"/>
      <c r="C233" s="1190"/>
      <c r="D233" s="1190"/>
      <c r="E233" s="1190"/>
      <c r="F233" s="1190"/>
      <c r="G233" s="1190"/>
      <c r="H233" s="1884"/>
      <c r="I233" s="1884"/>
      <c r="J233" s="1884"/>
      <c r="K233" s="1884"/>
      <c r="L233" s="1884"/>
      <c r="M233" s="1884"/>
      <c r="N233" s="1884"/>
      <c r="O233" s="1884"/>
      <c r="P233" s="1884"/>
      <c r="Q233" s="1884"/>
      <c r="R233" s="1884"/>
      <c r="S233" s="1884"/>
      <c r="T233" s="1884"/>
      <c r="U233" s="1884"/>
      <c r="V233" s="1884"/>
      <c r="W233" s="1884"/>
      <c r="X233" s="1884"/>
      <c r="Y233" s="1884"/>
      <c r="Z233" s="1884"/>
      <c r="AA233" s="1884"/>
      <c r="AB233" s="1884"/>
      <c r="AC233" s="1884"/>
      <c r="AD233" s="1884"/>
      <c r="AE233" s="1884"/>
      <c r="AF233" s="1884"/>
      <c r="AG233" s="1884"/>
      <c r="AH233" s="1884"/>
      <c r="AI233" s="1884"/>
      <c r="AJ233" s="1884"/>
      <c r="AK233" s="1884"/>
      <c r="AL233" s="1884"/>
      <c r="AM233" s="1884"/>
      <c r="AN233" s="1884"/>
      <c r="AO233" s="1884"/>
      <c r="AP233" s="1884"/>
      <c r="AQ233" s="1884"/>
      <c r="AR233" s="1884"/>
      <c r="AS233" s="1884"/>
      <c r="AT233" s="1884"/>
      <c r="AU233" s="1884"/>
      <c r="AV233" s="1884"/>
      <c r="AW233" s="1884"/>
      <c r="AX233" s="1884"/>
      <c r="AY233" s="1884"/>
      <c r="AZ233" s="1884"/>
      <c r="BA233" s="1190"/>
      <c r="BB233" s="1190"/>
      <c r="BC233" s="1190"/>
      <c r="BD233" s="1194"/>
      <c r="BE233" s="1194"/>
    </row>
    <row r="234" spans="1:57" ht="15.75" customHeight="1">
      <c r="A234" s="1190"/>
      <c r="B234" s="1189"/>
      <c r="C234" s="1190"/>
      <c r="D234" s="1190"/>
      <c r="E234" s="1190"/>
      <c r="F234" s="1190"/>
      <c r="G234" s="1190"/>
      <c r="H234" s="1884"/>
      <c r="I234" s="1884"/>
      <c r="J234" s="1884"/>
      <c r="K234" s="1884"/>
      <c r="L234" s="1884"/>
      <c r="M234" s="1884"/>
      <c r="N234" s="1884"/>
      <c r="O234" s="1884"/>
      <c r="P234" s="1884"/>
      <c r="Q234" s="1884"/>
      <c r="R234" s="1884"/>
      <c r="S234" s="1884"/>
      <c r="T234" s="1884"/>
      <c r="U234" s="1884"/>
      <c r="V234" s="1884"/>
      <c r="W234" s="1884"/>
      <c r="X234" s="1884"/>
      <c r="Y234" s="1884"/>
      <c r="Z234" s="1884"/>
      <c r="AA234" s="1884"/>
      <c r="AB234" s="1884"/>
      <c r="AC234" s="1884"/>
      <c r="AD234" s="1884"/>
      <c r="AE234" s="1884"/>
      <c r="AF234" s="1884"/>
      <c r="AG234" s="1884"/>
      <c r="AH234" s="1884"/>
      <c r="AI234" s="1884"/>
      <c r="AJ234" s="1884"/>
      <c r="AK234" s="1884"/>
      <c r="AL234" s="1884"/>
      <c r="AM234" s="1884"/>
      <c r="AN234" s="1884"/>
      <c r="AO234" s="1884"/>
      <c r="AP234" s="1884"/>
      <c r="AQ234" s="1884"/>
      <c r="AR234" s="1884"/>
      <c r="AS234" s="1884"/>
      <c r="AT234" s="1884"/>
      <c r="AU234" s="1884"/>
      <c r="AV234" s="1884"/>
      <c r="AW234" s="1884"/>
      <c r="AX234" s="1884"/>
      <c r="AY234" s="1884"/>
      <c r="AZ234" s="1884"/>
      <c r="BA234" s="1190"/>
      <c r="BB234" s="1190"/>
      <c r="BC234" s="1190"/>
      <c r="BD234" s="1194"/>
      <c r="BE234" s="1194"/>
    </row>
    <row r="235" spans="1:57" ht="15.75" customHeight="1">
      <c r="A235" s="1190"/>
      <c r="B235" s="1189"/>
      <c r="C235" s="1190"/>
      <c r="D235" s="1190"/>
      <c r="E235" s="1190"/>
      <c r="F235" s="1190"/>
      <c r="G235" s="1190"/>
      <c r="H235" s="1884"/>
      <c r="I235" s="1884"/>
      <c r="J235" s="1884"/>
      <c r="K235" s="1884"/>
      <c r="L235" s="1884"/>
      <c r="M235" s="1884"/>
      <c r="N235" s="1884"/>
      <c r="O235" s="1884"/>
      <c r="P235" s="1884"/>
      <c r="Q235" s="1884"/>
      <c r="R235" s="1884"/>
      <c r="S235" s="1884"/>
      <c r="T235" s="1884"/>
      <c r="U235" s="1884"/>
      <c r="V235" s="1884"/>
      <c r="W235" s="1884"/>
      <c r="X235" s="1884"/>
      <c r="Y235" s="1884"/>
      <c r="Z235" s="1884"/>
      <c r="AA235" s="1884"/>
      <c r="AB235" s="1884"/>
      <c r="AC235" s="1884"/>
      <c r="AD235" s="1884"/>
      <c r="AE235" s="1884"/>
      <c r="AF235" s="1884"/>
      <c r="AG235" s="1884"/>
      <c r="AH235" s="1884"/>
      <c r="AI235" s="1884"/>
      <c r="AJ235" s="1884"/>
      <c r="AK235" s="1884"/>
      <c r="AL235" s="1884"/>
      <c r="AM235" s="1884"/>
      <c r="AN235" s="1884"/>
      <c r="AO235" s="1884"/>
      <c r="AP235" s="1884"/>
      <c r="AQ235" s="1884"/>
      <c r="AR235" s="1884"/>
      <c r="AS235" s="1884"/>
      <c r="AT235" s="1884"/>
      <c r="AU235" s="1884"/>
      <c r="AV235" s="1884"/>
      <c r="AW235" s="1884"/>
      <c r="AX235" s="1884"/>
      <c r="AY235" s="1884"/>
      <c r="AZ235" s="1884"/>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5" t="s">
        <v>2286</v>
      </c>
      <c r="I237" s="1885"/>
      <c r="J237" s="1885"/>
      <c r="K237" s="1885"/>
      <c r="L237" s="1885"/>
      <c r="M237" s="1885"/>
      <c r="N237" s="1885"/>
      <c r="O237" s="1885"/>
      <c r="P237" s="1885"/>
      <c r="Q237" s="1885"/>
      <c r="R237" s="1885"/>
      <c r="S237" s="1885"/>
      <c r="T237" s="1885"/>
      <c r="U237" s="1885"/>
      <c r="V237" s="1885"/>
      <c r="W237" s="1885"/>
      <c r="X237" s="1885"/>
      <c r="Y237" s="1885"/>
      <c r="Z237" s="1885"/>
      <c r="AA237" s="1885"/>
      <c r="AB237" s="1885"/>
      <c r="AC237" s="1885"/>
      <c r="AD237" s="1885"/>
      <c r="AE237" s="1885"/>
      <c r="AF237" s="1885"/>
      <c r="AG237" s="1885"/>
      <c r="AH237" s="1885"/>
      <c r="AI237" s="1885"/>
      <c r="AJ237" s="1885"/>
      <c r="AK237" s="1885"/>
      <c r="AL237" s="1885"/>
      <c r="AM237" s="1885"/>
      <c r="AN237" s="1885"/>
      <c r="AO237" s="1885"/>
      <c r="AP237" s="1885"/>
      <c r="AQ237" s="1885"/>
      <c r="AR237" s="1885"/>
      <c r="AS237" s="1885"/>
      <c r="AT237" s="1885"/>
      <c r="AU237" s="1885"/>
      <c r="AV237" s="1885"/>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5" t="s">
        <v>2285</v>
      </c>
      <c r="I239" s="1875"/>
      <c r="J239" s="1875"/>
      <c r="K239" s="1875"/>
      <c r="L239" s="1239"/>
      <c r="M239" s="1239"/>
      <c r="N239" s="1239"/>
      <c r="O239" s="1239"/>
      <c r="P239" s="1239"/>
      <c r="Q239" s="1239"/>
      <c r="R239" s="1239"/>
      <c r="S239" s="1886"/>
      <c r="T239" s="1887"/>
      <c r="U239" s="1887"/>
      <c r="V239" s="1887"/>
      <c r="W239" s="1887"/>
      <c r="X239" s="1887"/>
      <c r="Y239" s="1887"/>
      <c r="Z239" s="1887"/>
      <c r="AA239" s="1887"/>
      <c r="AB239" s="1887"/>
      <c r="AC239" s="1887"/>
      <c r="AD239" s="1887"/>
      <c r="AE239" s="1887"/>
      <c r="AF239" s="1887"/>
      <c r="AG239" s="1887"/>
      <c r="AH239" s="1887"/>
      <c r="AI239" s="1887"/>
      <c r="AJ239" s="1888"/>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5" t="s">
        <v>2284</v>
      </c>
      <c r="I241" s="1875"/>
      <c r="J241" s="1875"/>
      <c r="K241" s="1241"/>
      <c r="L241" s="1239"/>
      <c r="M241" s="1239"/>
      <c r="N241" s="1239"/>
      <c r="O241" s="1239"/>
      <c r="P241" s="1239"/>
      <c r="Q241" s="1239"/>
      <c r="R241" s="1239"/>
      <c r="S241" s="1876"/>
      <c r="T241" s="1877"/>
      <c r="U241" s="1877"/>
      <c r="V241" s="1877"/>
      <c r="W241" s="1877"/>
      <c r="X241" s="1877"/>
      <c r="Y241" s="1877"/>
      <c r="Z241" s="1877"/>
      <c r="AA241" s="1877"/>
      <c r="AB241" s="1877"/>
      <c r="AC241" s="1877"/>
      <c r="AD241" s="1877"/>
      <c r="AE241" s="1877"/>
      <c r="AF241" s="1877"/>
      <c r="AG241" s="1877"/>
      <c r="AH241" s="1877"/>
      <c r="AI241" s="1877"/>
      <c r="AJ241" s="1878"/>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5" t="s">
        <v>442</v>
      </c>
      <c r="I243" s="1875"/>
      <c r="J243" s="1241"/>
      <c r="K243" s="1241"/>
      <c r="L243" s="1239"/>
      <c r="M243" s="1239"/>
      <c r="N243" s="1239"/>
      <c r="O243" s="1239"/>
      <c r="P243" s="1239"/>
      <c r="Q243" s="1239"/>
      <c r="R243" s="1239"/>
      <c r="S243" s="1876"/>
      <c r="T243" s="1877"/>
      <c r="U243" s="1877"/>
      <c r="V243" s="1877"/>
      <c r="W243" s="1877"/>
      <c r="X243" s="1877"/>
      <c r="Y243" s="1877"/>
      <c r="Z243" s="1877"/>
      <c r="AA243" s="1877"/>
      <c r="AB243" s="1877"/>
      <c r="AC243" s="1877"/>
      <c r="AD243" s="1877"/>
      <c r="AE243" s="1877"/>
      <c r="AF243" s="1877"/>
      <c r="AG243" s="1877"/>
      <c r="AH243" s="1877"/>
      <c r="AI243" s="1877"/>
      <c r="AJ243" s="1878"/>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9" t="s">
        <v>2283</v>
      </c>
      <c r="I245" s="1879"/>
      <c r="J245" s="1879"/>
      <c r="K245" s="1879"/>
      <c r="L245" s="1879"/>
      <c r="M245" s="1879"/>
      <c r="N245" s="1879"/>
      <c r="O245" s="1879"/>
      <c r="P245" s="1239"/>
      <c r="Q245" s="1239"/>
      <c r="R245" s="1239"/>
      <c r="S245" s="1876"/>
      <c r="T245" s="1877"/>
      <c r="U245" s="1877"/>
      <c r="V245" s="1877"/>
      <c r="W245" s="1877"/>
      <c r="X245" s="1877"/>
      <c r="Y245" s="1877"/>
      <c r="Z245" s="1877"/>
      <c r="AA245" s="1877"/>
      <c r="AB245" s="1877"/>
      <c r="AC245" s="1877"/>
      <c r="AD245" s="1877"/>
      <c r="AE245" s="1877"/>
      <c r="AF245" s="1877"/>
      <c r="AG245" s="1877"/>
      <c r="AH245" s="1877"/>
      <c r="AI245" s="1877"/>
      <c r="AJ245" s="1878"/>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0" t="s">
        <v>2282</v>
      </c>
      <c r="I247" s="1880"/>
      <c r="J247" s="1239"/>
      <c r="K247" s="1239"/>
      <c r="L247" s="1239"/>
      <c r="M247" s="1239"/>
      <c r="N247" s="1239"/>
      <c r="O247" s="1239"/>
      <c r="P247" s="1239"/>
      <c r="Q247" s="1239"/>
      <c r="R247" s="1239"/>
      <c r="S247" s="1881"/>
      <c r="T247" s="1882"/>
      <c r="U247" s="1882"/>
      <c r="V247" s="1882"/>
      <c r="W247" s="1882"/>
      <c r="X247" s="1882"/>
      <c r="Y247" s="1882"/>
      <c r="Z247" s="1882"/>
      <c r="AA247" s="1882"/>
      <c r="AB247" s="1882"/>
      <c r="AC247" s="1882"/>
      <c r="AD247" s="1882"/>
      <c r="AE247" s="1882"/>
      <c r="AF247" s="1882"/>
      <c r="AG247" s="1882"/>
      <c r="AH247" s="1882"/>
      <c r="AI247" s="1882"/>
      <c r="AJ247" s="1883"/>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workbookViewId="0">
      <selection activeCell="Y25" sqref="Y25:AC25"/>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3" t="s">
        <v>1281</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3"/>
      <c r="AM1" s="2373"/>
      <c r="AN1" s="2373"/>
    </row>
    <row r="2" spans="1:40" ht="12.95" customHeight="1" thickBot="1">
      <c r="A2" s="2374"/>
      <c r="B2" s="2374"/>
      <c r="C2" s="2374"/>
      <c r="D2" s="2374"/>
      <c r="E2" s="2374"/>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3" t="str">
        <f xml:space="preserve"> IF(T25=100%,'Sources and Basis Breakdown'!G2,'Sources and Basis Breakdown'!F2)</f>
        <v>30% PVC for New Const/
Rehabilitation
NON-DDA/
NON-QCT Building(s)</v>
      </c>
      <c r="U7" s="2353"/>
      <c r="V7" s="2353"/>
      <c r="W7" s="2353"/>
      <c r="X7" s="2353"/>
      <c r="Y7" s="2353" t="str">
        <f>IF(T25=100%,"",'Sources and Basis Breakdown'!G2)</f>
        <v/>
      </c>
      <c r="Z7" s="2353"/>
      <c r="AA7" s="2353"/>
      <c r="AB7" s="2353"/>
      <c r="AC7" s="2353"/>
      <c r="AD7" s="2353" t="str">
        <f xml:space="preserve"> IF(T25=100%, 'Sources and Basis Breakdown'!J2,'Sources and Basis Breakdown'!I2)</f>
        <v>30% PVC for Acquisition
NON-DDA/
NON-QCT Building(s)</v>
      </c>
      <c r="AE7" s="2353"/>
      <c r="AF7" s="2353"/>
      <c r="AG7" s="2353"/>
      <c r="AH7" s="2353"/>
      <c r="AI7" s="2353" t="str">
        <f>IF(T25=100%,"",'Sources and Basis Breakdown'!J2)</f>
        <v/>
      </c>
      <c r="AJ7" s="2353"/>
      <c r="AK7" s="2353"/>
      <c r="AL7" s="2353"/>
      <c r="AM7" s="2353"/>
    </row>
    <row r="8" spans="1:40" ht="12.95" customHeight="1">
      <c r="B8" s="407"/>
      <c r="T8" s="2353"/>
      <c r="U8" s="2353"/>
      <c r="V8" s="2353"/>
      <c r="W8" s="2353"/>
      <c r="X8" s="2353"/>
      <c r="Y8" s="2353"/>
      <c r="Z8" s="2353"/>
      <c r="AA8" s="2353"/>
      <c r="AB8" s="2353"/>
      <c r="AC8" s="2353"/>
      <c r="AD8" s="2353"/>
      <c r="AE8" s="2353"/>
      <c r="AF8" s="2353"/>
      <c r="AG8" s="2353"/>
      <c r="AH8" s="2353"/>
      <c r="AI8" s="2353"/>
      <c r="AJ8" s="2353"/>
      <c r="AK8" s="2353"/>
      <c r="AL8" s="2353"/>
      <c r="AM8" s="2353"/>
    </row>
    <row r="9" spans="1:40" ht="12.95" customHeight="1">
      <c r="B9" s="407"/>
      <c r="T9" s="2353"/>
      <c r="U9" s="2353"/>
      <c r="V9" s="2353"/>
      <c r="W9" s="2353"/>
      <c r="X9" s="2353"/>
      <c r="Y9" s="2353"/>
      <c r="Z9" s="2353"/>
      <c r="AA9" s="2353"/>
      <c r="AB9" s="2353"/>
      <c r="AC9" s="2353"/>
      <c r="AD9" s="2353"/>
      <c r="AE9" s="2353"/>
      <c r="AF9" s="2353"/>
      <c r="AG9" s="2353"/>
      <c r="AH9" s="2353"/>
      <c r="AI9" s="2353"/>
      <c r="AJ9" s="2353"/>
      <c r="AK9" s="2353"/>
      <c r="AL9" s="2353"/>
      <c r="AM9" s="2353"/>
    </row>
    <row r="10" spans="1:40" ht="12.95" customHeight="1">
      <c r="B10" s="408"/>
      <c r="C10" s="409"/>
      <c r="D10" s="409"/>
      <c r="E10" s="409"/>
      <c r="F10" s="409"/>
      <c r="G10" s="409"/>
      <c r="H10" s="409"/>
      <c r="I10" s="409"/>
      <c r="J10" s="409"/>
      <c r="K10" s="409"/>
      <c r="L10" s="409"/>
      <c r="M10" s="409"/>
      <c r="N10" s="409"/>
      <c r="O10" s="409"/>
      <c r="P10" s="409"/>
      <c r="Q10" s="409"/>
      <c r="R10" s="409"/>
      <c r="S10" s="409"/>
      <c r="T10" s="2353"/>
      <c r="U10" s="2353"/>
      <c r="V10" s="2353"/>
      <c r="W10" s="2353"/>
      <c r="X10" s="2353"/>
      <c r="Y10" s="2353"/>
      <c r="Z10" s="2353"/>
      <c r="AA10" s="2353"/>
      <c r="AB10" s="2353"/>
      <c r="AC10" s="2353"/>
      <c r="AD10" s="2353"/>
      <c r="AE10" s="2353"/>
      <c r="AF10" s="2353"/>
      <c r="AG10" s="2353"/>
      <c r="AH10" s="2353"/>
      <c r="AI10" s="2353"/>
      <c r="AJ10" s="2353"/>
      <c r="AK10" s="2353"/>
      <c r="AL10" s="2353"/>
      <c r="AM10" s="2353"/>
    </row>
    <row r="11" spans="1:40" ht="12.95" customHeight="1">
      <c r="B11" s="2339" t="s">
        <v>375</v>
      </c>
      <c r="C11" s="2340"/>
      <c r="D11" s="2340"/>
      <c r="E11" s="2340"/>
      <c r="F11" s="2340"/>
      <c r="G11" s="2340"/>
      <c r="H11" s="2340"/>
      <c r="I11" s="2340"/>
      <c r="J11" s="2340"/>
      <c r="K11" s="2340"/>
      <c r="L11" s="2340"/>
      <c r="M11" s="2340"/>
      <c r="N11" s="2340"/>
      <c r="O11" s="2340"/>
      <c r="P11" s="2340"/>
      <c r="Q11" s="2340"/>
      <c r="R11" s="2340"/>
      <c r="S11" s="2341"/>
      <c r="T11" s="2375">
        <f>IF('Sources and Basis Breakdown'!F107=0,'Sources and Basis Breakdown'!E107,'Sources and Basis Breakdown'!F107)</f>
        <v>47822479</v>
      </c>
      <c r="U11" s="2376"/>
      <c r="V11" s="2376"/>
      <c r="W11" s="2376"/>
      <c r="X11" s="2376"/>
      <c r="Y11" s="2375">
        <f>IF(Y7="",0,IF('Sources and Basis Breakdown'!G107+'Sources and Basis Breakdown'!F107='Sources and Basis Breakdown'!E107,'Sources and Basis Breakdown'!G107,0))</f>
        <v>0</v>
      </c>
      <c r="Z11" s="2376"/>
      <c r="AA11" s="2376"/>
      <c r="AB11" s="2376"/>
      <c r="AC11" s="2376"/>
      <c r="AD11" s="2376">
        <f>IF('Sources and Basis Breakdown'!I107=0,'Sources and Basis Breakdown'!H107,'Sources and Basis Breakdown'!I107)</f>
        <v>0</v>
      </c>
      <c r="AE11" s="2376"/>
      <c r="AF11" s="2376"/>
      <c r="AG11" s="2376"/>
      <c r="AH11" s="2376"/>
      <c r="AI11" s="2376">
        <f>IF(Y7="",0,IF('Sources and Basis Breakdown'!I107+'Sources and Basis Breakdown'!J107='Sources and Basis Breakdown'!H107,'Sources and Basis Breakdown'!J107,0))</f>
        <v>0</v>
      </c>
      <c r="AJ11" s="2376"/>
      <c r="AK11" s="2376"/>
      <c r="AL11" s="2376"/>
      <c r="AM11" s="2376"/>
    </row>
    <row r="12" spans="1:40" ht="12.95" customHeight="1">
      <c r="B12" s="2377" t="s">
        <v>498</v>
      </c>
      <c r="C12" s="1308"/>
      <c r="D12" s="1308"/>
      <c r="E12" s="1308"/>
      <c r="F12" s="1308"/>
      <c r="G12" s="1308"/>
      <c r="H12" s="1308"/>
      <c r="I12" s="1308"/>
      <c r="J12" s="1308"/>
      <c r="K12" s="1308"/>
      <c r="L12" s="1308"/>
      <c r="M12" s="1308"/>
      <c r="N12" s="1308"/>
      <c r="O12" s="1308"/>
      <c r="P12" s="1308"/>
      <c r="Q12" s="1308"/>
      <c r="R12" s="1308"/>
      <c r="S12" s="2378"/>
      <c r="T12" s="2368"/>
      <c r="U12" s="2369"/>
      <c r="V12" s="2369"/>
      <c r="W12" s="2369"/>
      <c r="X12" s="2370"/>
      <c r="Y12" s="2368"/>
      <c r="Z12" s="2369"/>
      <c r="AA12" s="2369"/>
      <c r="AB12" s="2369"/>
      <c r="AC12" s="2370"/>
      <c r="AD12" s="2368"/>
      <c r="AE12" s="2369"/>
      <c r="AF12" s="2369"/>
      <c r="AG12" s="2369"/>
      <c r="AH12" s="2370"/>
      <c r="AI12" s="2368"/>
      <c r="AJ12" s="2369"/>
      <c r="AK12" s="2369"/>
      <c r="AL12" s="2369"/>
      <c r="AM12" s="2370"/>
    </row>
    <row r="13" spans="1:40" ht="12.95" customHeight="1">
      <c r="B13" s="435"/>
      <c r="C13" s="2379" t="s">
        <v>499</v>
      </c>
      <c r="D13" s="2379"/>
      <c r="E13" s="2379"/>
      <c r="F13" s="2379"/>
      <c r="G13" s="2379"/>
      <c r="H13" s="2379"/>
      <c r="I13" s="2379"/>
      <c r="J13" s="2379"/>
      <c r="K13" s="2379"/>
      <c r="L13" s="2379"/>
      <c r="M13" s="2379"/>
      <c r="N13" s="2379"/>
      <c r="O13" s="2379"/>
      <c r="P13" s="2379"/>
      <c r="Q13" s="2379"/>
      <c r="R13" s="2379"/>
      <c r="S13" s="2380"/>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2.95" customHeight="1">
      <c r="B14" s="435"/>
      <c r="C14" s="2379" t="s">
        <v>500</v>
      </c>
      <c r="D14" s="2379"/>
      <c r="E14" s="2379"/>
      <c r="F14" s="2379"/>
      <c r="G14" s="2379"/>
      <c r="H14" s="2379"/>
      <c r="I14" s="2379"/>
      <c r="J14" s="2379"/>
      <c r="K14" s="2379"/>
      <c r="L14" s="2379"/>
      <c r="M14" s="2379"/>
      <c r="N14" s="2379"/>
      <c r="O14" s="2379"/>
      <c r="P14" s="2379"/>
      <c r="Q14" s="2379"/>
      <c r="R14" s="2379"/>
      <c r="S14" s="2380"/>
      <c r="T14" s="2361"/>
      <c r="U14" s="2362"/>
      <c r="V14" s="2362"/>
      <c r="W14" s="2362"/>
      <c r="X14" s="2362"/>
      <c r="Y14" s="2361"/>
      <c r="Z14" s="2362"/>
      <c r="AA14" s="2362"/>
      <c r="AB14" s="2362"/>
      <c r="AC14" s="2362"/>
      <c r="AD14" s="2362"/>
      <c r="AE14" s="2362"/>
      <c r="AF14" s="2362"/>
      <c r="AG14" s="2362"/>
      <c r="AH14" s="2362"/>
      <c r="AI14" s="2362"/>
      <c r="AJ14" s="2362"/>
      <c r="AK14" s="2362"/>
      <c r="AL14" s="2362"/>
      <c r="AM14" s="2362"/>
    </row>
    <row r="15" spans="1:40" ht="12.95" customHeight="1">
      <c r="B15" s="435"/>
      <c r="C15" s="2379" t="s">
        <v>501</v>
      </c>
      <c r="D15" s="2379"/>
      <c r="E15" s="2379"/>
      <c r="F15" s="2379"/>
      <c r="G15" s="2379"/>
      <c r="H15" s="2379"/>
      <c r="I15" s="2379"/>
      <c r="J15" s="2379"/>
      <c r="K15" s="2379"/>
      <c r="L15" s="2379"/>
      <c r="M15" s="2379"/>
      <c r="N15" s="2379"/>
      <c r="O15" s="2379"/>
      <c r="P15" s="2379"/>
      <c r="Q15" s="2379"/>
      <c r="R15" s="2379"/>
      <c r="S15" s="2380"/>
      <c r="T15" s="2361"/>
      <c r="U15" s="2362"/>
      <c r="V15" s="2362"/>
      <c r="W15" s="2362"/>
      <c r="X15" s="2362"/>
      <c r="Y15" s="2361"/>
      <c r="Z15" s="2362"/>
      <c r="AA15" s="2362"/>
      <c r="AB15" s="2362"/>
      <c r="AC15" s="2362"/>
      <c r="AD15" s="2362"/>
      <c r="AE15" s="2362"/>
      <c r="AF15" s="2362"/>
      <c r="AG15" s="2362"/>
      <c r="AH15" s="2362"/>
      <c r="AI15" s="2362"/>
      <c r="AJ15" s="2362"/>
      <c r="AK15" s="2362"/>
      <c r="AL15" s="2362"/>
      <c r="AM15" s="2362"/>
    </row>
    <row r="16" spans="1:40" ht="12.95" customHeight="1">
      <c r="B16" s="435"/>
      <c r="C16" s="2379" t="s">
        <v>806</v>
      </c>
      <c r="D16" s="2379"/>
      <c r="E16" s="2379"/>
      <c r="F16" s="2379"/>
      <c r="G16" s="2379"/>
      <c r="H16" s="2379"/>
      <c r="I16" s="2379"/>
      <c r="J16" s="2379"/>
      <c r="K16" s="2379"/>
      <c r="L16" s="2379"/>
      <c r="M16" s="2379"/>
      <c r="N16" s="2379"/>
      <c r="O16" s="2379"/>
      <c r="P16" s="2379"/>
      <c r="Q16" s="2379"/>
      <c r="R16" s="2379"/>
      <c r="S16" s="2380"/>
      <c r="T16" s="2361"/>
      <c r="U16" s="2362"/>
      <c r="V16" s="2362"/>
      <c r="W16" s="2362"/>
      <c r="X16" s="2362"/>
      <c r="Y16" s="2361"/>
      <c r="Z16" s="2362"/>
      <c r="AA16" s="2362"/>
      <c r="AB16" s="2362"/>
      <c r="AC16" s="2362"/>
      <c r="AD16" s="2362"/>
      <c r="AE16" s="2362"/>
      <c r="AF16" s="2362"/>
      <c r="AG16" s="2362"/>
      <c r="AH16" s="2362"/>
      <c r="AI16" s="2362"/>
      <c r="AJ16" s="2362"/>
      <c r="AK16" s="2362"/>
      <c r="AL16" s="2362"/>
      <c r="AM16" s="2362"/>
    </row>
    <row r="17" spans="1:40" ht="12.95" customHeight="1">
      <c r="B17" s="435"/>
      <c r="C17" s="2379" t="s">
        <v>502</v>
      </c>
      <c r="D17" s="2379"/>
      <c r="E17" s="2379"/>
      <c r="F17" s="2379"/>
      <c r="G17" s="2379"/>
      <c r="H17" s="2379"/>
      <c r="I17" s="2379"/>
      <c r="J17" s="2379"/>
      <c r="K17" s="2379"/>
      <c r="L17" s="2379"/>
      <c r="M17" s="2379"/>
      <c r="N17" s="2379"/>
      <c r="O17" s="2379"/>
      <c r="P17" s="2379"/>
      <c r="Q17" s="2379"/>
      <c r="R17" s="2379"/>
      <c r="S17" s="2380"/>
      <c r="T17" s="2361"/>
      <c r="U17" s="2362"/>
      <c r="V17" s="2362"/>
      <c r="W17" s="2362"/>
      <c r="X17" s="2362"/>
      <c r="Y17" s="2361"/>
      <c r="Z17" s="2362"/>
      <c r="AA17" s="2362"/>
      <c r="AB17" s="2362"/>
      <c r="AC17" s="2362"/>
      <c r="AD17" s="2362"/>
      <c r="AE17" s="2362"/>
      <c r="AF17" s="2362"/>
      <c r="AG17" s="2362"/>
      <c r="AH17" s="2362"/>
      <c r="AI17" s="2362"/>
      <c r="AJ17" s="2362"/>
      <c r="AK17" s="2362"/>
      <c r="AL17" s="2362"/>
      <c r="AM17" s="2362"/>
    </row>
    <row r="18" spans="1:40" ht="12.95" customHeight="1">
      <c r="A18"/>
      <c r="B18" s="1150"/>
      <c r="C18" s="1553" t="s">
        <v>961</v>
      </c>
      <c r="D18" s="1553"/>
      <c r="E18" s="1553"/>
      <c r="F18" s="1553"/>
      <c r="G18" s="1553"/>
      <c r="H18" s="1553"/>
      <c r="I18" s="1553"/>
      <c r="J18" s="1553"/>
      <c r="K18" s="1553"/>
      <c r="L18" s="1553"/>
      <c r="M18" s="1553"/>
      <c r="N18" s="1553"/>
      <c r="O18" s="1553"/>
      <c r="P18" s="1553"/>
      <c r="Q18" s="1553"/>
      <c r="R18" s="1553"/>
      <c r="S18" s="1554"/>
      <c r="T18" s="2361"/>
      <c r="U18" s="2362"/>
      <c r="V18" s="2362"/>
      <c r="W18" s="2362"/>
      <c r="X18" s="2362"/>
      <c r="Y18" s="2361"/>
      <c r="Z18" s="2362"/>
      <c r="AA18" s="2362"/>
      <c r="AB18" s="2362"/>
      <c r="AC18" s="2362"/>
      <c r="AD18" s="2362"/>
      <c r="AE18" s="2362"/>
      <c r="AF18" s="2362"/>
      <c r="AG18" s="2362"/>
      <c r="AH18" s="2362"/>
      <c r="AI18" s="2362"/>
      <c r="AJ18" s="2362"/>
      <c r="AK18" s="2362"/>
      <c r="AL18" s="2362"/>
      <c r="AM18" s="2362"/>
    </row>
    <row r="19" spans="1:40" ht="12.95" customHeight="1">
      <c r="B19" s="1150"/>
      <c r="C19" s="1553" t="s">
        <v>961</v>
      </c>
      <c r="D19" s="1553"/>
      <c r="E19" s="1553"/>
      <c r="F19" s="1553"/>
      <c r="G19" s="1553"/>
      <c r="H19" s="1553"/>
      <c r="I19" s="1553"/>
      <c r="J19" s="1553"/>
      <c r="K19" s="1553"/>
      <c r="L19" s="1553"/>
      <c r="M19" s="1553"/>
      <c r="N19" s="1553"/>
      <c r="O19" s="1553"/>
      <c r="P19" s="1553"/>
      <c r="Q19" s="1553"/>
      <c r="R19" s="1553"/>
      <c r="S19" s="1554"/>
      <c r="T19" s="2361"/>
      <c r="U19" s="2362"/>
      <c r="V19" s="2362"/>
      <c r="W19" s="2362"/>
      <c r="X19" s="2362"/>
      <c r="Y19" s="2361"/>
      <c r="Z19" s="2362"/>
      <c r="AA19" s="2362"/>
      <c r="AB19" s="2362"/>
      <c r="AC19" s="2362"/>
      <c r="AD19" s="2362"/>
      <c r="AE19" s="2362"/>
      <c r="AF19" s="2362"/>
      <c r="AG19" s="2362"/>
      <c r="AH19" s="2362"/>
      <c r="AI19" s="2362"/>
      <c r="AJ19" s="2362"/>
      <c r="AK19" s="2362"/>
      <c r="AL19" s="2362"/>
      <c r="AM19" s="2362"/>
    </row>
    <row r="20" spans="1:40" ht="12.95" customHeight="1">
      <c r="B20" s="2339" t="s">
        <v>503</v>
      </c>
      <c r="C20" s="2340"/>
      <c r="D20" s="2340"/>
      <c r="E20" s="2340"/>
      <c r="F20" s="2340"/>
      <c r="G20" s="2340"/>
      <c r="H20" s="2340"/>
      <c r="I20" s="2340"/>
      <c r="J20" s="2340"/>
      <c r="K20" s="2340"/>
      <c r="L20" s="2340"/>
      <c r="M20" s="2340"/>
      <c r="N20" s="2340"/>
      <c r="O20" s="2340"/>
      <c r="P20" s="2340"/>
      <c r="Q20" s="2340"/>
      <c r="R20" s="2340"/>
      <c r="S20" s="2341"/>
      <c r="T20" s="2352">
        <f>SUM(T13:X19)</f>
        <v>0</v>
      </c>
      <c r="U20" s="2333"/>
      <c r="V20" s="2333"/>
      <c r="W20" s="2333"/>
      <c r="X20" s="2333"/>
      <c r="Y20" s="2352">
        <f>SUM(Y13:AC19)</f>
        <v>0</v>
      </c>
      <c r="Z20" s="2333"/>
      <c r="AA20" s="2333"/>
      <c r="AB20" s="2333"/>
      <c r="AC20" s="2333"/>
      <c r="AD20" s="2343">
        <f>SUM(AD13:AH19)</f>
        <v>0</v>
      </c>
      <c r="AE20" s="2351"/>
      <c r="AF20" s="2351"/>
      <c r="AG20" s="2351"/>
      <c r="AH20" s="2352"/>
      <c r="AI20" s="2343">
        <f>SUM(AI13:AM19)</f>
        <v>0</v>
      </c>
      <c r="AJ20" s="2351"/>
      <c r="AK20" s="2351"/>
      <c r="AL20" s="2351"/>
      <c r="AM20" s="2352"/>
    </row>
    <row r="21" spans="1:40" ht="12.95" customHeight="1">
      <c r="B21" s="2339" t="s">
        <v>1264</v>
      </c>
      <c r="C21" s="2340"/>
      <c r="D21" s="2340"/>
      <c r="E21" s="2340"/>
      <c r="F21" s="2340"/>
      <c r="G21" s="2340"/>
      <c r="H21" s="2340"/>
      <c r="I21" s="2340"/>
      <c r="J21" s="2340"/>
      <c r="K21" s="2340"/>
      <c r="L21" s="2340"/>
      <c r="M21" s="2340"/>
      <c r="N21" s="2340"/>
      <c r="O21" s="2340"/>
      <c r="P21" s="2340"/>
      <c r="Q21" s="2340"/>
      <c r="R21" s="2340"/>
      <c r="S21" s="2341"/>
      <c r="T21" s="2361"/>
      <c r="U21" s="2362"/>
      <c r="V21" s="2362"/>
      <c r="W21" s="2362"/>
      <c r="X21" s="2362"/>
      <c r="Y21" s="2361"/>
      <c r="Z21" s="2362"/>
      <c r="AA21" s="2362"/>
      <c r="AB21" s="2362"/>
      <c r="AC21" s="2362"/>
      <c r="AD21" s="2368"/>
      <c r="AE21" s="2369"/>
      <c r="AF21" s="2369"/>
      <c r="AG21" s="2369"/>
      <c r="AH21" s="2370"/>
      <c r="AI21" s="2368"/>
      <c r="AJ21" s="2369"/>
      <c r="AK21" s="2369"/>
      <c r="AL21" s="2369"/>
      <c r="AM21" s="2370"/>
    </row>
    <row r="22" spans="1:40" ht="12.95" customHeight="1">
      <c r="B22" s="2339" t="s">
        <v>504</v>
      </c>
      <c r="C22" s="2340"/>
      <c r="D22" s="2340"/>
      <c r="E22" s="2340"/>
      <c r="F22" s="2340"/>
      <c r="G22" s="2340"/>
      <c r="H22" s="2340"/>
      <c r="I22" s="2340"/>
      <c r="J22" s="2340"/>
      <c r="K22" s="2340"/>
      <c r="L22" s="2340"/>
      <c r="M22" s="2340"/>
      <c r="N22" s="2340"/>
      <c r="O22" s="2340"/>
      <c r="P22" s="2340"/>
      <c r="Q22" s="2340"/>
      <c r="R22" s="2340"/>
      <c r="S22" s="2341"/>
      <c r="T22" s="2357">
        <f>(ABS(T20)+ABS(T21))*-1</f>
        <v>0</v>
      </c>
      <c r="U22" s="2358"/>
      <c r="V22" s="2358"/>
      <c r="W22" s="2358"/>
      <c r="X22" s="2358"/>
      <c r="Y22" s="2357">
        <f>(Y20+Y21)*-1</f>
        <v>0</v>
      </c>
      <c r="Z22" s="2358"/>
      <c r="AA22" s="2358"/>
      <c r="AB22" s="2358"/>
      <c r="AC22" s="2358"/>
      <c r="AD22" s="2359">
        <f>(AD20)*-1</f>
        <v>0</v>
      </c>
      <c r="AE22" s="2360"/>
      <c r="AF22" s="2360"/>
      <c r="AG22" s="2360"/>
      <c r="AH22" s="2357"/>
      <c r="AI22" s="2359">
        <f>(AI20)*-1</f>
        <v>0</v>
      </c>
      <c r="AJ22" s="2360"/>
      <c r="AK22" s="2360"/>
      <c r="AL22" s="2360"/>
      <c r="AM22" s="2357"/>
    </row>
    <row r="23" spans="1:40" ht="12.95" customHeight="1">
      <c r="B23" s="2339" t="s">
        <v>505</v>
      </c>
      <c r="C23" s="2340"/>
      <c r="D23" s="2340"/>
      <c r="E23" s="2340"/>
      <c r="F23" s="2340"/>
      <c r="G23" s="2340"/>
      <c r="H23" s="2340"/>
      <c r="I23" s="2340"/>
      <c r="J23" s="2340"/>
      <c r="K23" s="2340"/>
      <c r="L23" s="2340"/>
      <c r="M23" s="2340"/>
      <c r="N23" s="2340"/>
      <c r="O23" s="2340"/>
      <c r="P23" s="2340"/>
      <c r="Q23" s="2340"/>
      <c r="R23" s="2340"/>
      <c r="S23" s="2341"/>
      <c r="T23" s="2352">
        <f>T11+T22</f>
        <v>47822479</v>
      </c>
      <c r="U23" s="2333"/>
      <c r="V23" s="2333"/>
      <c r="W23" s="2333"/>
      <c r="X23" s="2333"/>
      <c r="Y23" s="2352">
        <f>Y11+Y22</f>
        <v>0</v>
      </c>
      <c r="Z23" s="2333"/>
      <c r="AA23" s="2333"/>
      <c r="AB23" s="2333"/>
      <c r="AC23" s="2333"/>
      <c r="AD23" s="2352">
        <f>AD11+AD22</f>
        <v>0</v>
      </c>
      <c r="AE23" s="2333"/>
      <c r="AF23" s="2333"/>
      <c r="AG23" s="2333"/>
      <c r="AH23" s="2333"/>
      <c r="AI23" s="2352">
        <f>AI11+AI22</f>
        <v>0</v>
      </c>
      <c r="AJ23" s="2333"/>
      <c r="AK23" s="2333"/>
      <c r="AL23" s="2333"/>
      <c r="AM23" s="2333"/>
    </row>
    <row r="24" spans="1:40" ht="12.95" customHeight="1">
      <c r="B24" s="2339" t="s">
        <v>962</v>
      </c>
      <c r="C24" s="2340"/>
      <c r="D24" s="2340"/>
      <c r="E24" s="2340"/>
      <c r="F24" s="2340"/>
      <c r="G24" s="2340"/>
      <c r="H24" s="2340"/>
      <c r="I24" s="2340"/>
      <c r="J24" s="2340"/>
      <c r="K24" s="2340"/>
      <c r="L24" s="2340"/>
      <c r="M24" s="2340"/>
      <c r="N24" s="2340"/>
      <c r="O24" s="2340"/>
      <c r="P24" s="2340"/>
      <c r="Q24" s="2340"/>
      <c r="R24" s="2340"/>
      <c r="S24" s="2341"/>
      <c r="T24" s="2343">
        <f>Application!AJ1053</f>
        <v>126775795.15000001</v>
      </c>
      <c r="U24" s="2351"/>
      <c r="V24" s="2351"/>
      <c r="W24" s="2351"/>
      <c r="X24" s="2351"/>
      <c r="Y24" s="2351"/>
      <c r="Z24" s="2351"/>
      <c r="AA24" s="2351"/>
      <c r="AB24" s="2351"/>
      <c r="AC24" s="2351"/>
      <c r="AD24" s="2351"/>
      <c r="AE24" s="2351"/>
      <c r="AF24" s="2351"/>
      <c r="AG24" s="2351"/>
      <c r="AH24" s="2351"/>
      <c r="AI24" s="2351"/>
      <c r="AJ24" s="2351"/>
      <c r="AK24" s="2351"/>
      <c r="AL24" s="2351"/>
      <c r="AM24" s="2352"/>
    </row>
    <row r="25" spans="1:40" ht="12.95" customHeight="1">
      <c r="B25" s="2383" t="s">
        <v>1265</v>
      </c>
      <c r="C25" s="2384"/>
      <c r="D25" s="2384"/>
      <c r="E25" s="2384"/>
      <c r="F25" s="2384"/>
      <c r="G25" s="2384"/>
      <c r="H25" s="2384"/>
      <c r="I25" s="2384"/>
      <c r="J25" s="2384"/>
      <c r="K25" s="2384"/>
      <c r="L25" s="2384"/>
      <c r="M25" s="2384"/>
      <c r="N25" s="2384"/>
      <c r="O25" s="2384"/>
      <c r="P25" s="2384"/>
      <c r="Q25" s="2384"/>
      <c r="R25" s="2384"/>
      <c r="S25" s="2385"/>
      <c r="T25" s="2365">
        <f>IF(OR(Application!T196="yes",Application!T195="yes"),1.3,1)</f>
        <v>1</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2.95" customHeight="1">
      <c r="B26" s="2339" t="s">
        <v>506</v>
      </c>
      <c r="C26" s="2340"/>
      <c r="D26" s="2340"/>
      <c r="E26" s="2340"/>
      <c r="F26" s="2340"/>
      <c r="G26" s="2340"/>
      <c r="H26" s="2340"/>
      <c r="I26" s="2340"/>
      <c r="J26" s="2340"/>
      <c r="K26" s="2340"/>
      <c r="L26" s="2340"/>
      <c r="M26" s="2340"/>
      <c r="N26" s="2340"/>
      <c r="O26" s="2340"/>
      <c r="P26" s="2340"/>
      <c r="Q26" s="2340"/>
      <c r="R26" s="2340"/>
      <c r="S26" s="2341"/>
      <c r="T26" s="2352">
        <f>T23*T25</f>
        <v>47822479</v>
      </c>
      <c r="U26" s="2333"/>
      <c r="V26" s="2333"/>
      <c r="W26" s="2333"/>
      <c r="X26" s="2333"/>
      <c r="Y26" s="2352">
        <f>Y23*Y25</f>
        <v>0</v>
      </c>
      <c r="Z26" s="2333"/>
      <c r="AA26" s="2333"/>
      <c r="AB26" s="2333"/>
      <c r="AC26" s="2333"/>
      <c r="AD26" s="2352">
        <f>AD23*AD25</f>
        <v>0</v>
      </c>
      <c r="AE26" s="2333"/>
      <c r="AF26" s="2333"/>
      <c r="AG26" s="2333"/>
      <c r="AH26" s="2333"/>
      <c r="AI26" s="2352">
        <f>AI23*AI25</f>
        <v>0</v>
      </c>
      <c r="AJ26" s="2333"/>
      <c r="AK26" s="2333"/>
      <c r="AL26" s="2333"/>
      <c r="AM26" s="2333"/>
    </row>
    <row r="27" spans="1:40" ht="12.95" customHeight="1">
      <c r="A27" s="410"/>
      <c r="B27" s="2386" t="s">
        <v>426</v>
      </c>
      <c r="C27" s="2387"/>
      <c r="D27" s="2387"/>
      <c r="E27" s="2387"/>
      <c r="F27" s="2387"/>
      <c r="G27" s="2387"/>
      <c r="H27" s="2387"/>
      <c r="I27" s="2387"/>
      <c r="J27" s="2387"/>
      <c r="K27" s="2387"/>
      <c r="L27" s="2387"/>
      <c r="M27" s="2387"/>
      <c r="N27" s="2387"/>
      <c r="O27" s="2387"/>
      <c r="P27" s="2387"/>
      <c r="Q27" s="2387"/>
      <c r="R27" s="2387"/>
      <c r="S27" s="2388"/>
      <c r="T27" s="2363">
        <f>Application!$AG$445</f>
        <v>1</v>
      </c>
      <c r="U27" s="2364"/>
      <c r="V27" s="2364"/>
      <c r="W27" s="2364"/>
      <c r="X27" s="2364"/>
      <c r="Y27" s="2363">
        <f>Application!$AG$445</f>
        <v>1</v>
      </c>
      <c r="Z27" s="2364"/>
      <c r="AA27" s="2364"/>
      <c r="AB27" s="2364"/>
      <c r="AC27" s="2364"/>
      <c r="AD27" s="2363">
        <f>Application!$AG$445</f>
        <v>1</v>
      </c>
      <c r="AE27" s="2364"/>
      <c r="AF27" s="2364"/>
      <c r="AG27" s="2364"/>
      <c r="AH27" s="2364"/>
      <c r="AI27" s="2363">
        <f>Application!$AG$445</f>
        <v>1</v>
      </c>
      <c r="AJ27" s="2364"/>
      <c r="AK27" s="2364"/>
      <c r="AL27" s="2364"/>
      <c r="AM27" s="2364"/>
    </row>
    <row r="28" spans="1:40" ht="12.95" customHeight="1">
      <c r="A28" s="404"/>
      <c r="B28" s="2339" t="s">
        <v>507</v>
      </c>
      <c r="C28" s="2340"/>
      <c r="D28" s="2340"/>
      <c r="E28" s="2340"/>
      <c r="F28" s="2340"/>
      <c r="G28" s="2340"/>
      <c r="H28" s="2340"/>
      <c r="I28" s="2340"/>
      <c r="J28" s="2340"/>
      <c r="K28" s="2340"/>
      <c r="L28" s="2340"/>
      <c r="M28" s="2340"/>
      <c r="N28" s="2340"/>
      <c r="O28" s="2340"/>
      <c r="P28" s="2340"/>
      <c r="Q28" s="2340"/>
      <c r="R28" s="2340"/>
      <c r="S28" s="2341"/>
      <c r="T28" s="2352">
        <f>IF(ISERROR((T26*T27)),0,(T26*T27))</f>
        <v>47822479</v>
      </c>
      <c r="U28" s="2333"/>
      <c r="V28" s="2333"/>
      <c r="W28" s="2333"/>
      <c r="X28" s="2333"/>
      <c r="Y28" s="2352">
        <f>IF(ISERROR((Y26*Y27)),0,(Y26*Y27))</f>
        <v>0</v>
      </c>
      <c r="Z28" s="2333"/>
      <c r="AA28" s="2333"/>
      <c r="AB28" s="2333"/>
      <c r="AC28" s="2333"/>
      <c r="AD28" s="2352">
        <f>IF(ISERROR((AD26*AD27)),0,(AD26*AD27))</f>
        <v>0</v>
      </c>
      <c r="AE28" s="2333"/>
      <c r="AF28" s="2333"/>
      <c r="AG28" s="2333"/>
      <c r="AH28" s="2333"/>
      <c r="AI28" s="2352">
        <f>IF(ISERROR((AI26*AI27)),0,(AI26*AI27))</f>
        <v>0</v>
      </c>
      <c r="AJ28" s="2333"/>
      <c r="AK28" s="2333"/>
      <c r="AL28" s="2333"/>
      <c r="AM28" s="2333"/>
    </row>
    <row r="29" spans="1:40" ht="12.95" customHeight="1">
      <c r="B29" s="2339" t="s">
        <v>524</v>
      </c>
      <c r="C29" s="2340"/>
      <c r="D29" s="2340"/>
      <c r="E29" s="2340"/>
      <c r="F29" s="2340"/>
      <c r="G29" s="2340"/>
      <c r="H29" s="2340"/>
      <c r="I29" s="2340"/>
      <c r="J29" s="2340"/>
      <c r="K29" s="2340"/>
      <c r="L29" s="2340"/>
      <c r="M29" s="2340"/>
      <c r="N29" s="2340"/>
      <c r="O29" s="2340"/>
      <c r="P29" s="2340"/>
      <c r="Q29" s="2340"/>
      <c r="R29" s="2340"/>
      <c r="S29" s="2341"/>
      <c r="T29" s="2343">
        <f>T28+Y28+AD28+AI28</f>
        <v>47822479</v>
      </c>
      <c r="U29" s="2351"/>
      <c r="V29" s="2351"/>
      <c r="W29" s="2351"/>
      <c r="X29" s="2351"/>
      <c r="Y29" s="2351"/>
      <c r="Z29" s="2351"/>
      <c r="AA29" s="2351"/>
      <c r="AB29" s="2351"/>
      <c r="AC29" s="2351"/>
      <c r="AD29" s="2351"/>
      <c r="AE29" s="2351"/>
      <c r="AF29" s="2351"/>
      <c r="AG29" s="2351"/>
      <c r="AH29" s="2351"/>
      <c r="AI29" s="2351"/>
      <c r="AJ29" s="2351"/>
      <c r="AK29" s="2351"/>
      <c r="AL29" s="2351"/>
      <c r="AM29" s="2352"/>
    </row>
    <row r="30" spans="1:40" ht="12.95" customHeight="1">
      <c r="B30" s="2356" t="s">
        <v>1267</v>
      </c>
      <c r="C30" s="2356"/>
      <c r="D30" s="2356"/>
      <c r="E30" s="2356"/>
      <c r="F30" s="2356"/>
      <c r="G30" s="2356"/>
      <c r="H30" s="2356"/>
      <c r="I30" s="2356"/>
      <c r="J30" s="2356"/>
      <c r="K30" s="2356"/>
      <c r="L30" s="2356"/>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row>
    <row r="31" spans="1:40" ht="12.95" customHeight="1">
      <c r="B31" s="2356" t="s">
        <v>1266</v>
      </c>
      <c r="C31" s="2356"/>
      <c r="D31" s="2356"/>
      <c r="E31" s="2356"/>
      <c r="F31" s="2356"/>
      <c r="G31" s="2356"/>
      <c r="H31" s="2356"/>
      <c r="I31" s="2356"/>
      <c r="J31" s="2356"/>
      <c r="K31" s="2356"/>
      <c r="L31" s="2356"/>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3" t="s">
        <v>1155</v>
      </c>
      <c r="Z35" s="2353"/>
      <c r="AA35" s="2353"/>
      <c r="AB35" s="2353"/>
      <c r="AC35" s="2353"/>
      <c r="AD35" s="2354" t="s">
        <v>369</v>
      </c>
      <c r="AE35" s="2354"/>
      <c r="AF35" s="2354"/>
      <c r="AG35" s="2354"/>
      <c r="AH35" s="2354"/>
    </row>
    <row r="36" spans="1:76" ht="12.95" customHeight="1">
      <c r="B36" s="407"/>
      <c r="X36" s="412"/>
      <c r="Y36" s="2353"/>
      <c r="Z36" s="2353"/>
      <c r="AA36" s="2353"/>
      <c r="AB36" s="2353"/>
      <c r="AC36" s="2353"/>
      <c r="AD36" s="2354"/>
      <c r="AE36" s="2354"/>
      <c r="AF36" s="2354"/>
      <c r="AG36" s="2354"/>
      <c r="AH36" s="2354"/>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3"/>
      <c r="Z37" s="2353"/>
      <c r="AA37" s="2353"/>
      <c r="AB37" s="2353"/>
      <c r="AC37" s="2353"/>
      <c r="AD37" s="2354"/>
      <c r="AE37" s="2354"/>
      <c r="AF37" s="2354"/>
      <c r="AG37" s="2354"/>
      <c r="AH37" s="2354"/>
    </row>
    <row r="38" spans="1:76" ht="12.95" customHeight="1">
      <c r="A38" s="404"/>
      <c r="B38" s="2339" t="s">
        <v>507</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47822479</v>
      </c>
      <c r="Z38" s="2333"/>
      <c r="AA38" s="2333"/>
      <c r="AB38" s="2333"/>
      <c r="AC38" s="2333"/>
      <c r="AD38" s="2333">
        <f>IF(T24&gt;=(T23+Y23+AD23+AI23),AD28+AI28,0)</f>
        <v>0</v>
      </c>
      <c r="AE38" s="2333"/>
      <c r="AF38" s="2333"/>
      <c r="AG38" s="2333"/>
      <c r="AH38" s="2333"/>
    </row>
    <row r="39" spans="1:76" ht="12.95" customHeight="1">
      <c r="B39" s="2339" t="s">
        <v>1692</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55">
        <v>0.04</v>
      </c>
      <c r="Z39" s="2355"/>
      <c r="AA39" s="2355"/>
      <c r="AB39" s="2355"/>
      <c r="AC39" s="2355"/>
      <c r="AD39" s="2355">
        <v>0.04</v>
      </c>
      <c r="AE39" s="2355"/>
      <c r="AF39" s="2355"/>
      <c r="AG39" s="2355"/>
      <c r="AH39" s="2355"/>
    </row>
    <row r="40" spans="1:76" ht="12.95" customHeight="1">
      <c r="A40" s="404"/>
      <c r="B40" s="2339" t="s">
        <v>643</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1912899</v>
      </c>
      <c r="Z40" s="2333"/>
      <c r="AA40" s="2333"/>
      <c r="AB40" s="2333"/>
      <c r="AC40" s="2333"/>
      <c r="AD40" s="2352">
        <f>ROUND(AD38*AD39,0)</f>
        <v>0</v>
      </c>
      <c r="AE40" s="2333"/>
      <c r="AF40" s="2333"/>
      <c r="AG40" s="2333"/>
      <c r="AH40" s="2333"/>
    </row>
    <row r="41" spans="1:76" ht="12.95" customHeight="1">
      <c r="B41" s="2339" t="s">
        <v>644</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43">
        <f>Y40+AD40</f>
        <v>1912899</v>
      </c>
      <c r="Z41" s="2351"/>
      <c r="AA41" s="2351"/>
      <c r="AB41" s="2351"/>
      <c r="AC41" s="2351"/>
      <c r="AD41" s="2351"/>
      <c r="AE41" s="2351"/>
      <c r="AF41" s="2351"/>
      <c r="AG41" s="2351"/>
      <c r="AH41" s="2352"/>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0" t="s">
        <v>1277</v>
      </c>
      <c r="B44" s="2350"/>
      <c r="C44" s="2350"/>
      <c r="D44" s="2350"/>
      <c r="E44" s="2350"/>
      <c r="F44" s="2350"/>
      <c r="G44" s="2350"/>
      <c r="H44" s="2350"/>
      <c r="I44" s="2350"/>
      <c r="J44" s="2350"/>
      <c r="K44" s="2350"/>
      <c r="L44" s="2350"/>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c r="AS44" s="2350"/>
      <c r="AT44" s="2350"/>
      <c r="AU44" s="2350"/>
      <c r="AV44" s="2350"/>
      <c r="AW44" s="2350"/>
      <c r="AX44" s="2350"/>
      <c r="AY44" s="2350"/>
      <c r="AZ44" s="2350"/>
      <c r="BA44" s="2350"/>
      <c r="BB44" s="2350"/>
      <c r="BC44" s="2350"/>
      <c r="BD44" s="2350"/>
      <c r="BE44" s="2350"/>
      <c r="BF44" s="2350"/>
      <c r="BG44" s="2350"/>
      <c r="BH44" s="2350"/>
      <c r="BI44" s="2350"/>
      <c r="BJ44" s="2350"/>
      <c r="BK44" s="2350"/>
      <c r="BL44" s="2350"/>
      <c r="BM44" s="2350"/>
      <c r="BN44" s="2350"/>
      <c r="BO44" s="2350"/>
      <c r="BP44" s="2350"/>
      <c r="BQ44" s="2350"/>
      <c r="BR44" s="2350"/>
      <c r="BS44" s="2350"/>
      <c r="BT44" s="2350"/>
      <c r="BU44" s="2350"/>
      <c r="BV44" s="2350"/>
      <c r="BW44" s="2350"/>
      <c r="BX44" s="2350"/>
    </row>
    <row r="45" spans="1:76" s="204" customFormat="1" ht="12.95" customHeight="1" thickTop="1"/>
    <row r="46" spans="1:76" ht="12.95" customHeight="1">
      <c r="A46" s="404" t="s">
        <v>587</v>
      </c>
      <c r="C46" s="404" t="s">
        <v>282</v>
      </c>
    </row>
    <row r="47" spans="1:76" ht="12.95" customHeight="1">
      <c r="D47" s="404" t="s">
        <v>283</v>
      </c>
      <c r="AB47" s="2347">
        <f>'Sources and Uses Budget'!B105-MAX(IF('Sources and Uses Budget'!B15="",0,'Sources and Uses Budget'!B15),IF(Application!AG394="",0,Application!AG394))</f>
        <v>54337992</v>
      </c>
      <c r="AC47" s="2348"/>
      <c r="AD47" s="2348"/>
      <c r="AE47" s="2348"/>
      <c r="AF47" s="2349"/>
    </row>
    <row r="48" spans="1:76" ht="12.95" customHeight="1">
      <c r="D48" s="404" t="s">
        <v>21</v>
      </c>
      <c r="AB48" s="2347">
        <f>Application!AO639-MAX(IF('Sources and Uses Budget'!B15="",0,'Sources and Uses Budget'!B15),IF(Application!AG394="",0,Application!AG394))</f>
        <v>30111378</v>
      </c>
      <c r="AC48" s="2348"/>
      <c r="AD48" s="2348"/>
      <c r="AE48" s="2348"/>
      <c r="AF48" s="2349"/>
    </row>
    <row r="49" spans="1:76" ht="12.95" customHeight="1">
      <c r="D49" s="404" t="s">
        <v>91</v>
      </c>
      <c r="AB49" s="2347">
        <f>AB47-AB48</f>
        <v>24226614</v>
      </c>
      <c r="AC49" s="2348"/>
      <c r="AD49" s="2348"/>
      <c r="AE49" s="2348"/>
      <c r="AF49" s="2349"/>
    </row>
    <row r="50" spans="1:76" ht="12.95" customHeight="1">
      <c r="D50" s="404" t="s">
        <v>682</v>
      </c>
      <c r="AA50" s="415"/>
      <c r="AB50" s="2335">
        <v>0.83</v>
      </c>
      <c r="AC50" s="2336"/>
      <c r="AD50" s="2336"/>
      <c r="AE50" s="2336"/>
      <c r="AF50" s="2337"/>
    </row>
    <row r="51" spans="1:76" s="417" customFormat="1" ht="12.95" customHeight="1">
      <c r="A51" s="402"/>
      <c r="B51" s="402"/>
      <c r="C51" s="402"/>
      <c r="D51" s="402"/>
      <c r="E51" s="2346" t="s">
        <v>2612</v>
      </c>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29188692</v>
      </c>
      <c r="AC54" s="2348"/>
      <c r="AD54" s="2348"/>
      <c r="AE54" s="2348"/>
      <c r="AF54" s="2349"/>
    </row>
    <row r="55" spans="1:76" ht="12.95" customHeight="1">
      <c r="D55" s="404" t="s">
        <v>333</v>
      </c>
      <c r="AB55" s="2347">
        <f>(AB54/10)</f>
        <v>2918869.2</v>
      </c>
      <c r="AC55" s="2348"/>
      <c r="AD55" s="2348"/>
      <c r="AE55" s="2348"/>
      <c r="AF55" s="2349"/>
    </row>
    <row r="56" spans="1:76" ht="12.95" customHeight="1">
      <c r="D56" s="404" t="s">
        <v>757</v>
      </c>
      <c r="AB56" s="2347">
        <f>ROUND((IF((Y41&lt;AB55),Y41,AB55)),0)</f>
        <v>1912899</v>
      </c>
      <c r="AC56" s="2348"/>
      <c r="AD56" s="2348"/>
      <c r="AE56" s="2348"/>
      <c r="AF56" s="2349"/>
    </row>
    <row r="57" spans="1:76" ht="12.95" customHeight="1">
      <c r="D57" s="404" t="s">
        <v>756</v>
      </c>
      <c r="AB57" s="2347">
        <f>ROUND((10*AB56*AB50),0)</f>
        <v>15877062</v>
      </c>
      <c r="AC57" s="2348"/>
      <c r="AD57" s="2348"/>
      <c r="AE57" s="2348"/>
      <c r="AF57" s="2349"/>
    </row>
    <row r="58" spans="1:76" ht="12.95" customHeight="1">
      <c r="D58" s="404"/>
      <c r="AB58" s="423"/>
      <c r="AC58" s="423"/>
      <c r="AD58" s="423"/>
      <c r="AE58" s="423"/>
      <c r="AF58" s="423"/>
    </row>
    <row r="59" spans="1:76" ht="12.95" customHeight="1">
      <c r="D59" s="404" t="s">
        <v>755</v>
      </c>
      <c r="AB59" s="2331">
        <f>AB49-AB57</f>
        <v>8349552</v>
      </c>
      <c r="AC59" s="2331"/>
      <c r="AD59" s="2331"/>
      <c r="AE59" s="2331"/>
      <c r="AF59" s="2331"/>
    </row>
    <row r="60" spans="1:76" ht="12.95" customHeight="1">
      <c r="D60" s="404"/>
      <c r="AB60" s="423"/>
      <c r="AC60" s="423"/>
      <c r="AD60" s="423"/>
      <c r="AE60" s="423"/>
      <c r="AF60" s="423"/>
    </row>
    <row r="61" spans="1:76" s="204" customFormat="1" ht="12.95" customHeight="1" thickBot="1">
      <c r="A61" s="2350" t="str">
        <f>IF(Application!AP205="yes","Farmworker State Credit", "State Credit" )</f>
        <v>State Credit</v>
      </c>
      <c r="B61" s="2350"/>
      <c r="C61" s="2350"/>
      <c r="D61" s="2350"/>
      <c r="E61" s="2350"/>
      <c r="F61" s="2350"/>
      <c r="G61" s="2350"/>
      <c r="H61" s="2350"/>
      <c r="I61" s="2350"/>
      <c r="J61" s="2350"/>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0"/>
      <c r="AX61" s="2350"/>
      <c r="AY61" s="2350"/>
      <c r="AZ61" s="2350"/>
      <c r="BA61" s="2350"/>
      <c r="BB61" s="2350"/>
      <c r="BC61" s="2350"/>
      <c r="BD61" s="2350"/>
      <c r="BE61" s="2350"/>
      <c r="BF61" s="2350"/>
      <c r="BG61" s="2350"/>
      <c r="BH61" s="2350"/>
      <c r="BI61" s="2350"/>
      <c r="BJ61" s="2350"/>
      <c r="BK61" s="2350"/>
      <c r="BL61" s="2350"/>
      <c r="BM61" s="2350"/>
      <c r="BN61" s="2350"/>
      <c r="BO61" s="2350"/>
      <c r="BP61" s="2350"/>
      <c r="BQ61" s="2350"/>
      <c r="BR61" s="2350"/>
      <c r="BS61" s="2350"/>
      <c r="BT61" s="2350"/>
      <c r="BU61" s="2350"/>
      <c r="BV61" s="2350"/>
      <c r="BW61" s="2350"/>
      <c r="BX61" s="2350"/>
    </row>
    <row r="62" spans="1:76" s="204" customFormat="1" ht="12.95" customHeight="1" thickTop="1"/>
    <row r="63" spans="1:76" ht="12.95" customHeight="1">
      <c r="A63" s="404" t="s">
        <v>590</v>
      </c>
      <c r="C63" s="205" t="s">
        <v>1249</v>
      </c>
      <c r="Y63" s="2342" t="s">
        <v>985</v>
      </c>
      <c r="Z63" s="2342"/>
      <c r="AA63" s="2342"/>
      <c r="AB63" s="2342"/>
      <c r="AC63" s="2342"/>
      <c r="AD63" s="2342" t="s">
        <v>369</v>
      </c>
      <c r="AE63" s="2342"/>
      <c r="AF63" s="2342"/>
      <c r="AG63" s="2342"/>
      <c r="AH63" s="2342"/>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3">
        <f>IF(Application!$Z$205="(select)",0,((T23*T27)+Y28))</f>
        <v>47822479</v>
      </c>
      <c r="Z64" s="2344"/>
      <c r="AA64" s="2344"/>
      <c r="AB64" s="2344"/>
      <c r="AC64" s="2345"/>
      <c r="AD64" s="2343">
        <f>IF(AND(OR(Application!D211="At-Risk",Application!D211="At-Risk and Special Needs"),Application!M358="yes"),AD28+AI28,0)</f>
        <v>0</v>
      </c>
      <c r="AE64" s="2344"/>
      <c r="AF64" s="2344"/>
      <c r="AG64" s="2344"/>
      <c r="AH64" s="2345"/>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2">
        <f>IF(OR(Application!Z205="State Farmworker Credit",Application!Z205="$500M (Farmworker Housing)"),0.75,IF(Application!Z205="15% set-aside",0.13,IF(Application!Z205="15% set-aside with qualifying low value rehab",0.95,IF(Application!Z205="$500M",0.3,0))))</f>
        <v>0.3</v>
      </c>
      <c r="Z67" s="2332"/>
      <c r="AA67" s="2332"/>
      <c r="AB67" s="2332"/>
      <c r="AC67" s="2332"/>
      <c r="AD67" s="2332">
        <f>IF(Application!Z205="15% set-aside with qualifying low value rehab", 0.95,IF(OR(Application!D211="At-Risk",'Points System'!B13="Yes"),0.13,0))</f>
        <v>0</v>
      </c>
      <c r="AE67" s="2332"/>
      <c r="AF67" s="2332"/>
      <c r="AG67" s="2332"/>
      <c r="AH67" s="2332"/>
    </row>
    <row r="68" spans="1:36" ht="12.95" customHeight="1">
      <c r="C68" s="404"/>
      <c r="D68" s="205" t="s">
        <v>2225</v>
      </c>
      <c r="Y68" s="2333">
        <f>ROUND(Y64*Y67,0)</f>
        <v>14346744</v>
      </c>
      <c r="Z68" s="2334"/>
      <c r="AA68" s="2334"/>
      <c r="AB68" s="2334"/>
      <c r="AC68" s="2334"/>
      <c r="AD68" s="2333">
        <f>ROUND(AD64*AD67,0)</f>
        <v>0</v>
      </c>
      <c r="AE68" s="2334"/>
      <c r="AF68" s="2334"/>
      <c r="AG68" s="2334"/>
      <c r="AH68" s="2334"/>
    </row>
    <row r="69" spans="1:36" ht="12.95" customHeight="1">
      <c r="C69" s="404"/>
      <c r="D69" s="205" t="s">
        <v>2226</v>
      </c>
      <c r="Y69" s="2333">
        <f>IF(OR(Application!Z205="State Farmworker Credit",Application!Z205="$500M (Farmworker Housing)"),Y68+AD68,MIN(Y68+AD68,200000*(Application!G753+Application!O777)))</f>
        <v>14346744</v>
      </c>
      <c r="Z69" s="2333"/>
      <c r="AA69" s="2333"/>
      <c r="AB69" s="2333"/>
      <c r="AC69" s="2333"/>
      <c r="AD69" s="2333"/>
      <c r="AE69" s="2333"/>
      <c r="AF69" s="2333"/>
      <c r="AG69" s="2333"/>
      <c r="AH69" s="2333"/>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5">
        <v>0.8</v>
      </c>
      <c r="AC72" s="2336"/>
      <c r="AD72" s="2336"/>
      <c r="AE72" s="2336"/>
      <c r="AF72" s="2337"/>
    </row>
    <row r="73" spans="1:36" ht="12.95" customHeight="1">
      <c r="A73" s="404"/>
      <c r="C73" s="404"/>
      <c r="D73" s="404"/>
      <c r="E73" s="2338" t="s">
        <v>1252</v>
      </c>
      <c r="F73" s="2338"/>
      <c r="G73" s="2338"/>
      <c r="H73" s="2338"/>
      <c r="I73" s="2338"/>
      <c r="J73" s="2338"/>
      <c r="K73" s="2338"/>
      <c r="L73" s="2338"/>
      <c r="M73" s="2338"/>
      <c r="N73" s="2338"/>
      <c r="O73" s="2338"/>
      <c r="P73" s="2338"/>
      <c r="Q73" s="2338"/>
      <c r="R73" s="2338"/>
      <c r="S73" s="2338"/>
      <c r="T73" s="2338"/>
      <c r="U73" s="2338"/>
      <c r="V73" s="2338"/>
      <c r="W73" s="2338"/>
      <c r="X73" s="2338"/>
      <c r="Y73" s="2338"/>
      <c r="Z73" s="2338"/>
      <c r="AA73" s="2338"/>
      <c r="AB73" s="438"/>
      <c r="AC73" s="438"/>
    </row>
    <row r="74" spans="1:36" ht="12.95" customHeight="1">
      <c r="A74" s="404"/>
      <c r="C74" s="404"/>
      <c r="D74" s="404"/>
      <c r="E74" s="2338"/>
      <c r="F74" s="2338"/>
      <c r="G74" s="2338"/>
      <c r="H74" s="2338"/>
      <c r="I74" s="2338"/>
      <c r="J74" s="2338"/>
      <c r="K74" s="2338"/>
      <c r="L74" s="2338"/>
      <c r="M74" s="2338"/>
      <c r="N74" s="2338"/>
      <c r="O74" s="2338"/>
      <c r="P74" s="2338"/>
      <c r="Q74" s="2338"/>
      <c r="R74" s="2338"/>
      <c r="S74" s="2338"/>
      <c r="T74" s="2338"/>
      <c r="U74" s="2338"/>
      <c r="V74" s="2338"/>
      <c r="W74" s="2338"/>
      <c r="X74" s="2338"/>
      <c r="Y74" s="2338"/>
      <c r="Z74" s="2338"/>
      <c r="AA74" s="2338"/>
      <c r="AB74" s="438"/>
      <c r="AC74" s="438"/>
    </row>
    <row r="75" spans="1:36" ht="12.95" customHeight="1">
      <c r="A75" s="404"/>
      <c r="C75" s="404"/>
      <c r="D75" s="404"/>
      <c r="E75" s="2338"/>
      <c r="F75" s="2338"/>
      <c r="G75" s="2338"/>
      <c r="H75" s="2338"/>
      <c r="I75" s="2338"/>
      <c r="J75" s="2338"/>
      <c r="K75" s="2338"/>
      <c r="L75" s="2338"/>
      <c r="M75" s="2338"/>
      <c r="N75" s="2338"/>
      <c r="O75" s="2338"/>
      <c r="P75" s="2338"/>
      <c r="Q75" s="2338"/>
      <c r="R75" s="2338"/>
      <c r="S75" s="2338"/>
      <c r="T75" s="2338"/>
      <c r="U75" s="2338"/>
      <c r="V75" s="2338"/>
      <c r="W75" s="2338"/>
      <c r="X75" s="2338"/>
      <c r="Y75" s="2338"/>
      <c r="Z75" s="2338"/>
      <c r="AA75" s="2338"/>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6">
        <f>ROUND(IF(ISERROR((AB59/AB72)),0,(AB59/AB72)),0)</f>
        <v>10436940</v>
      </c>
      <c r="AC77" s="2326"/>
      <c r="AD77" s="2326"/>
      <c r="AE77" s="2326"/>
      <c r="AF77" s="2326"/>
    </row>
    <row r="78" spans="1:36" ht="12.95" customHeight="1">
      <c r="C78" s="404"/>
      <c r="D78" s="205" t="s">
        <v>1254</v>
      </c>
      <c r="AB78" s="2327">
        <f>ROUNDUP(MIN(Y69,AB77),0)</f>
        <v>10436940</v>
      </c>
      <c r="AC78" s="2328"/>
      <c r="AD78" s="2328"/>
      <c r="AE78" s="2328"/>
      <c r="AF78" s="2329"/>
    </row>
    <row r="79" spans="1:36" ht="12.95" customHeight="1">
      <c r="C79" s="404"/>
      <c r="D79" s="205" t="s">
        <v>1255</v>
      </c>
      <c r="AB79" s="2330">
        <f>AB78*AB72</f>
        <v>8349552</v>
      </c>
      <c r="AC79" s="2330"/>
      <c r="AD79" s="2330"/>
      <c r="AE79" s="2330"/>
      <c r="AF79" s="2330"/>
    </row>
    <row r="80" spans="1:36" ht="12.95" customHeight="1">
      <c r="C80" s="404"/>
      <c r="D80" s="404"/>
      <c r="AB80" s="425"/>
      <c r="AC80" s="425"/>
      <c r="AD80" s="425"/>
      <c r="AE80" s="425"/>
      <c r="AF80" s="425"/>
    </row>
    <row r="81" spans="1:78" ht="12.95" customHeight="1">
      <c r="D81" s="404" t="s">
        <v>755</v>
      </c>
      <c r="AB81" s="2331">
        <f>AB49-(AB57+AB79)</f>
        <v>0</v>
      </c>
      <c r="AC81" s="2331"/>
      <c r="AD81" s="2331"/>
      <c r="AE81" s="2331"/>
      <c r="AF81" s="2331"/>
    </row>
    <row r="82" spans="1:78" ht="12.95" customHeight="1">
      <c r="F82" s="522"/>
      <c r="J82" s="522" t="str">
        <f>IF(AB81&gt;0,"FUNDING GAP MUST NOT EXCEED ZERO","")</f>
        <v/>
      </c>
    </row>
    <row r="83" spans="1:78" ht="12.95" customHeight="1">
      <c r="D83" s="523"/>
    </row>
    <row r="84" spans="1:78" ht="12.95" customHeight="1" thickBot="1">
      <c r="A84" s="2350"/>
      <c r="B84" s="2350"/>
      <c r="C84" s="2350"/>
      <c r="D84" s="2350"/>
      <c r="E84" s="2350"/>
      <c r="F84" s="2350"/>
      <c r="G84" s="2350"/>
      <c r="H84" s="2350"/>
      <c r="I84" s="2350"/>
      <c r="J84" s="2350"/>
      <c r="K84" s="2350"/>
      <c r="L84" s="2350"/>
      <c r="M84" s="2350"/>
      <c r="N84" s="235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2350"/>
      <c r="AM84" s="2350"/>
      <c r="AN84" s="2350"/>
      <c r="AO84" s="2350"/>
      <c r="AP84" s="2350"/>
      <c r="AQ84" s="2350"/>
      <c r="AR84" s="2350"/>
      <c r="AS84" s="2350"/>
      <c r="AT84" s="2350"/>
      <c r="AU84" s="2350"/>
      <c r="AV84" s="2350"/>
      <c r="AW84" s="2350"/>
      <c r="AX84" s="2350"/>
      <c r="AY84" s="2350"/>
      <c r="AZ84" s="2350"/>
      <c r="BA84" s="2350"/>
      <c r="BB84" s="2350"/>
      <c r="BC84" s="2350"/>
      <c r="BD84" s="2350"/>
      <c r="BE84" s="2350"/>
      <c r="BF84" s="2350"/>
      <c r="BG84" s="2350"/>
      <c r="BH84" s="2350"/>
      <c r="BI84" s="2350"/>
      <c r="BJ84" s="2350"/>
      <c r="BK84" s="2350"/>
      <c r="BL84" s="2350"/>
      <c r="BM84" s="2350"/>
      <c r="BN84" s="2350"/>
      <c r="BO84" s="2350"/>
      <c r="BP84" s="2350"/>
      <c r="BQ84" s="2350"/>
      <c r="BR84" s="2350"/>
      <c r="BS84" s="2350"/>
      <c r="BT84" s="2350"/>
      <c r="BU84" s="2350"/>
      <c r="BV84" s="2350"/>
      <c r="BW84" s="2350"/>
      <c r="BX84" s="2350"/>
    </row>
    <row r="85" spans="1:78" ht="12.95" customHeight="1" thickTop="1"/>
    <row r="86" spans="1:78" ht="12.95" customHeight="1">
      <c r="A86" s="404"/>
      <c r="C86" s="205"/>
    </row>
    <row r="87" spans="1:78" ht="12.95" customHeight="1">
      <c r="D87" s="205"/>
      <c r="AB87" s="2382"/>
      <c r="AC87" s="2382"/>
      <c r="AD87" s="2382"/>
      <c r="AE87" s="2382"/>
      <c r="AF87" s="2382"/>
    </row>
    <row r="88" spans="1:78" ht="12.95" customHeight="1" thickBot="1">
      <c r="D88" s="205"/>
      <c r="AB88" s="2381"/>
      <c r="AC88" s="2381"/>
      <c r="AD88" s="2381"/>
      <c r="AE88" s="2381"/>
      <c r="AF88" s="238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47" workbookViewId="0">
      <selection activeCell="Y165" sqref="Y16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4" t="s">
        <v>1301</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row>
    <row r="2" spans="1:42" s="536" customFormat="1" ht="12.7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5" t="s">
        <v>1306</v>
      </c>
      <c r="AF7" s="2405"/>
      <c r="AG7" s="2405"/>
      <c r="AH7" s="2405"/>
      <c r="AI7" s="2405"/>
      <c r="AJ7" s="2405"/>
      <c r="AK7" s="2405"/>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5" t="s">
        <v>592</v>
      </c>
      <c r="C13" s="2395"/>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6"/>
      <c r="AH13" s="2426"/>
      <c r="AI13" s="2426"/>
      <c r="AJ13" s="24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5" t="s">
        <v>592</v>
      </c>
      <c r="C16" s="2395"/>
      <c r="D16" s="547"/>
      <c r="E16" s="2406" t="s">
        <v>1308</v>
      </c>
      <c r="F16" s="2407"/>
      <c r="G16" s="2407"/>
      <c r="H16" s="2407"/>
      <c r="I16" s="2407"/>
      <c r="J16" s="2407"/>
      <c r="K16" s="2407"/>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c r="AH16" s="2407"/>
      <c r="AI16" s="2407"/>
      <c r="AJ16" s="2408"/>
      <c r="AK16" s="540"/>
      <c r="AL16" s="540"/>
      <c r="AM16" s="540"/>
      <c r="AN16" s="535"/>
      <c r="AO16" s="550">
        <f>IF($B25="yes",20,0)</f>
        <v>0</v>
      </c>
      <c r="AP16" s="14"/>
    </row>
    <row r="17" spans="1:42" s="536" customFormat="1" ht="12.75" customHeight="1">
      <c r="A17" s="540"/>
      <c r="B17" s="540"/>
      <c r="C17" s="540"/>
      <c r="D17" s="551"/>
      <c r="E17" s="2409"/>
      <c r="F17" s="2410"/>
      <c r="G17" s="2410"/>
      <c r="H17" s="2410"/>
      <c r="I17" s="2410"/>
      <c r="J17" s="2410"/>
      <c r="K17" s="2410"/>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1"/>
      <c r="AK17" s="540"/>
      <c r="AL17" s="540"/>
      <c r="AM17" s="540"/>
      <c r="AN17" s="535"/>
      <c r="AO17" s="550">
        <f>IF($B28="yes",20,0)</f>
        <v>0</v>
      </c>
    </row>
    <row r="18" spans="1:42" s="536" customFormat="1" ht="12.75" customHeight="1">
      <c r="A18" s="540"/>
      <c r="B18" s="540"/>
      <c r="C18" s="540"/>
      <c r="D18" s="551"/>
      <c r="E18" s="2409"/>
      <c r="F18" s="2410"/>
      <c r="G18" s="2410"/>
      <c r="H18" s="2410"/>
      <c r="I18" s="2410"/>
      <c r="J18" s="2410"/>
      <c r="K18" s="2410"/>
      <c r="L18" s="2410"/>
      <c r="M18" s="2410"/>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1"/>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7"/>
      <c r="F20" s="2438"/>
      <c r="G20" s="2438"/>
      <c r="H20" s="2438"/>
      <c r="I20" s="2438"/>
      <c r="J20" s="2438"/>
      <c r="K20" s="2438"/>
      <c r="L20" s="2438"/>
      <c r="M20" s="2438"/>
      <c r="N20" s="2438"/>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9"/>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5" t="s">
        <v>592</v>
      </c>
      <c r="C22" s="2395"/>
      <c r="D22" s="547"/>
      <c r="E22" s="2431" t="s">
        <v>1311</v>
      </c>
      <c r="F22" s="2432"/>
      <c r="G22" s="2432"/>
      <c r="H22" s="2432"/>
      <c r="I22" s="2432"/>
      <c r="J22" s="2432"/>
      <c r="K22" s="2432"/>
      <c r="L22" s="2432"/>
      <c r="M22" s="2432"/>
      <c r="N22" s="2432"/>
      <c r="O22" s="2432"/>
      <c r="P22" s="2432"/>
      <c r="Q22" s="2432"/>
      <c r="R22" s="2432"/>
      <c r="S22" s="2432"/>
      <c r="T22" s="2432"/>
      <c r="U22" s="2432"/>
      <c r="V22" s="2432"/>
      <c r="W22" s="2432"/>
      <c r="X22" s="2432"/>
      <c r="Y22" s="2432"/>
      <c r="Z22" s="2432"/>
      <c r="AA22" s="2432"/>
      <c r="AB22" s="2432"/>
      <c r="AC22" s="2432"/>
      <c r="AD22" s="2432"/>
      <c r="AE22" s="2432"/>
      <c r="AF22" s="2432"/>
      <c r="AG22" s="2432"/>
      <c r="AH22" s="2432"/>
      <c r="AI22" s="2432"/>
      <c r="AJ22" s="2433"/>
      <c r="AK22" s="540"/>
      <c r="AL22" s="540"/>
      <c r="AM22" s="540"/>
      <c r="AN22" s="535"/>
      <c r="AO22" s="550">
        <f>IF($B40="yes",14,0)</f>
        <v>0</v>
      </c>
    </row>
    <row r="23" spans="1:42" s="536" customFormat="1" ht="12.75" customHeight="1">
      <c r="A23" s="540"/>
      <c r="B23" s="540"/>
      <c r="C23" s="540"/>
      <c r="D23" s="550"/>
      <c r="E23" s="2434"/>
      <c r="F23" s="2435"/>
      <c r="G23" s="2435"/>
      <c r="H23" s="2435"/>
      <c r="I23" s="2435"/>
      <c r="J23" s="2435"/>
      <c r="K23" s="2435"/>
      <c r="L23" s="2435"/>
      <c r="M23" s="2435"/>
      <c r="N23" s="2435"/>
      <c r="O23" s="2435"/>
      <c r="P23" s="2435"/>
      <c r="Q23" s="2435"/>
      <c r="R23" s="2435"/>
      <c r="S23" s="2435"/>
      <c r="T23" s="2435"/>
      <c r="U23" s="2435"/>
      <c r="V23" s="2435"/>
      <c r="W23" s="2435"/>
      <c r="X23" s="2435"/>
      <c r="Y23" s="2435"/>
      <c r="Z23" s="2435"/>
      <c r="AA23" s="2435"/>
      <c r="AB23" s="2435"/>
      <c r="AC23" s="2435"/>
      <c r="AD23" s="2435"/>
      <c r="AE23" s="2435"/>
      <c r="AF23" s="2435"/>
      <c r="AG23" s="2435"/>
      <c r="AH23" s="2435"/>
      <c r="AI23" s="2435"/>
      <c r="AJ23" s="2436"/>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5" t="s">
        <v>592</v>
      </c>
      <c r="C25" s="2395"/>
      <c r="D25" s="547"/>
      <c r="E25" s="2396" t="s">
        <v>2034</v>
      </c>
      <c r="F25" s="2397"/>
      <c r="G25" s="2397"/>
      <c r="H25" s="2397"/>
      <c r="I25" s="2397"/>
      <c r="J25" s="2397"/>
      <c r="K25" s="2397"/>
      <c r="L25" s="2397"/>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8"/>
      <c r="AK25" s="540"/>
      <c r="AL25" s="540"/>
      <c r="AM25" s="540"/>
      <c r="AN25" s="535"/>
      <c r="AO25" s="550">
        <f>IF($B45="yes",6,0)</f>
        <v>0</v>
      </c>
    </row>
    <row r="26" spans="1:42" s="536" customFormat="1" ht="12.75" customHeight="1">
      <c r="A26" s="540"/>
      <c r="B26" s="540"/>
      <c r="C26" s="540"/>
      <c r="D26" s="550"/>
      <c r="E26" s="2399"/>
      <c r="F26" s="2400"/>
      <c r="G26" s="2400"/>
      <c r="H26" s="2400"/>
      <c r="I26" s="2400"/>
      <c r="J26" s="2400"/>
      <c r="K26" s="2400"/>
      <c r="L26" s="2400"/>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1"/>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5" t="s">
        <v>592</v>
      </c>
      <c r="C28" s="2395"/>
      <c r="D28" s="547"/>
      <c r="E28" s="2419" t="s">
        <v>2249</v>
      </c>
      <c r="F28" s="2420"/>
      <c r="G28" s="2420"/>
      <c r="H28" s="2420"/>
      <c r="I28" s="2420"/>
      <c r="J28" s="2420"/>
      <c r="K28" s="2420"/>
      <c r="L28" s="2420"/>
      <c r="M28" s="2420"/>
      <c r="N28" s="2420"/>
      <c r="O28" s="2420"/>
      <c r="P28" s="2420"/>
      <c r="Q28" s="2420"/>
      <c r="R28" s="2420"/>
      <c r="S28" s="2420"/>
      <c r="T28" s="2420"/>
      <c r="U28" s="2420"/>
      <c r="V28" s="2420"/>
      <c r="W28" s="2420"/>
      <c r="X28" s="2420"/>
      <c r="Y28" s="2420"/>
      <c r="Z28" s="2420"/>
      <c r="AA28" s="2420"/>
      <c r="AB28" s="2420"/>
      <c r="AC28" s="2420"/>
      <c r="AD28" s="2420"/>
      <c r="AE28" s="2420"/>
      <c r="AF28" s="2420"/>
      <c r="AG28" s="2420"/>
      <c r="AH28" s="2420"/>
      <c r="AI28" s="2420"/>
      <c r="AJ28" s="2421"/>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5" t="s">
        <v>592</v>
      </c>
      <c r="C33" s="2395"/>
      <c r="D33" s="547"/>
      <c r="E33" s="2431" t="s">
        <v>2251</v>
      </c>
      <c r="F33" s="2432"/>
      <c r="G33" s="2432"/>
      <c r="H33" s="2432"/>
      <c r="I33" s="2432"/>
      <c r="J33" s="2432"/>
      <c r="K33" s="2432"/>
      <c r="L33" s="2432"/>
      <c r="M33" s="2432"/>
      <c r="N33" s="2432"/>
      <c r="O33" s="2432"/>
      <c r="P33" s="2432"/>
      <c r="Q33" s="2432"/>
      <c r="R33" s="2432"/>
      <c r="S33" s="2432"/>
      <c r="T33" s="2432"/>
      <c r="U33" s="2432"/>
      <c r="V33" s="2432"/>
      <c r="W33" s="2432"/>
      <c r="X33" s="2432"/>
      <c r="Y33" s="2432"/>
      <c r="Z33" s="2432"/>
      <c r="AA33" s="2432"/>
      <c r="AB33" s="2432"/>
      <c r="AC33" s="2432"/>
      <c r="AD33" s="2432"/>
      <c r="AE33" s="2432"/>
      <c r="AF33" s="2432"/>
      <c r="AG33" s="2432"/>
      <c r="AH33" s="2432"/>
      <c r="AI33" s="2432"/>
      <c r="AJ33" s="2433"/>
      <c r="AK33" s="540"/>
      <c r="AL33" s="540"/>
      <c r="AM33" s="540"/>
      <c r="AN33" s="535"/>
      <c r="AO33" s="550"/>
    </row>
    <row r="34" spans="1:41" s="536" customFormat="1" ht="12.75" customHeight="1">
      <c r="A34" s="540"/>
      <c r="B34" s="540"/>
      <c r="C34" s="540"/>
      <c r="E34" s="2434"/>
      <c r="F34" s="2435"/>
      <c r="G34" s="2435"/>
      <c r="H34" s="2435"/>
      <c r="I34" s="2435"/>
      <c r="J34" s="2435"/>
      <c r="K34" s="2435"/>
      <c r="L34" s="2435"/>
      <c r="M34" s="2435"/>
      <c r="N34" s="2435"/>
      <c r="O34" s="2435"/>
      <c r="P34" s="2435"/>
      <c r="Q34" s="2435"/>
      <c r="R34" s="2435"/>
      <c r="S34" s="2435"/>
      <c r="T34" s="2435"/>
      <c r="U34" s="2435"/>
      <c r="V34" s="2435"/>
      <c r="W34" s="2435"/>
      <c r="X34" s="2435"/>
      <c r="Y34" s="2435"/>
      <c r="Z34" s="2435"/>
      <c r="AA34" s="2435"/>
      <c r="AB34" s="2435"/>
      <c r="AC34" s="2435"/>
      <c r="AD34" s="2435"/>
      <c r="AE34" s="2435"/>
      <c r="AF34" s="2435"/>
      <c r="AG34" s="2435"/>
      <c r="AH34" s="2435"/>
      <c r="AI34" s="2435"/>
      <c r="AJ34" s="2436"/>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5" t="s">
        <v>592</v>
      </c>
      <c r="C36" s="2395"/>
      <c r="D36" s="547"/>
      <c r="E36" s="2396" t="s">
        <v>2252</v>
      </c>
      <c r="F36" s="2397"/>
      <c r="G36" s="2397"/>
      <c r="H36" s="2397"/>
      <c r="I36" s="2397"/>
      <c r="J36" s="2397"/>
      <c r="K36" s="2397"/>
      <c r="L36" s="2397"/>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8"/>
      <c r="AK36" s="540"/>
      <c r="AL36" s="540"/>
      <c r="AM36" s="540"/>
      <c r="AN36" s="535"/>
    </row>
    <row r="37" spans="1:41" s="536" customFormat="1" ht="12.75" customHeight="1">
      <c r="A37" s="540"/>
      <c r="B37" s="540"/>
      <c r="C37" s="540"/>
      <c r="E37" s="2402"/>
      <c r="F37" s="2403"/>
      <c r="G37" s="2403"/>
      <c r="H37" s="2403"/>
      <c r="I37" s="2403"/>
      <c r="J37" s="2403"/>
      <c r="K37" s="2403"/>
      <c r="L37" s="2403"/>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4"/>
      <c r="AK37" s="540"/>
      <c r="AL37" s="540"/>
      <c r="AM37" s="540"/>
      <c r="AN37" s="535"/>
    </row>
    <row r="38" spans="1:41" s="536" customFormat="1" ht="12.75" customHeight="1">
      <c r="A38" s="540"/>
      <c r="B38" s="540"/>
      <c r="C38" s="540"/>
      <c r="E38" s="2399"/>
      <c r="F38" s="2400"/>
      <c r="G38" s="2400"/>
      <c r="H38" s="2400"/>
      <c r="I38" s="2400"/>
      <c r="J38" s="2400"/>
      <c r="K38" s="2400"/>
      <c r="L38" s="2400"/>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5" t="s">
        <v>592</v>
      </c>
      <c r="C40" s="2395"/>
      <c r="D40" s="547"/>
      <c r="E40" s="2396" t="s">
        <v>2250</v>
      </c>
      <c r="F40" s="2397"/>
      <c r="G40" s="2397"/>
      <c r="H40" s="2397"/>
      <c r="I40" s="2397"/>
      <c r="J40" s="2397"/>
      <c r="K40" s="2397"/>
      <c r="L40" s="2397"/>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8"/>
      <c r="AK40" s="540"/>
      <c r="AL40" s="540"/>
      <c r="AM40" s="540"/>
      <c r="AN40" s="535"/>
    </row>
    <row r="41" spans="1:41" s="536" customFormat="1" ht="12.75" customHeight="1">
      <c r="A41" s="540"/>
      <c r="B41" s="540"/>
      <c r="C41" s="540"/>
      <c r="E41" s="2399"/>
      <c r="F41" s="2400"/>
      <c r="G41" s="2400"/>
      <c r="H41" s="2400"/>
      <c r="I41" s="2400"/>
      <c r="J41" s="2400"/>
      <c r="K41" s="2400"/>
      <c r="L41" s="2400"/>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5" t="s">
        <v>592</v>
      </c>
      <c r="C45" s="2395"/>
      <c r="D45" s="1142"/>
      <c r="E45" s="2396" t="s">
        <v>2009</v>
      </c>
      <c r="F45" s="2397"/>
      <c r="G45" s="2397"/>
      <c r="H45" s="2397"/>
      <c r="I45" s="2397"/>
      <c r="J45" s="2397"/>
      <c r="K45" s="2397"/>
      <c r="L45" s="2397"/>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8"/>
      <c r="AK45" s="1142"/>
      <c r="AL45" s="540"/>
      <c r="AM45" s="540"/>
      <c r="AN45" s="535"/>
    </row>
    <row r="46" spans="1:41" s="536" customFormat="1" ht="12.75" customHeight="1">
      <c r="A46" s="540"/>
      <c r="B46" s="540"/>
      <c r="C46" s="540"/>
      <c r="E46" s="2402"/>
      <c r="F46" s="2403"/>
      <c r="G46" s="2403"/>
      <c r="H46" s="2403"/>
      <c r="I46" s="2403"/>
      <c r="J46" s="2403"/>
      <c r="K46" s="2403"/>
      <c r="L46" s="2403"/>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4"/>
      <c r="AK46" s="540"/>
      <c r="AL46" s="540"/>
      <c r="AM46" s="540"/>
      <c r="AN46" s="535"/>
    </row>
    <row r="47" spans="1:41" s="536" customFormat="1" ht="12.75" customHeight="1">
      <c r="A47" s="540"/>
      <c r="D47" s="547"/>
      <c r="E47" s="2399"/>
      <c r="F47" s="2400"/>
      <c r="G47" s="2400"/>
      <c r="H47" s="2400"/>
      <c r="I47" s="2400"/>
      <c r="J47" s="2400"/>
      <c r="K47" s="2400"/>
      <c r="L47" s="240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5" t="s">
        <v>592</v>
      </c>
      <c r="C52" s="2395"/>
      <c r="D52" s="540"/>
      <c r="E52" s="2396" t="s">
        <v>2014</v>
      </c>
      <c r="F52" s="2397"/>
      <c r="G52" s="2397"/>
      <c r="H52" s="2397"/>
      <c r="I52" s="2397"/>
      <c r="J52" s="2397"/>
      <c r="K52" s="2397"/>
      <c r="L52" s="2397"/>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8"/>
      <c r="AK52" s="540"/>
      <c r="AL52" s="540"/>
      <c r="AM52" s="540"/>
      <c r="AN52" s="535"/>
      <c r="AO52" s="559"/>
    </row>
    <row r="53" spans="1:50" s="536" customFormat="1" ht="12.75" customHeight="1">
      <c r="A53" s="540"/>
      <c r="D53" s="547"/>
      <c r="E53" s="2402"/>
      <c r="F53" s="2403"/>
      <c r="G53" s="2403"/>
      <c r="H53" s="2403"/>
      <c r="I53" s="2403"/>
      <c r="J53" s="2403"/>
      <c r="K53" s="2403"/>
      <c r="L53" s="2403"/>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4"/>
      <c r="AK53" s="540"/>
      <c r="AL53" s="540"/>
      <c r="AM53" s="540"/>
      <c r="AN53" s="535"/>
      <c r="AO53" s="559"/>
    </row>
    <row r="54" spans="1:50" s="536" customFormat="1" ht="12.75" customHeight="1">
      <c r="A54" s="540"/>
      <c r="D54" s="540"/>
      <c r="E54" s="2399"/>
      <c r="F54" s="2400"/>
      <c r="G54" s="2400"/>
      <c r="H54" s="2400"/>
      <c r="I54" s="2400"/>
      <c r="J54" s="2400"/>
      <c r="K54" s="2400"/>
      <c r="L54" s="2400"/>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5" t="s">
        <v>592</v>
      </c>
      <c r="C56" s="2395"/>
      <c r="D56" s="540"/>
      <c r="E56" s="2416" t="s">
        <v>2015</v>
      </c>
      <c r="F56" s="2417"/>
      <c r="G56" s="2417"/>
      <c r="H56" s="2417"/>
      <c r="I56" s="2417"/>
      <c r="J56" s="2417"/>
      <c r="K56" s="2417"/>
      <c r="L56" s="2417"/>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8"/>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5" t="s">
        <v>592</v>
      </c>
      <c r="C58" s="2395"/>
      <c r="D58" s="540"/>
      <c r="E58" s="2396" t="s">
        <v>2016</v>
      </c>
      <c r="F58" s="2397"/>
      <c r="G58" s="2397"/>
      <c r="H58" s="2397"/>
      <c r="I58" s="2397"/>
      <c r="J58" s="2397"/>
      <c r="K58" s="2397"/>
      <c r="L58" s="2397"/>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8"/>
      <c r="AK58" s="540"/>
      <c r="AL58" s="540"/>
      <c r="AM58" s="540"/>
      <c r="AN58" s="535"/>
    </row>
    <row r="59" spans="1:50" s="536" customFormat="1" ht="12.75" customHeight="1">
      <c r="A59" s="540"/>
      <c r="B59" s="547"/>
      <c r="C59" s="547"/>
      <c r="D59" s="547"/>
      <c r="E59" s="2399"/>
      <c r="F59" s="2400"/>
      <c r="G59" s="2400"/>
      <c r="H59" s="2400"/>
      <c r="I59" s="2400"/>
      <c r="J59" s="2400"/>
      <c r="K59" s="2400"/>
      <c r="L59" s="240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28">
        <f>AO39</f>
        <v>0</v>
      </c>
      <c r="AL62" s="2429"/>
      <c r="AM62" s="243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5" t="s">
        <v>1315</v>
      </c>
      <c r="AF65" s="2405"/>
      <c r="AG65" s="2405"/>
      <c r="AH65" s="2405"/>
      <c r="AI65" s="2405"/>
      <c r="AJ65" s="2405"/>
      <c r="AK65" s="2405"/>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5" t="s">
        <v>592</v>
      </c>
      <c r="C68" s="2395"/>
      <c r="D68" s="547" t="s">
        <v>1316</v>
      </c>
      <c r="E68" s="2406" t="s">
        <v>2017</v>
      </c>
      <c r="F68" s="2407"/>
      <c r="G68" s="2407"/>
      <c r="H68" s="2407"/>
      <c r="I68" s="2407"/>
      <c r="J68" s="2407"/>
      <c r="K68" s="2407"/>
      <c r="L68" s="2407"/>
      <c r="M68" s="2407"/>
      <c r="N68" s="2407"/>
      <c r="O68" s="2407"/>
      <c r="P68" s="2407"/>
      <c r="Q68" s="2407"/>
      <c r="R68" s="2407"/>
      <c r="S68" s="2407"/>
      <c r="T68" s="2407"/>
      <c r="U68" s="2407"/>
      <c r="V68" s="2407"/>
      <c r="W68" s="2407"/>
      <c r="X68" s="2407"/>
      <c r="Y68" s="2407"/>
      <c r="Z68" s="2407"/>
      <c r="AA68" s="2407"/>
      <c r="AB68" s="2407"/>
      <c r="AC68" s="2407"/>
      <c r="AD68" s="2407"/>
      <c r="AE68" s="2407"/>
      <c r="AF68" s="2407"/>
      <c r="AG68" s="2407"/>
      <c r="AH68" s="2407"/>
      <c r="AI68" s="2407"/>
      <c r="AJ68" s="2408"/>
      <c r="AK68" s="543"/>
      <c r="AL68" s="540"/>
      <c r="AM68" s="540"/>
      <c r="AN68" s="535"/>
      <c r="AO68" s="550">
        <f>IF($B68="yes",10,0)</f>
        <v>0</v>
      </c>
    </row>
    <row r="69" spans="1:42" s="536" customFormat="1" ht="12.75" customHeight="1">
      <c r="A69" s="538"/>
      <c r="B69" s="540"/>
      <c r="C69" s="540"/>
      <c r="D69" s="551"/>
      <c r="E69" s="2409"/>
      <c r="F69" s="2410"/>
      <c r="G69" s="2410"/>
      <c r="H69" s="2410"/>
      <c r="I69" s="2410"/>
      <c r="J69" s="2410"/>
      <c r="K69" s="2410"/>
      <c r="L69" s="2410"/>
      <c r="M69" s="2410"/>
      <c r="N69" s="2410"/>
      <c r="O69" s="2410"/>
      <c r="P69" s="2410"/>
      <c r="Q69" s="2410"/>
      <c r="R69" s="2410"/>
      <c r="S69" s="2410"/>
      <c r="T69" s="2410"/>
      <c r="U69" s="2410"/>
      <c r="V69" s="2410"/>
      <c r="W69" s="2410"/>
      <c r="X69" s="2410"/>
      <c r="Y69" s="2410"/>
      <c r="Z69" s="2410"/>
      <c r="AA69" s="2410"/>
      <c r="AB69" s="2410"/>
      <c r="AC69" s="2410"/>
      <c r="AD69" s="2410"/>
      <c r="AE69" s="2410"/>
      <c r="AF69" s="2410"/>
      <c r="AG69" s="2410"/>
      <c r="AH69" s="2410"/>
      <c r="AI69" s="2410"/>
      <c r="AJ69" s="2411"/>
      <c r="AK69" s="543"/>
      <c r="AL69" s="540"/>
      <c r="AM69" s="540"/>
      <c r="AN69" s="535"/>
      <c r="AO69" s="550">
        <f>IF($B74="yes",10,0)</f>
        <v>0</v>
      </c>
    </row>
    <row r="70" spans="1:42" s="536" customFormat="1" ht="12.75" customHeight="1">
      <c r="A70" s="538"/>
      <c r="B70" s="540"/>
      <c r="C70" s="540"/>
      <c r="D70" s="551"/>
      <c r="E70" s="2409"/>
      <c r="F70" s="2410"/>
      <c r="G70" s="2410"/>
      <c r="H70" s="2410"/>
      <c r="I70" s="2410"/>
      <c r="J70" s="2410"/>
      <c r="K70" s="2410"/>
      <c r="L70" s="2410"/>
      <c r="M70" s="2410"/>
      <c r="N70" s="2410"/>
      <c r="O70" s="2410"/>
      <c r="P70" s="2410"/>
      <c r="Q70" s="2410"/>
      <c r="R70" s="2410"/>
      <c r="S70" s="2410"/>
      <c r="T70" s="2410"/>
      <c r="U70" s="2410"/>
      <c r="V70" s="2410"/>
      <c r="W70" s="2410"/>
      <c r="X70" s="2410"/>
      <c r="Y70" s="2410"/>
      <c r="Z70" s="2410"/>
      <c r="AA70" s="2410"/>
      <c r="AB70" s="2410"/>
      <c r="AC70" s="2410"/>
      <c r="AD70" s="2410"/>
      <c r="AE70" s="2410"/>
      <c r="AF70" s="2410"/>
      <c r="AG70" s="2410"/>
      <c r="AH70" s="2410"/>
      <c r="AI70" s="2410"/>
      <c r="AJ70" s="2411"/>
      <c r="AK70" s="543"/>
      <c r="AL70" s="540"/>
      <c r="AM70" s="540"/>
      <c r="AN70" s="535"/>
      <c r="AO70" s="550">
        <f>IF($B81="yes",10,0)</f>
        <v>10</v>
      </c>
    </row>
    <row r="71" spans="1:42" s="536" customFormat="1" ht="12.75" customHeight="1">
      <c r="A71" s="538"/>
      <c r="B71" s="540"/>
      <c r="C71" s="540"/>
      <c r="D71" s="551"/>
      <c r="E71" s="2409"/>
      <c r="F71" s="2410"/>
      <c r="G71" s="2410"/>
      <c r="H71" s="2410"/>
      <c r="I71" s="2410"/>
      <c r="J71" s="2410"/>
      <c r="K71" s="2410"/>
      <c r="L71" s="2410"/>
      <c r="M71" s="2410"/>
      <c r="N71" s="2410"/>
      <c r="O71" s="2410"/>
      <c r="P71" s="2410"/>
      <c r="Q71" s="2410"/>
      <c r="R71" s="2410"/>
      <c r="S71" s="2410"/>
      <c r="T71" s="2410"/>
      <c r="U71" s="2410"/>
      <c r="V71" s="2410"/>
      <c r="W71" s="2410"/>
      <c r="X71" s="2410"/>
      <c r="Y71" s="2410"/>
      <c r="Z71" s="2410"/>
      <c r="AA71" s="2410"/>
      <c r="AB71" s="2410"/>
      <c r="AC71" s="2410"/>
      <c r="AD71" s="2410"/>
      <c r="AE71" s="2410"/>
      <c r="AF71" s="2410"/>
      <c r="AG71" s="2410"/>
      <c r="AH71" s="2410"/>
      <c r="AI71" s="2410"/>
      <c r="AJ71" s="2411"/>
      <c r="AK71" s="543"/>
      <c r="AL71" s="540"/>
      <c r="AM71" s="540"/>
      <c r="AN71" s="535"/>
      <c r="AO71" s="536">
        <f>IF(SUM(AO68:AO70)&gt;10,10,(SUM(AO68:AO70)))</f>
        <v>10</v>
      </c>
      <c r="AP71" s="574" t="s">
        <v>1317</v>
      </c>
    </row>
    <row r="72" spans="1:42" s="536" customFormat="1" ht="12.75" customHeight="1">
      <c r="A72" s="538"/>
      <c r="B72" s="540"/>
      <c r="C72" s="540"/>
      <c r="D72" s="551"/>
      <c r="E72" s="2412"/>
      <c r="F72" s="2413"/>
      <c r="G72" s="2413"/>
      <c r="H72" s="2413"/>
      <c r="I72" s="2413"/>
      <c r="J72" s="2413"/>
      <c r="K72" s="2413"/>
      <c r="L72" s="2413"/>
      <c r="M72" s="2413"/>
      <c r="N72" s="2413"/>
      <c r="O72" s="2413"/>
      <c r="P72" s="2413"/>
      <c r="Q72" s="2413"/>
      <c r="R72" s="2413"/>
      <c r="S72" s="2413"/>
      <c r="T72" s="2413"/>
      <c r="U72" s="2413"/>
      <c r="V72" s="2413"/>
      <c r="W72" s="2413"/>
      <c r="X72" s="2413"/>
      <c r="Y72" s="2413"/>
      <c r="Z72" s="2413"/>
      <c r="AA72" s="2413"/>
      <c r="AB72" s="2413"/>
      <c r="AC72" s="2413"/>
      <c r="AD72" s="2413"/>
      <c r="AE72" s="2413"/>
      <c r="AF72" s="2413"/>
      <c r="AG72" s="2413"/>
      <c r="AH72" s="2413"/>
      <c r="AI72" s="2413"/>
      <c r="AJ72" s="2414"/>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5" t="s">
        <v>592</v>
      </c>
      <c r="C74" s="2395"/>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5" t="s">
        <v>592</v>
      </c>
      <c r="F75" s="2395"/>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3" t="s">
        <v>592</v>
      </c>
      <c r="F76" s="2394"/>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3" t="s">
        <v>592</v>
      </c>
      <c r="F77" s="2394"/>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5" t="s">
        <v>592</v>
      </c>
      <c r="F79" s="2395"/>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5" t="s">
        <v>546</v>
      </c>
      <c r="C81" s="2395"/>
      <c r="D81" s="547" t="s">
        <v>1321</v>
      </c>
      <c r="E81" s="2396" t="s">
        <v>1741</v>
      </c>
      <c r="F81" s="2397"/>
      <c r="G81" s="2397"/>
      <c r="H81" s="2397"/>
      <c r="I81" s="2397"/>
      <c r="J81" s="2397"/>
      <c r="K81" s="2397"/>
      <c r="L81" s="2397"/>
      <c r="M81" s="2397"/>
      <c r="N81" s="2397"/>
      <c r="O81" s="2397"/>
      <c r="P81" s="2397"/>
      <c r="Q81" s="2397"/>
      <c r="R81" s="2397"/>
      <c r="S81" s="2397"/>
      <c r="T81" s="2397"/>
      <c r="U81" s="2397"/>
      <c r="V81" s="2397"/>
      <c r="W81" s="2397"/>
      <c r="X81" s="2397"/>
      <c r="Y81" s="2397"/>
      <c r="Z81" s="2397"/>
      <c r="AA81" s="2397"/>
      <c r="AB81" s="2397"/>
      <c r="AC81" s="2397"/>
      <c r="AD81" s="2397"/>
      <c r="AE81" s="2397"/>
      <c r="AF81" s="2397"/>
      <c r="AG81" s="2397"/>
      <c r="AH81" s="2397"/>
      <c r="AI81" s="2397"/>
      <c r="AJ81" s="2398"/>
      <c r="AK81" s="543"/>
      <c r="AL81" s="540"/>
      <c r="AM81" s="540"/>
      <c r="AN81" s="535"/>
    </row>
    <row r="82" spans="1:43" s="536" customFormat="1" ht="12.75" customHeight="1">
      <c r="A82" s="538"/>
      <c r="B82" s="540"/>
      <c r="C82" s="540"/>
      <c r="D82" s="550"/>
      <c r="E82" s="2399"/>
      <c r="F82" s="2400"/>
      <c r="G82" s="2400"/>
      <c r="H82" s="2400"/>
      <c r="I82" s="2400"/>
      <c r="J82" s="2400"/>
      <c r="K82" s="2400"/>
      <c r="L82" s="2400"/>
      <c r="M82" s="2400"/>
      <c r="N82" s="2400"/>
      <c r="O82" s="2400"/>
      <c r="P82" s="2400"/>
      <c r="Q82" s="2400"/>
      <c r="R82" s="2400"/>
      <c r="S82" s="2400"/>
      <c r="T82" s="2400"/>
      <c r="U82" s="2400"/>
      <c r="V82" s="2400"/>
      <c r="W82" s="2400"/>
      <c r="X82" s="2400"/>
      <c r="Y82" s="2400"/>
      <c r="Z82" s="2400"/>
      <c r="AA82" s="2400"/>
      <c r="AB82" s="2400"/>
      <c r="AC82" s="2400"/>
      <c r="AD82" s="2400"/>
      <c r="AE82" s="2400"/>
      <c r="AF82" s="2400"/>
      <c r="AG82" s="2400"/>
      <c r="AH82" s="2400"/>
      <c r="AI82" s="2400"/>
      <c r="AJ82" s="240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28">
        <f>IF(AK62&gt;0,0,AO71)</f>
        <v>10</v>
      </c>
      <c r="AL84" s="2429"/>
      <c r="AM84" s="243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5" t="s">
        <v>1306</v>
      </c>
      <c r="AF87" s="2405"/>
      <c r="AG87" s="2405"/>
      <c r="AH87" s="2405"/>
      <c r="AI87" s="2405"/>
      <c r="AJ87" s="2405"/>
      <c r="AK87" s="2405"/>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5" t="s">
        <v>592</v>
      </c>
      <c r="C90" s="2395"/>
      <c r="D90" s="547" t="s">
        <v>1316</v>
      </c>
      <c r="E90" s="2406" t="s">
        <v>1326</v>
      </c>
      <c r="F90" s="2407"/>
      <c r="G90" s="2407"/>
      <c r="H90" s="2407"/>
      <c r="I90" s="2407"/>
      <c r="J90" s="2407"/>
      <c r="K90" s="2407"/>
      <c r="L90" s="2407"/>
      <c r="M90" s="2407"/>
      <c r="N90" s="2407"/>
      <c r="O90" s="2407"/>
      <c r="P90" s="2407"/>
      <c r="Q90" s="2407"/>
      <c r="R90" s="2407"/>
      <c r="S90" s="2407"/>
      <c r="T90" s="2407"/>
      <c r="U90" s="2407"/>
      <c r="V90" s="2407"/>
      <c r="W90" s="2407"/>
      <c r="X90" s="2407"/>
      <c r="Y90" s="2407"/>
      <c r="Z90" s="2407"/>
      <c r="AA90" s="2407"/>
      <c r="AB90" s="2407"/>
      <c r="AC90" s="2407"/>
      <c r="AD90" s="2407"/>
      <c r="AE90" s="2407"/>
      <c r="AF90" s="2407"/>
      <c r="AG90" s="2407"/>
      <c r="AH90" s="2407"/>
      <c r="AI90" s="2407"/>
      <c r="AJ90" s="2408"/>
      <c r="AK90" s="543"/>
      <c r="AL90" s="540"/>
      <c r="AM90" s="540"/>
      <c r="AN90" s="535"/>
    </row>
    <row r="91" spans="1:43" s="536" customFormat="1" ht="12.75" customHeight="1">
      <c r="A91" s="538"/>
      <c r="B91" s="539"/>
      <c r="C91" s="539"/>
      <c r="D91" s="539"/>
      <c r="E91" s="2409"/>
      <c r="F91" s="2410"/>
      <c r="G91" s="2410"/>
      <c r="H91" s="2410"/>
      <c r="I91" s="2410"/>
      <c r="J91" s="2410"/>
      <c r="K91" s="2410"/>
      <c r="L91" s="2410"/>
      <c r="M91" s="2410"/>
      <c r="N91" s="2410"/>
      <c r="O91" s="2410"/>
      <c r="P91" s="2410"/>
      <c r="Q91" s="2410"/>
      <c r="R91" s="2410"/>
      <c r="S91" s="2410"/>
      <c r="T91" s="2410"/>
      <c r="U91" s="2410"/>
      <c r="V91" s="2410"/>
      <c r="W91" s="2410"/>
      <c r="X91" s="2410"/>
      <c r="Y91" s="2410"/>
      <c r="Z91" s="2410"/>
      <c r="AA91" s="2410"/>
      <c r="AB91" s="2410"/>
      <c r="AC91" s="2410"/>
      <c r="AD91" s="2410"/>
      <c r="AE91" s="2410"/>
      <c r="AF91" s="2410"/>
      <c r="AG91" s="2410"/>
      <c r="AH91" s="2410"/>
      <c r="AI91" s="2410"/>
      <c r="AJ91" s="241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9">
        <f>Application!AC753</f>
        <v>0.60000000000000009</v>
      </c>
      <c r="F93" s="2390"/>
      <c r="G93" s="2390"/>
      <c r="H93" s="2390"/>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1">
        <f>0.6-ROUNDUP(E93,2)</f>
        <v>0</v>
      </c>
      <c r="F94" s="2392"/>
      <c r="G94" s="2392"/>
      <c r="H94" s="2392"/>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2">
        <f>IF(E94*200&gt;20,20,E94*200)</f>
        <v>0</v>
      </c>
      <c r="F95" s="2423"/>
      <c r="G95" s="2423"/>
      <c r="H95" s="2423"/>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5" t="s">
        <v>546</v>
      </c>
      <c r="C98" s="2395"/>
      <c r="D98" s="547" t="s">
        <v>1318</v>
      </c>
      <c r="E98" s="2406" t="s">
        <v>1726</v>
      </c>
      <c r="F98" s="2407"/>
      <c r="G98" s="2407"/>
      <c r="H98" s="2407"/>
      <c r="I98" s="2407"/>
      <c r="J98" s="2407"/>
      <c r="K98" s="2407"/>
      <c r="L98" s="2407"/>
      <c r="M98" s="2407"/>
      <c r="N98" s="2407"/>
      <c r="O98" s="2407"/>
      <c r="P98" s="2407"/>
      <c r="Q98" s="2407"/>
      <c r="R98" s="2407"/>
      <c r="S98" s="2407"/>
      <c r="T98" s="2407"/>
      <c r="U98" s="2407"/>
      <c r="V98" s="2407"/>
      <c r="W98" s="2407"/>
      <c r="X98" s="2407"/>
      <c r="Y98" s="2407"/>
      <c r="Z98" s="2407"/>
      <c r="AA98" s="2407"/>
      <c r="AB98" s="2407"/>
      <c r="AC98" s="2407"/>
      <c r="AD98" s="2407"/>
      <c r="AE98" s="2407"/>
      <c r="AF98" s="2407"/>
      <c r="AG98" s="2407"/>
      <c r="AH98" s="2407"/>
      <c r="AI98" s="2407"/>
      <c r="AJ98" s="2408"/>
      <c r="AK98" s="543"/>
      <c r="AL98" s="540"/>
      <c r="AM98" s="540"/>
      <c r="AN98" s="535"/>
    </row>
    <row r="99" spans="1:47" s="536" customFormat="1" ht="12.75" customHeight="1">
      <c r="A99" s="538"/>
      <c r="B99" s="539"/>
      <c r="C99" s="539"/>
      <c r="D99" s="539"/>
      <c r="E99" s="2409"/>
      <c r="F99" s="2410"/>
      <c r="G99" s="2410"/>
      <c r="H99" s="2410"/>
      <c r="I99" s="2410"/>
      <c r="J99" s="2410"/>
      <c r="K99" s="2410"/>
      <c r="L99" s="2410"/>
      <c r="M99" s="2410"/>
      <c r="N99" s="2410"/>
      <c r="O99" s="2410"/>
      <c r="P99" s="2410"/>
      <c r="Q99" s="2410"/>
      <c r="R99" s="2410"/>
      <c r="S99" s="2410"/>
      <c r="T99" s="2410"/>
      <c r="U99" s="2410"/>
      <c r="V99" s="2410"/>
      <c r="W99" s="2410"/>
      <c r="X99" s="2410"/>
      <c r="Y99" s="2410"/>
      <c r="Z99" s="2410"/>
      <c r="AA99" s="2410"/>
      <c r="AB99" s="2410"/>
      <c r="AC99" s="2410"/>
      <c r="AD99" s="2410"/>
      <c r="AE99" s="2410"/>
      <c r="AF99" s="2410"/>
      <c r="AG99" s="2410"/>
      <c r="AH99" s="2410"/>
      <c r="AI99" s="2410"/>
      <c r="AJ99" s="2411"/>
      <c r="AK99" s="543"/>
      <c r="AL99" s="540"/>
      <c r="AM99" s="540"/>
      <c r="AN99" s="535"/>
    </row>
    <row r="100" spans="1:47" s="536" customFormat="1" ht="12.75" customHeight="1">
      <c r="A100" s="538"/>
      <c r="B100" s="539"/>
      <c r="C100" s="539"/>
      <c r="D100" s="539"/>
      <c r="E100" s="2409"/>
      <c r="F100" s="2410"/>
      <c r="G100" s="2410"/>
      <c r="H100" s="2410"/>
      <c r="I100" s="2410"/>
      <c r="J100" s="2410"/>
      <c r="K100" s="2410"/>
      <c r="L100" s="2410"/>
      <c r="M100" s="2410"/>
      <c r="N100" s="2410"/>
      <c r="O100" s="2410"/>
      <c r="P100" s="2410"/>
      <c r="Q100" s="2410"/>
      <c r="R100" s="2410"/>
      <c r="S100" s="2410"/>
      <c r="T100" s="2410"/>
      <c r="U100" s="2410"/>
      <c r="V100" s="2410"/>
      <c r="W100" s="2410"/>
      <c r="X100" s="2410"/>
      <c r="Y100" s="2410"/>
      <c r="Z100" s="2410"/>
      <c r="AA100" s="2410"/>
      <c r="AB100" s="2410"/>
      <c r="AC100" s="2410"/>
      <c r="AD100" s="2410"/>
      <c r="AE100" s="2410"/>
      <c r="AF100" s="2410"/>
      <c r="AG100" s="2410"/>
      <c r="AH100" s="2410"/>
      <c r="AI100" s="2410"/>
      <c r="AJ100" s="2411"/>
      <c r="AK100" s="543"/>
      <c r="AL100" s="540"/>
      <c r="AM100" s="540"/>
      <c r="AN100" s="535"/>
    </row>
    <row r="101" spans="1:47" s="536" customFormat="1" ht="12.75" customHeight="1">
      <c r="A101" s="538"/>
      <c r="B101" s="539"/>
      <c r="C101" s="539"/>
      <c r="D101" s="539"/>
      <c r="E101" s="2409"/>
      <c r="F101" s="2410"/>
      <c r="G101" s="2410"/>
      <c r="H101" s="2410"/>
      <c r="I101" s="2410"/>
      <c r="J101" s="2410"/>
      <c r="K101" s="2410"/>
      <c r="L101" s="2410"/>
      <c r="M101" s="2410"/>
      <c r="N101" s="2410"/>
      <c r="O101" s="2410"/>
      <c r="P101" s="2410"/>
      <c r="Q101" s="2410"/>
      <c r="R101" s="2410"/>
      <c r="S101" s="2410"/>
      <c r="T101" s="2410"/>
      <c r="U101" s="2410"/>
      <c r="V101" s="2410"/>
      <c r="W101" s="2410"/>
      <c r="X101" s="2410"/>
      <c r="Y101" s="2410"/>
      <c r="Z101" s="2410"/>
      <c r="AA101" s="2410"/>
      <c r="AB101" s="2410"/>
      <c r="AC101" s="2410"/>
      <c r="AD101" s="2410"/>
      <c r="AE101" s="2410"/>
      <c r="AF101" s="2410"/>
      <c r="AG101" s="2410"/>
      <c r="AH101" s="2410"/>
      <c r="AI101" s="2410"/>
      <c r="AJ101" s="241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9">
        <f>Application!AC753</f>
        <v>0.60000000000000009</v>
      </c>
      <c r="F103" s="2390"/>
      <c r="G103" s="2390"/>
      <c r="H103" s="2390"/>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9">
        <f ca="1">SUMIF(Application!AC718:AG752,0.2,Application!G718:J752)/Application!G753+SUMIF(Application!AC718:AG752,0.25,Application!G718:J752)/Application!G753+SUMIF(Application!AC718:AG752,0.3,Application!G718:J752)/Application!G753</f>
        <v>0.36538461538461536</v>
      </c>
      <c r="F104" s="2390"/>
      <c r="G104" s="2390"/>
      <c r="H104" s="2390"/>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9">
        <f ca="1">SUMIF(Application!AC718:AG752,0.35,Application!G718:J752)/Application!G753+SUMIF(Application!AC718:AG752,0.4,Application!G718:J752)/Application!G753+SUMIF(Application!AC718:AG752,0.45,Application!G718:J752)/Application!G753+SUMIF(Application!AC718:AG752,0.5,Application!G718:J752)/Application!G753</f>
        <v>5.7692307692307696E-2</v>
      </c>
      <c r="F105" s="2390"/>
      <c r="G105" s="2390"/>
      <c r="H105" s="2390"/>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7">
        <f ca="1">IF(AND(E103&lt;=0.6,OR(AND(E104&gt;=0.1,E105&gt;=0.1),AND(E104&gt;0.1,(E104+E105)&gt;=0.2))),20,0)</f>
        <v>20</v>
      </c>
      <c r="F106" s="2448"/>
      <c r="G106" s="2448"/>
      <c r="H106" s="2448"/>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28">
        <f ca="1">MAX(AP95,AP106)</f>
        <v>20</v>
      </c>
      <c r="AL109" s="2429"/>
      <c r="AM109" s="243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5" t="s">
        <v>1315</v>
      </c>
      <c r="AF112" s="2405"/>
      <c r="AG112" s="2405"/>
      <c r="AH112" s="2405"/>
      <c r="AI112" s="2405"/>
      <c r="AJ112" s="2405"/>
      <c r="AK112" s="2405"/>
      <c r="AL112" s="540"/>
      <c r="AM112" s="540"/>
      <c r="AN112" s="535"/>
      <c r="AO112" s="536" t="str">
        <f>Application!B718</f>
        <v>1 Bedroom</v>
      </c>
      <c r="AQ112" s="536">
        <f>Application!O718</f>
        <v>809</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2229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966</v>
      </c>
    </row>
    <row r="115" spans="1:52" s="536" customFormat="1" ht="12.75" customHeight="1">
      <c r="A115" s="540"/>
      <c r="B115" s="2395" t="s">
        <v>546</v>
      </c>
      <c r="C115" s="2395"/>
      <c r="D115" s="547" t="s">
        <v>1316</v>
      </c>
      <c r="E115" s="2406" t="s">
        <v>1858</v>
      </c>
      <c r="F115" s="2407"/>
      <c r="G115" s="2407"/>
      <c r="H115" s="2407"/>
      <c r="I115" s="2407"/>
      <c r="J115" s="2407"/>
      <c r="K115" s="2407"/>
      <c r="L115" s="2407"/>
      <c r="M115" s="2407"/>
      <c r="N115" s="2407"/>
      <c r="O115" s="2407"/>
      <c r="P115" s="2407"/>
      <c r="Q115" s="2407"/>
      <c r="R115" s="2407"/>
      <c r="S115" s="2407"/>
      <c r="T115" s="2407"/>
      <c r="U115" s="2407"/>
      <c r="V115" s="2407"/>
      <c r="W115" s="2407"/>
      <c r="X115" s="2407"/>
      <c r="Y115" s="2407"/>
      <c r="Z115" s="2407"/>
      <c r="AA115" s="2407"/>
      <c r="AB115" s="2407"/>
      <c r="AC115" s="2407"/>
      <c r="AD115" s="2407"/>
      <c r="AE115" s="2407"/>
      <c r="AF115" s="2407"/>
      <c r="AG115" s="2407"/>
      <c r="AH115" s="2407"/>
      <c r="AI115" s="2407"/>
      <c r="AJ115" s="2408"/>
      <c r="AK115" s="540"/>
      <c r="AL115" s="540"/>
      <c r="AM115" s="540"/>
      <c r="AN115" s="535"/>
      <c r="AO115" s="536" t="str">
        <f>Application!B721</f>
        <v>2 Bedrooms</v>
      </c>
      <c r="AQ115" s="536">
        <f>Application!O721</f>
        <v>1647.5</v>
      </c>
      <c r="AU115" s="536" t="s">
        <v>1841</v>
      </c>
      <c r="AV115" s="595" t="s">
        <v>1842</v>
      </c>
      <c r="AW115" s="536" t="s">
        <v>1843</v>
      </c>
    </row>
    <row r="116" spans="1:52" s="536" customFormat="1" ht="12.75" customHeight="1">
      <c r="A116" s="540"/>
      <c r="B116" s="539"/>
      <c r="C116" s="539"/>
      <c r="D116" s="539"/>
      <c r="E116" s="2409"/>
      <c r="F116" s="2410"/>
      <c r="G116" s="2410"/>
      <c r="H116" s="2410"/>
      <c r="I116" s="2410"/>
      <c r="J116" s="2410"/>
      <c r="K116" s="2410"/>
      <c r="L116" s="2410"/>
      <c r="M116" s="2410"/>
      <c r="N116" s="2410"/>
      <c r="O116" s="2410"/>
      <c r="P116" s="2410"/>
      <c r="Q116" s="2410"/>
      <c r="R116" s="2410"/>
      <c r="S116" s="2410"/>
      <c r="T116" s="2410"/>
      <c r="U116" s="2410"/>
      <c r="V116" s="2410"/>
      <c r="W116" s="2410"/>
      <c r="X116" s="2410"/>
      <c r="Y116" s="2410"/>
      <c r="Z116" s="2410"/>
      <c r="AA116" s="2410"/>
      <c r="AB116" s="2410"/>
      <c r="AC116" s="2410"/>
      <c r="AD116" s="2410"/>
      <c r="AE116" s="2410"/>
      <c r="AF116" s="2410"/>
      <c r="AG116" s="2410"/>
      <c r="AH116" s="2410"/>
      <c r="AI116" s="2410"/>
      <c r="AJ116" s="2411"/>
      <c r="AK116" s="540"/>
      <c r="AL116" s="540"/>
      <c r="AM116" s="540"/>
      <c r="AN116" s="535"/>
      <c r="AO116" s="536" t="str">
        <f>Application!B722</f>
        <v>2 Bedrooms</v>
      </c>
      <c r="AQ116" s="536">
        <f>Application!O722</f>
        <v>2670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9"/>
      <c r="F117" s="2410"/>
      <c r="G117" s="2410"/>
      <c r="H117" s="2410"/>
      <c r="I117" s="2410"/>
      <c r="J117" s="2410"/>
      <c r="K117" s="2410"/>
      <c r="L117" s="2410"/>
      <c r="M117" s="2410"/>
      <c r="N117" s="2410"/>
      <c r="O117" s="2410"/>
      <c r="P117" s="2410"/>
      <c r="Q117" s="2410"/>
      <c r="R117" s="2410"/>
      <c r="S117" s="2410"/>
      <c r="T117" s="2410"/>
      <c r="U117" s="2410"/>
      <c r="V117" s="2410"/>
      <c r="W117" s="2410"/>
      <c r="X117" s="2410"/>
      <c r="Y117" s="2410"/>
      <c r="Z117" s="2410"/>
      <c r="AA117" s="2410"/>
      <c r="AB117" s="2410"/>
      <c r="AC117" s="2410"/>
      <c r="AD117" s="2410"/>
      <c r="AE117" s="2410"/>
      <c r="AF117" s="2410"/>
      <c r="AG117" s="2410"/>
      <c r="AH117" s="2410"/>
      <c r="AI117" s="2410"/>
      <c r="AJ117" s="2411"/>
      <c r="AK117" s="540"/>
      <c r="AL117" s="540"/>
      <c r="AM117" s="540"/>
      <c r="AN117" s="535"/>
      <c r="AO117" s="536" t="str">
        <f>Application!B723</f>
        <v>3 Bedrooms</v>
      </c>
      <c r="AQ117" s="536">
        <f>Application!O723</f>
        <v>1113.5</v>
      </c>
      <c r="AU117" s="856" t="str">
        <f>J124</f>
        <v>1-bedroom</v>
      </c>
      <c r="AV117" s="536">
        <f t="array" ref="AV117">SUM(IF(Application!B718:F752="1 Bedroom",Application!G718:J752))</f>
        <v>45</v>
      </c>
      <c r="AW117" s="1011">
        <f>AV117/AV122</f>
        <v>0.43269230769230771</v>
      </c>
    </row>
    <row r="118" spans="1:52" s="536" customFormat="1" ht="12.75" customHeight="1">
      <c r="A118" s="540"/>
      <c r="B118" s="539"/>
      <c r="C118" s="539"/>
      <c r="D118" s="539"/>
      <c r="E118" s="2409"/>
      <c r="F118" s="2410"/>
      <c r="G118" s="2410"/>
      <c r="H118" s="2410"/>
      <c r="I118" s="2410"/>
      <c r="J118" s="2410"/>
      <c r="K118" s="2410"/>
      <c r="L118" s="2410"/>
      <c r="M118" s="2410"/>
      <c r="N118" s="2410"/>
      <c r="O118" s="2410"/>
      <c r="P118" s="2410"/>
      <c r="Q118" s="2410"/>
      <c r="R118" s="2410"/>
      <c r="S118" s="2410"/>
      <c r="T118" s="2410"/>
      <c r="U118" s="2410"/>
      <c r="V118" s="2410"/>
      <c r="W118" s="2410"/>
      <c r="X118" s="2410"/>
      <c r="Y118" s="2410"/>
      <c r="Z118" s="2410"/>
      <c r="AA118" s="2410"/>
      <c r="AB118" s="2410"/>
      <c r="AC118" s="2410"/>
      <c r="AD118" s="2410"/>
      <c r="AE118" s="2410"/>
      <c r="AF118" s="2410"/>
      <c r="AG118" s="2410"/>
      <c r="AH118" s="2410"/>
      <c r="AI118" s="2410"/>
      <c r="AJ118" s="2411"/>
      <c r="AK118" s="540"/>
      <c r="AL118" s="540"/>
      <c r="AM118" s="540"/>
      <c r="AN118" s="535"/>
      <c r="AO118" s="536" t="str">
        <f>Application!B724</f>
        <v>3 Bedrooms</v>
      </c>
      <c r="AQ118" s="536">
        <f>Application!O724</f>
        <v>1901.5</v>
      </c>
      <c r="AU118" s="856" t="str">
        <f>O124</f>
        <v>2-bedroom</v>
      </c>
      <c r="AV118" s="536">
        <f t="array" ref="AV118">SUM(IF(Application!B718:F752="2 Bedrooms",Application!G718:J752))</f>
        <v>29</v>
      </c>
      <c r="AW118" s="1011">
        <f>AV118/AV122</f>
        <v>0.27884615384615385</v>
      </c>
    </row>
    <row r="119" spans="1:52" s="536" customFormat="1" ht="12.75" customHeight="1">
      <c r="A119" s="540"/>
      <c r="B119" s="539"/>
      <c r="C119" s="539"/>
      <c r="D119" s="539"/>
      <c r="E119" s="2409"/>
      <c r="F119" s="2410"/>
      <c r="G119" s="2410"/>
      <c r="H119" s="2410"/>
      <c r="I119" s="2410"/>
      <c r="J119" s="2410"/>
      <c r="K119" s="2410"/>
      <c r="L119" s="2410"/>
      <c r="M119" s="2410"/>
      <c r="N119" s="2410"/>
      <c r="O119" s="2410"/>
      <c r="P119" s="2410"/>
      <c r="Q119" s="2410"/>
      <c r="R119" s="2410"/>
      <c r="S119" s="2410"/>
      <c r="T119" s="2410"/>
      <c r="U119" s="2410"/>
      <c r="V119" s="2410"/>
      <c r="W119" s="2410"/>
      <c r="X119" s="2410"/>
      <c r="Y119" s="2410"/>
      <c r="Z119" s="2410"/>
      <c r="AA119" s="2410"/>
      <c r="AB119" s="2410"/>
      <c r="AC119" s="2410"/>
      <c r="AD119" s="2410"/>
      <c r="AE119" s="2410"/>
      <c r="AF119" s="2410"/>
      <c r="AG119" s="2410"/>
      <c r="AH119" s="2410"/>
      <c r="AI119" s="2410"/>
      <c r="AJ119" s="2411"/>
      <c r="AK119" s="540"/>
      <c r="AL119" s="540"/>
      <c r="AM119" s="540"/>
      <c r="AN119" s="535"/>
      <c r="AO119" s="536" t="str">
        <f>Application!B725</f>
        <v>3 Bedrooms</v>
      </c>
      <c r="AQ119" s="536">
        <f>Application!O725</f>
        <v>3083</v>
      </c>
      <c r="AU119" s="856" t="str">
        <f>T124</f>
        <v>3-bedroom</v>
      </c>
      <c r="AV119" s="536">
        <f t="array" ref="AV119">SUM(IF(Application!B718:F752="3 Bedrooms",Application!G718:J752))</f>
        <v>30</v>
      </c>
      <c r="AW119" s="1011">
        <f>AV119/AV122</f>
        <v>0.28846153846153844</v>
      </c>
    </row>
    <row r="120" spans="1:52" s="536" customFormat="1" ht="12.75" customHeight="1">
      <c r="A120" s="540"/>
      <c r="B120" s="539"/>
      <c r="C120" s="539"/>
      <c r="D120" s="539"/>
      <c r="E120" s="2409"/>
      <c r="F120" s="2410"/>
      <c r="G120" s="2410"/>
      <c r="H120" s="2410"/>
      <c r="I120" s="2410"/>
      <c r="J120" s="2410"/>
      <c r="K120" s="2410"/>
      <c r="L120" s="2410"/>
      <c r="M120" s="2410"/>
      <c r="N120" s="2410"/>
      <c r="O120" s="2410"/>
      <c r="P120" s="2410"/>
      <c r="Q120" s="2410"/>
      <c r="R120" s="2410"/>
      <c r="S120" s="2410"/>
      <c r="T120" s="2410"/>
      <c r="U120" s="2410"/>
      <c r="V120" s="2410"/>
      <c r="W120" s="2410"/>
      <c r="X120" s="2410"/>
      <c r="Y120" s="2410"/>
      <c r="Z120" s="2410"/>
      <c r="AA120" s="2410"/>
      <c r="AB120" s="2410"/>
      <c r="AC120" s="2410"/>
      <c r="AD120" s="2410"/>
      <c r="AE120" s="2410"/>
      <c r="AF120" s="2410"/>
      <c r="AG120" s="2410"/>
      <c r="AH120" s="2410"/>
      <c r="AI120" s="2410"/>
      <c r="AJ120" s="2411"/>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9"/>
      <c r="F121" s="2410"/>
      <c r="G121" s="2410"/>
      <c r="H121" s="2410"/>
      <c r="I121" s="2410"/>
      <c r="J121" s="2410"/>
      <c r="K121" s="2410"/>
      <c r="L121" s="2410"/>
      <c r="M121" s="2410"/>
      <c r="N121" s="2410"/>
      <c r="O121" s="2410"/>
      <c r="P121" s="2410"/>
      <c r="Q121" s="2410"/>
      <c r="R121" s="2410"/>
      <c r="S121" s="2410"/>
      <c r="T121" s="2410"/>
      <c r="U121" s="2410"/>
      <c r="V121" s="2410"/>
      <c r="W121" s="2410"/>
      <c r="X121" s="2410"/>
      <c r="Y121" s="2410"/>
      <c r="Z121" s="2410"/>
      <c r="AA121" s="2410"/>
      <c r="AB121" s="2410"/>
      <c r="AC121" s="2410"/>
      <c r="AD121" s="2410"/>
      <c r="AE121" s="2410"/>
      <c r="AF121" s="2410"/>
      <c r="AG121" s="2410"/>
      <c r="AH121" s="2410"/>
      <c r="AI121" s="2410"/>
      <c r="AJ121" s="2411"/>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9"/>
      <c r="F122" s="2410"/>
      <c r="G122" s="2410"/>
      <c r="H122" s="2410"/>
      <c r="I122" s="2410"/>
      <c r="J122" s="2410"/>
      <c r="K122" s="2410"/>
      <c r="L122" s="2410"/>
      <c r="M122" s="2410"/>
      <c r="N122" s="2410"/>
      <c r="O122" s="2410"/>
      <c r="P122" s="2410"/>
      <c r="Q122" s="2410"/>
      <c r="R122" s="2410"/>
      <c r="S122" s="2410"/>
      <c r="T122" s="2410"/>
      <c r="U122" s="2410"/>
      <c r="V122" s="2410"/>
      <c r="W122" s="2410"/>
      <c r="X122" s="2410"/>
      <c r="Y122" s="2410"/>
      <c r="Z122" s="2410"/>
      <c r="AA122" s="2410"/>
      <c r="AB122" s="2410"/>
      <c r="AC122" s="2410"/>
      <c r="AD122" s="2410"/>
      <c r="AE122" s="2410"/>
      <c r="AF122" s="2410"/>
      <c r="AG122" s="2410"/>
      <c r="AH122" s="2410"/>
      <c r="AI122" s="2410"/>
      <c r="AJ122" s="2411"/>
      <c r="AK122" s="540"/>
      <c r="AL122" s="540"/>
      <c r="AM122" s="540"/>
      <c r="AN122" s="535"/>
      <c r="AO122" s="536">
        <f>Application!B728</f>
        <v>0</v>
      </c>
      <c r="AQ122" s="536">
        <f>Application!O728</f>
        <v>0</v>
      </c>
      <c r="AV122" s="536">
        <f>SUM(AV116:AV121)</f>
        <v>104</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9" t="s">
        <v>1589</v>
      </c>
      <c r="F124" s="2390"/>
      <c r="G124" s="2390"/>
      <c r="H124" s="2390"/>
      <c r="I124" s="577"/>
      <c r="J124" s="2390" t="s">
        <v>1632</v>
      </c>
      <c r="K124" s="2390"/>
      <c r="L124" s="2390"/>
      <c r="M124" s="2390"/>
      <c r="N124" s="577"/>
      <c r="O124" s="2390" t="s">
        <v>1633</v>
      </c>
      <c r="P124" s="2390"/>
      <c r="Q124" s="2390"/>
      <c r="R124" s="2390"/>
      <c r="S124" s="577"/>
      <c r="T124" s="2390" t="s">
        <v>1335</v>
      </c>
      <c r="U124" s="2390"/>
      <c r="V124" s="2390"/>
      <c r="W124" s="2390"/>
      <c r="X124" s="577"/>
      <c r="Y124" s="2390" t="s">
        <v>1634</v>
      </c>
      <c r="Z124" s="2390"/>
      <c r="AA124" s="2390"/>
      <c r="AB124" s="2390"/>
      <c r="AC124" s="577"/>
      <c r="AD124" s="2390" t="s">
        <v>1635</v>
      </c>
      <c r="AE124" s="2390"/>
      <c r="AF124" s="2390"/>
      <c r="AG124" s="2390"/>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9"/>
      <c r="F127" s="2450"/>
      <c r="G127" s="2450"/>
      <c r="H127" s="2450"/>
      <c r="I127" s="864"/>
      <c r="J127" s="2450">
        <v>3138</v>
      </c>
      <c r="K127" s="2450"/>
      <c r="L127" s="2450"/>
      <c r="M127" s="2450"/>
      <c r="N127" s="864"/>
      <c r="O127" s="2450">
        <v>3334</v>
      </c>
      <c r="P127" s="2450"/>
      <c r="Q127" s="2450"/>
      <c r="R127" s="2450"/>
      <c r="S127" s="864"/>
      <c r="T127" s="2450">
        <v>4811</v>
      </c>
      <c r="U127" s="2450"/>
      <c r="V127" s="2450"/>
      <c r="W127" s="2450"/>
      <c r="X127" s="864"/>
      <c r="Y127" s="2450"/>
      <c r="Z127" s="2450"/>
      <c r="AA127" s="2450"/>
      <c r="AB127" s="2450"/>
      <c r="AC127" s="864"/>
      <c r="AD127" s="2450"/>
      <c r="AE127" s="2450"/>
      <c r="AF127" s="2450"/>
      <c r="AG127" s="2450"/>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2">
        <f>Application!DX670</f>
        <v>0</v>
      </c>
      <c r="F130" s="2443"/>
      <c r="G130" s="2443"/>
      <c r="H130" s="2443"/>
      <c r="I130" s="864"/>
      <c r="J130" s="2443">
        <f>Application!EC670</f>
        <v>1219.2222222222222</v>
      </c>
      <c r="K130" s="2443"/>
      <c r="L130" s="2443"/>
      <c r="M130" s="2443"/>
      <c r="N130" s="864"/>
      <c r="O130" s="2443">
        <f>Application!EH670</f>
        <v>2387.9482758620688</v>
      </c>
      <c r="P130" s="2443"/>
      <c r="Q130" s="2443"/>
      <c r="R130" s="2443"/>
      <c r="S130" s="868"/>
      <c r="T130" s="2443">
        <f>Application!EM670</f>
        <v>2767.9</v>
      </c>
      <c r="U130" s="2443"/>
      <c r="V130" s="2443"/>
      <c r="W130" s="2443"/>
      <c r="X130" s="868"/>
      <c r="Y130" s="2443">
        <f>Application!ER670</f>
        <v>0</v>
      </c>
      <c r="Z130" s="2443"/>
      <c r="AA130" s="2443"/>
      <c r="AB130" s="2443"/>
      <c r="AC130" s="868"/>
      <c r="AD130" s="2443">
        <f>Application!EW670</f>
        <v>0</v>
      </c>
      <c r="AE130" s="2443"/>
      <c r="AF130" s="2443"/>
      <c r="AG130" s="244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1" t="e">
        <f>(E127-E130)/E127</f>
        <v>#DIV/0!</v>
      </c>
      <c r="F133" s="2392"/>
      <c r="G133" s="2392"/>
      <c r="H133" s="2642"/>
      <c r="I133" s="577"/>
      <c r="J133" s="2641">
        <f>(J127-J130)/J127</f>
        <v>0.61146519368316699</v>
      </c>
      <c r="K133" s="2392"/>
      <c r="L133" s="2392"/>
      <c r="M133" s="2642"/>
      <c r="N133" s="577"/>
      <c r="O133" s="2641">
        <f>(O127-O130)/O127</f>
        <v>0.28375876548828172</v>
      </c>
      <c r="P133" s="2392"/>
      <c r="Q133" s="2392"/>
      <c r="R133" s="2642"/>
      <c r="S133" s="577"/>
      <c r="T133" s="2641">
        <f>(T127-T130)/T127</f>
        <v>0.42467262523383909</v>
      </c>
      <c r="U133" s="2392"/>
      <c r="V133" s="2392"/>
      <c r="W133" s="2642"/>
      <c r="X133" s="577"/>
      <c r="Y133" s="2641" t="e">
        <f>(Y127-Y130)/Y127</f>
        <v>#DIV/0!</v>
      </c>
      <c r="Z133" s="2392"/>
      <c r="AA133" s="2392"/>
      <c r="AB133" s="2642"/>
      <c r="AC133" s="577"/>
      <c r="AD133" s="2641" t="e">
        <f>(AD127-AD130)/AD127</f>
        <v>#DIV/0!</v>
      </c>
      <c r="AE133" s="2392"/>
      <c r="AF133" s="2392"/>
      <c r="AG133" s="264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4" t="e">
        <f>IF(((E133-0.1)*AW116)&gt;0,((E133-0.1)*AW116),0)</f>
        <v>#DIV/0!</v>
      </c>
      <c r="F136" s="2445"/>
      <c r="G136" s="2445"/>
      <c r="H136" s="2446"/>
      <c r="I136" s="577"/>
      <c r="J136" s="2444">
        <f>IF(((J133-0.1)*AW117)&gt;0,((J133-0.1)*AW117),0)</f>
        <v>0.22130705495906267</v>
      </c>
      <c r="K136" s="2445"/>
      <c r="L136" s="2445"/>
      <c r="M136" s="2446"/>
      <c r="N136" s="577"/>
      <c r="O136" s="2444">
        <f>IF(((O133-0.1)*AW118)&gt;0,((O133-0.1)*AW118),0)</f>
        <v>5.1240424991924709E-2</v>
      </c>
      <c r="P136" s="2445"/>
      <c r="Q136" s="2445"/>
      <c r="R136" s="2446"/>
      <c r="S136" s="577"/>
      <c r="T136" s="2444">
        <f>IF(((T133-0.1)*AW119)&gt;0,((T133-0.1)*AW119),0)</f>
        <v>9.3655564971299732E-2</v>
      </c>
      <c r="U136" s="2445"/>
      <c r="V136" s="2445"/>
      <c r="W136" s="2446"/>
      <c r="X136" s="577"/>
      <c r="Y136" s="2444" t="e">
        <f>IF(((Y133-0.1)*AW120)&gt;0,((Y133-0.1)*AW120),0)</f>
        <v>#DIV/0!</v>
      </c>
      <c r="Z136" s="2445"/>
      <c r="AA136" s="2445"/>
      <c r="AB136" s="2446"/>
      <c r="AC136" s="577"/>
      <c r="AD136" s="2444" t="e">
        <f>IF(((AD133-0.1)*AW121)&gt;0,((AD133-0.1)*AW121),0)</f>
        <v>#DIV/0!</v>
      </c>
      <c r="AE136" s="2445"/>
      <c r="AF136" s="2445"/>
      <c r="AG136" s="244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1">
        <f>ROUNDDOWN(SUMIF(E136:AG136,"&gt;0"),2)</f>
        <v>0.36</v>
      </c>
      <c r="F138" s="2392"/>
      <c r="G138" s="2392"/>
      <c r="H138" s="2642"/>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8">
        <f>IF((E138*100)&gt;10,10,E138*100)</f>
        <v>10</v>
      </c>
      <c r="F139" s="2429"/>
      <c r="G139" s="2429"/>
      <c r="H139" s="2430"/>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28">
        <f>E139</f>
        <v>10</v>
      </c>
      <c r="AL143" s="2429"/>
      <c r="AM143" s="243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5" t="s">
        <v>1315</v>
      </c>
      <c r="AF146" s="2405"/>
      <c r="AG146" s="2405"/>
      <c r="AH146" s="2405"/>
      <c r="AI146" s="2405"/>
      <c r="AJ146" s="2405"/>
      <c r="AK146" s="2405"/>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0" t="s">
        <v>1339</v>
      </c>
      <c r="AG148" s="2440"/>
      <c r="AH148" s="2440"/>
      <c r="AI148" s="2440"/>
      <c r="AJ148" s="2440"/>
      <c r="AK148" s="2440"/>
      <c r="AL148" s="2440"/>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1" t="s">
        <v>2721</v>
      </c>
      <c r="C150" s="2441"/>
      <c r="D150" s="2441"/>
      <c r="E150" s="2441"/>
      <c r="F150" s="2441"/>
      <c r="G150" s="2441"/>
      <c r="H150" s="2441"/>
      <c r="I150" s="2441"/>
      <c r="J150" s="2441"/>
      <c r="K150" s="2441"/>
      <c r="L150" s="2441"/>
      <c r="M150" s="2441"/>
      <c r="N150" s="2441"/>
      <c r="O150" s="2441"/>
      <c r="P150" s="2441"/>
      <c r="Q150" s="2441"/>
      <c r="R150" s="2441"/>
      <c r="S150" s="2441"/>
      <c r="T150" s="2441"/>
      <c r="U150" s="2441"/>
      <c r="V150" s="2441"/>
      <c r="W150" s="2441"/>
      <c r="X150" s="2441"/>
      <c r="Y150" s="2441"/>
      <c r="Z150" s="2441"/>
      <c r="AA150" s="2441"/>
      <c r="AB150" s="2441"/>
      <c r="AC150" s="244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7" t="s">
        <v>2253</v>
      </c>
      <c r="C153" s="2467"/>
      <c r="D153" s="2467"/>
      <c r="E153" s="2467"/>
      <c r="F153" s="2467"/>
      <c r="G153" s="2467"/>
      <c r="H153" s="2467"/>
      <c r="I153" s="2467"/>
      <c r="J153" s="2467"/>
      <c r="K153" s="2467"/>
      <c r="L153" s="2467"/>
      <c r="M153" s="2467"/>
      <c r="N153" s="2467"/>
      <c r="O153" s="2467"/>
      <c r="P153" s="2467"/>
      <c r="Q153" s="2467"/>
      <c r="R153" s="2467"/>
      <c r="S153" s="2467"/>
      <c r="T153" s="2467"/>
      <c r="U153" s="2467"/>
      <c r="V153" s="2467"/>
      <c r="W153" s="2467"/>
      <c r="X153" s="2467"/>
      <c r="Y153" s="2467"/>
      <c r="Z153" s="2467"/>
      <c r="AA153" s="2467"/>
      <c r="AB153" s="2467"/>
      <c r="AC153" s="2467"/>
      <c r="AD153" s="2467"/>
      <c r="AE153" s="2467"/>
      <c r="AF153" s="2467"/>
      <c r="AG153" s="2467"/>
      <c r="AH153" s="2467"/>
      <c r="AI153" s="2467"/>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468" t="s">
        <v>592</v>
      </c>
      <c r="AC155" s="246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7" t="s">
        <v>1344</v>
      </c>
      <c r="C158" s="2467"/>
      <c r="D158" s="2467"/>
      <c r="E158" s="2467"/>
      <c r="F158" s="2467"/>
      <c r="G158" s="2467"/>
      <c r="H158" s="2467"/>
      <c r="I158" s="2467"/>
      <c r="J158" s="2467"/>
      <c r="K158" s="2467"/>
      <c r="L158" s="2467"/>
      <c r="M158" s="2467"/>
      <c r="N158" s="2467"/>
      <c r="O158" s="2467"/>
      <c r="P158" s="2467"/>
      <c r="Q158" s="2467"/>
      <c r="R158" s="2467"/>
      <c r="S158" s="2467"/>
      <c r="T158" s="2467"/>
      <c r="U158" s="2467"/>
      <c r="V158" s="2467"/>
      <c r="W158" s="2467"/>
      <c r="X158" s="2467"/>
      <c r="Y158" s="2467"/>
      <c r="Z158" s="2467"/>
      <c r="AA158" s="2467"/>
      <c r="AB158" s="2467"/>
      <c r="AC158" s="2467"/>
      <c r="AD158" s="2467"/>
      <c r="AE158" s="2467"/>
      <c r="AF158" s="2467"/>
      <c r="AG158" s="2467"/>
      <c r="AH158" s="2467"/>
      <c r="AI158" s="2467"/>
      <c r="AJ158" s="2467"/>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8" t="s">
        <v>2476</v>
      </c>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80"/>
      <c r="AM161" s="539"/>
      <c r="AN161" s="535"/>
      <c r="AO161" s="476"/>
      <c r="AP161" s="489"/>
    </row>
    <row r="162" spans="1:42" s="536" customFormat="1" ht="12.75" customHeight="1">
      <c r="B162" s="2628"/>
      <c r="C162" s="2628"/>
      <c r="D162" s="2628"/>
      <c r="E162" s="2628"/>
      <c r="F162" s="2628"/>
      <c r="G162" s="2628"/>
      <c r="H162" s="2628"/>
      <c r="I162" s="2628"/>
      <c r="J162" s="2628"/>
      <c r="K162" s="2628"/>
      <c r="L162" s="2628"/>
      <c r="M162" s="2628"/>
      <c r="N162" s="2628"/>
      <c r="O162" s="2628"/>
      <c r="P162" s="2628"/>
      <c r="Q162" s="2628"/>
      <c r="R162" s="2628"/>
      <c r="S162" s="2628"/>
      <c r="T162" s="2628"/>
      <c r="U162" s="2628"/>
      <c r="V162" s="2628"/>
      <c r="W162" s="2628"/>
      <c r="X162" s="2628"/>
      <c r="Y162" s="2628"/>
      <c r="Z162" s="2628"/>
      <c r="AA162" s="2628"/>
      <c r="AB162" s="2628"/>
      <c r="AC162" s="2628"/>
      <c r="AD162" s="2628"/>
      <c r="AE162" s="2628"/>
      <c r="AF162" s="2628"/>
      <c r="AG162" s="2628"/>
      <c r="AH162" s="2628"/>
      <c r="AI162" s="2628"/>
      <c r="AJ162" s="2628"/>
      <c r="AK162" s="1180"/>
      <c r="AM162" s="539"/>
      <c r="AN162" s="535"/>
      <c r="AO162" s="476"/>
      <c r="AP162" s="489"/>
    </row>
    <row r="163" spans="1:42" s="536" customFormat="1" ht="12.75" customHeight="1">
      <c r="C163" s="2531" t="s">
        <v>2477</v>
      </c>
      <c r="D163" s="2531"/>
      <c r="E163" s="2531"/>
      <c r="F163" s="2531"/>
      <c r="G163" s="2531"/>
      <c r="H163" s="2531"/>
      <c r="I163" s="2531"/>
      <c r="J163" s="2531"/>
      <c r="K163" s="2531"/>
      <c r="L163" s="2531"/>
      <c r="M163" s="2531"/>
      <c r="N163" s="2531"/>
      <c r="O163" s="2531"/>
      <c r="P163" s="2531"/>
      <c r="Q163" s="2531"/>
      <c r="R163" s="2531"/>
      <c r="S163" s="2531"/>
      <c r="T163" s="2531"/>
      <c r="U163" s="2531"/>
      <c r="V163" s="2531"/>
      <c r="W163" s="2531"/>
      <c r="X163" s="2531"/>
      <c r="Y163" s="2531"/>
      <c r="Z163" s="2531"/>
      <c r="AA163" s="2531"/>
      <c r="AB163" s="2531"/>
      <c r="AC163" s="2531"/>
      <c r="AD163" s="2531"/>
      <c r="AE163" s="2531"/>
      <c r="AF163" s="2531"/>
      <c r="AG163" s="2531"/>
      <c r="AH163" s="2531"/>
      <c r="AI163" s="2531"/>
      <c r="AJ163" s="2531"/>
      <c r="AK163" s="1180"/>
      <c r="AM163" s="539"/>
      <c r="AN163" s="535"/>
      <c r="AO163" s="476"/>
      <c r="AP163" s="489"/>
    </row>
    <row r="164" spans="1:42" s="536" customFormat="1" ht="12.75" customHeight="1">
      <c r="B164" s="1180"/>
      <c r="C164" s="2466" t="s">
        <v>2475</v>
      </c>
      <c r="D164" s="2466"/>
      <c r="E164" s="2466"/>
      <c r="F164" s="2466"/>
      <c r="G164" s="2466"/>
      <c r="H164" s="2466"/>
      <c r="I164" s="2466"/>
      <c r="J164" s="2466"/>
      <c r="K164" s="2466"/>
      <c r="L164" s="2466"/>
      <c r="M164" s="2466"/>
      <c r="N164" s="2466"/>
      <c r="O164" s="2466"/>
      <c r="P164" s="2466"/>
      <c r="Q164" s="2466"/>
      <c r="R164" s="2466"/>
      <c r="S164" s="2466"/>
      <c r="T164" s="2466"/>
      <c r="U164" s="2466"/>
      <c r="V164" s="2466"/>
      <c r="W164" s="2466"/>
      <c r="X164" s="2466"/>
      <c r="Y164" s="2466"/>
      <c r="Z164" s="2466"/>
      <c r="AA164" s="1170"/>
      <c r="AB164" s="1170"/>
      <c r="AC164" s="1170"/>
      <c r="AD164" s="1170"/>
      <c r="AE164" s="1170"/>
      <c r="AF164" s="1170"/>
      <c r="AG164" s="1170"/>
      <c r="AH164" s="1170"/>
      <c r="AJ164" s="2468" t="s">
        <v>546</v>
      </c>
      <c r="AK164" s="246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1">
        <f>IF($AB$155="N/A",VLOOKUP($B$153,$AO$151:$AP$154,2,FALSE),VLOOKUP($B$158,$AO$156:$AP$158,2,FALSE))</f>
        <v>7</v>
      </c>
      <c r="AK166" s="247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0" t="s">
        <v>1353</v>
      </c>
      <c r="AG168" s="2440"/>
      <c r="AH168" s="2440"/>
      <c r="AI168" s="2440"/>
      <c r="AJ168" s="2440"/>
      <c r="AK168" s="2440"/>
      <c r="AL168" s="2440"/>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7" t="s">
        <v>1351</v>
      </c>
      <c r="D170" s="2467"/>
      <c r="E170" s="2467"/>
      <c r="F170" s="2467"/>
      <c r="G170" s="2467"/>
      <c r="H170" s="2467"/>
      <c r="I170" s="2467"/>
      <c r="J170" s="2467"/>
      <c r="K170" s="2467"/>
      <c r="L170" s="2467"/>
      <c r="M170" s="2467"/>
      <c r="N170" s="2467"/>
      <c r="O170" s="2467"/>
      <c r="P170" s="2467"/>
      <c r="Q170" s="2467"/>
      <c r="R170" s="2467"/>
      <c r="S170" s="2467"/>
      <c r="T170" s="2467"/>
      <c r="U170" s="2467"/>
      <c r="V170" s="2467"/>
      <c r="W170" s="2467"/>
      <c r="X170" s="2467"/>
      <c r="Y170" s="2467"/>
      <c r="Z170" s="2467"/>
      <c r="AA170" s="2467"/>
      <c r="AB170" s="2467"/>
      <c r="AC170" s="2467"/>
      <c r="AD170" s="2467"/>
      <c r="AE170" s="2467"/>
      <c r="AF170" s="2467"/>
      <c r="AG170" s="2467"/>
      <c r="AH170" s="2467"/>
      <c r="AI170" s="2467"/>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8" t="s">
        <v>592</v>
      </c>
      <c r="AG172" s="2468"/>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7" t="s">
        <v>1344</v>
      </c>
      <c r="D174" s="2467"/>
      <c r="E174" s="2467"/>
      <c r="F174" s="2467"/>
      <c r="G174" s="2467"/>
      <c r="H174" s="2467"/>
      <c r="I174" s="2467"/>
      <c r="J174" s="2467"/>
      <c r="K174" s="2467"/>
      <c r="L174" s="2467"/>
      <c r="M174" s="2467"/>
      <c r="N174" s="2467"/>
      <c r="O174" s="2467"/>
      <c r="P174" s="2467"/>
      <c r="Q174" s="2467"/>
      <c r="R174" s="2467"/>
      <c r="S174" s="2467"/>
      <c r="T174" s="2467"/>
      <c r="U174" s="2467"/>
      <c r="V174" s="2467"/>
      <c r="W174" s="2467"/>
      <c r="X174" s="2467"/>
      <c r="Y174" s="2467"/>
      <c r="Z174" s="2467"/>
      <c r="AA174" s="2467"/>
      <c r="AB174" s="2467"/>
      <c r="AC174" s="2467"/>
      <c r="AD174" s="2467"/>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69" t="str">
        <f>Application!AA335</f>
        <v>FPI Management</v>
      </c>
      <c r="D178" s="2469"/>
      <c r="E178" s="2469"/>
      <c r="F178" s="2469"/>
      <c r="G178" s="2469"/>
      <c r="H178" s="2469"/>
      <c r="I178" s="2469"/>
      <c r="J178" s="2469"/>
      <c r="K178" s="2469"/>
      <c r="L178" s="2469"/>
      <c r="M178" s="2469"/>
      <c r="N178" s="2469"/>
      <c r="O178" s="2469"/>
      <c r="P178" s="2469"/>
      <c r="Q178" s="2469"/>
      <c r="R178" s="2469"/>
      <c r="S178" s="2469"/>
      <c r="T178" s="2469"/>
      <c r="U178" s="2469"/>
      <c r="V178" s="2469"/>
      <c r="W178" s="2469"/>
      <c r="X178" s="2469"/>
      <c r="Y178" s="2469"/>
      <c r="Z178" s="2469"/>
      <c r="AA178" s="2469"/>
      <c r="AB178" s="2469"/>
      <c r="AC178" s="2469"/>
      <c r="AD178" s="2469"/>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0">
        <f>IF($AF$172="N/A",VLOOKUP($C$170,$AO$170:$AP$173,2,FALSE),VLOOKUP($C$174,$AO$177:$AP$179,2,FALSE))</f>
        <v>3</v>
      </c>
      <c r="AK180" s="247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28">
        <f>$AJ$166+$AJ$180</f>
        <v>10</v>
      </c>
      <c r="AL183" s="2429"/>
      <c r="AM183" s="243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5" t="s">
        <v>1315</v>
      </c>
      <c r="AF186" s="2405"/>
      <c r="AG186" s="2405"/>
      <c r="AH186" s="2405"/>
      <c r="AI186" s="2405"/>
      <c r="AJ186" s="2405"/>
      <c r="AK186" s="2405"/>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5" t="s">
        <v>1042</v>
      </c>
      <c r="C188" s="2465"/>
      <c r="D188" s="2465"/>
      <c r="E188" s="2465"/>
      <c r="F188" s="2465"/>
      <c r="G188" s="2465"/>
      <c r="H188" s="2465"/>
      <c r="I188" s="2465"/>
      <c r="J188" s="2465"/>
      <c r="K188" s="2465"/>
      <c r="L188" s="2465"/>
      <c r="M188" s="2465"/>
      <c r="N188" s="2465"/>
      <c r="O188" s="2465"/>
      <c r="P188" s="2465"/>
      <c r="Q188" s="2465"/>
      <c r="R188" s="2465"/>
      <c r="S188" s="2465"/>
      <c r="T188" s="2465"/>
      <c r="U188" s="2465"/>
      <c r="V188" s="2465"/>
      <c r="W188" s="2465"/>
      <c r="X188" s="2465"/>
      <c r="Y188" s="2465"/>
      <c r="Z188" s="2465"/>
      <c r="AA188" s="2465"/>
      <c r="AB188" s="2465"/>
      <c r="AC188" s="2465"/>
      <c r="AD188" s="536"/>
      <c r="AE188" s="536"/>
      <c r="AF188" s="2440" t="s">
        <v>1364</v>
      </c>
      <c r="AG188" s="2440"/>
      <c r="AH188" s="2440"/>
      <c r="AI188" s="2440"/>
      <c r="AJ188" s="2440"/>
      <c r="AK188" s="2440"/>
      <c r="AL188" s="2440"/>
      <c r="AN188" s="597"/>
      <c r="AP188" s="550" t="s">
        <v>1044</v>
      </c>
      <c r="AQ188" s="550">
        <v>10</v>
      </c>
    </row>
    <row r="189" spans="1:73" s="550" customFormat="1" ht="12.75" customHeight="1">
      <c r="A189" s="536"/>
      <c r="B189" s="2466" t="s">
        <v>1727</v>
      </c>
      <c r="C189" s="2466"/>
      <c r="D189" s="2466"/>
      <c r="E189" s="2466"/>
      <c r="F189" s="2466"/>
      <c r="G189" s="2466"/>
      <c r="H189" s="2466"/>
      <c r="I189" s="2466"/>
      <c r="J189" s="2466"/>
      <c r="K189" s="2466"/>
      <c r="L189" s="2466"/>
      <c r="M189" s="2466"/>
      <c r="N189" s="2466"/>
      <c r="O189" s="2466"/>
      <c r="P189" s="2466"/>
      <c r="Q189" s="2466"/>
      <c r="R189" s="2466"/>
      <c r="S189" s="2466"/>
      <c r="T189" s="2441" t="s">
        <v>592</v>
      </c>
      <c r="U189" s="2441"/>
      <c r="V189" s="2441"/>
      <c r="W189" s="2441"/>
      <c r="X189" s="2441"/>
      <c r="Y189" s="2441"/>
      <c r="Z189" s="2441"/>
      <c r="AA189" s="2441"/>
      <c r="AB189" s="2441"/>
      <c r="AC189" s="2441"/>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5">
        <f>IF(AK84&gt;0,VLOOKUP($B$188,AP185:AQ191,2,FALSE),0)</f>
        <v>10</v>
      </c>
      <c r="AL191" s="2476"/>
      <c r="AM191" s="2477"/>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5" t="s">
        <v>1373</v>
      </c>
      <c r="AF194" s="2405"/>
      <c r="AG194" s="2405"/>
      <c r="AH194" s="2405"/>
      <c r="AI194" s="2405"/>
      <c r="AJ194" s="2405"/>
      <c r="AK194" s="2405"/>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2" t="s">
        <v>2713</v>
      </c>
      <c r="C199" s="2452"/>
      <c r="D199" s="2452"/>
      <c r="E199" s="2452"/>
      <c r="F199" s="2452"/>
      <c r="G199" s="2452"/>
      <c r="H199" s="2452"/>
      <c r="I199" s="2452"/>
      <c r="J199" s="2452"/>
      <c r="K199" s="2452"/>
      <c r="L199" s="2452"/>
      <c r="M199" s="2452"/>
      <c r="N199" s="2452"/>
      <c r="O199" s="2452"/>
      <c r="P199" s="2452"/>
      <c r="Q199" s="2452"/>
      <c r="R199" s="2452"/>
      <c r="S199" s="2452"/>
      <c r="T199" s="2452"/>
      <c r="U199" s="2452"/>
      <c r="V199" s="2452"/>
      <c r="W199" s="2452"/>
      <c r="X199" s="2452"/>
      <c r="Y199" s="2452"/>
      <c r="Z199" s="2452"/>
      <c r="AA199" s="2452"/>
      <c r="AB199" s="2452"/>
      <c r="AC199" s="846"/>
      <c r="AD199" s="2453">
        <f>Application!AM555</f>
        <v>4401377</v>
      </c>
      <c r="AE199" s="2453"/>
      <c r="AF199" s="2453"/>
      <c r="AG199" s="2453"/>
      <c r="AH199" s="2453"/>
      <c r="AI199" s="2453"/>
      <c r="AJ199" s="2453"/>
      <c r="AK199" s="610"/>
    </row>
    <row r="200" spans="1:40">
      <c r="A200" s="605"/>
      <c r="B200" s="2452"/>
      <c r="C200" s="2452"/>
      <c r="D200" s="2452"/>
      <c r="E200" s="2452"/>
      <c r="F200" s="2452"/>
      <c r="G200" s="2452"/>
      <c r="H200" s="2452"/>
      <c r="I200" s="2452"/>
      <c r="J200" s="2452"/>
      <c r="K200" s="2452"/>
      <c r="L200" s="2452"/>
      <c r="M200" s="2452"/>
      <c r="N200" s="2452"/>
      <c r="O200" s="2452"/>
      <c r="P200" s="2452"/>
      <c r="Q200" s="2452"/>
      <c r="R200" s="2452"/>
      <c r="S200" s="2452"/>
      <c r="T200" s="2452"/>
      <c r="U200" s="2452"/>
      <c r="V200" s="2452"/>
      <c r="W200" s="2452"/>
      <c r="X200" s="2452"/>
      <c r="Y200" s="2452"/>
      <c r="Z200" s="2452"/>
      <c r="AA200" s="2452"/>
      <c r="AB200" s="2452"/>
      <c r="AC200" s="846"/>
      <c r="AD200" s="2453"/>
      <c r="AE200" s="2453"/>
      <c r="AF200" s="2453"/>
      <c r="AG200" s="2453"/>
      <c r="AH200" s="2453"/>
      <c r="AI200" s="2453"/>
      <c r="AJ200" s="2453"/>
      <c r="AK200" s="610"/>
    </row>
    <row r="201" spans="1:40">
      <c r="A201" s="605"/>
      <c r="B201" s="2452"/>
      <c r="C201" s="2452"/>
      <c r="D201" s="2452"/>
      <c r="E201" s="2452"/>
      <c r="F201" s="2452"/>
      <c r="G201" s="2452"/>
      <c r="H201" s="2452"/>
      <c r="I201" s="2452"/>
      <c r="J201" s="2452"/>
      <c r="K201" s="2452"/>
      <c r="L201" s="2452"/>
      <c r="M201" s="2452"/>
      <c r="N201" s="2452"/>
      <c r="O201" s="2452"/>
      <c r="P201" s="2452"/>
      <c r="Q201" s="2452"/>
      <c r="R201" s="2452"/>
      <c r="S201" s="2452"/>
      <c r="T201" s="2452"/>
      <c r="U201" s="2452"/>
      <c r="V201" s="2452"/>
      <c r="W201" s="2452"/>
      <c r="X201" s="2452"/>
      <c r="Y201" s="2452"/>
      <c r="Z201" s="2452"/>
      <c r="AA201" s="2452"/>
      <c r="AB201" s="2452"/>
      <c r="AC201" s="846"/>
      <c r="AD201" s="2453"/>
      <c r="AE201" s="2453"/>
      <c r="AF201" s="2453"/>
      <c r="AG201" s="2453"/>
      <c r="AH201" s="2453"/>
      <c r="AI201" s="2453"/>
      <c r="AJ201" s="2453"/>
      <c r="AK201" s="610"/>
    </row>
    <row r="202" spans="1:40">
      <c r="A202" s="605"/>
      <c r="B202" s="2452"/>
      <c r="C202" s="2452"/>
      <c r="D202" s="2452"/>
      <c r="E202" s="2452"/>
      <c r="F202" s="2452"/>
      <c r="G202" s="2452"/>
      <c r="H202" s="2452"/>
      <c r="I202" s="2452"/>
      <c r="J202" s="2452"/>
      <c r="K202" s="2452"/>
      <c r="L202" s="2452"/>
      <c r="M202" s="2452"/>
      <c r="N202" s="2452"/>
      <c r="O202" s="2452"/>
      <c r="P202" s="2452"/>
      <c r="Q202" s="2452"/>
      <c r="R202" s="2452"/>
      <c r="S202" s="2452"/>
      <c r="T202" s="2452"/>
      <c r="U202" s="2452"/>
      <c r="V202" s="2452"/>
      <c r="W202" s="2452"/>
      <c r="X202" s="2452"/>
      <c r="Y202" s="2452"/>
      <c r="Z202" s="2452"/>
      <c r="AA202" s="2452"/>
      <c r="AB202" s="2452"/>
      <c r="AC202" s="846"/>
      <c r="AD202" s="2453"/>
      <c r="AE202" s="2453"/>
      <c r="AF202" s="2453"/>
      <c r="AG202" s="2453"/>
      <c r="AH202" s="2453"/>
      <c r="AI202" s="2453"/>
      <c r="AJ202" s="2453"/>
      <c r="AK202" s="610"/>
    </row>
    <row r="203" spans="1:40">
      <c r="A203" s="605"/>
      <c r="B203" s="2452"/>
      <c r="C203" s="2452"/>
      <c r="D203" s="2452"/>
      <c r="E203" s="2452"/>
      <c r="F203" s="2452"/>
      <c r="G203" s="2452"/>
      <c r="H203" s="2452"/>
      <c r="I203" s="2452"/>
      <c r="J203" s="2452"/>
      <c r="K203" s="2452"/>
      <c r="L203" s="2452"/>
      <c r="M203" s="2452"/>
      <c r="N203" s="2452"/>
      <c r="O203" s="2452"/>
      <c r="P203" s="2452"/>
      <c r="Q203" s="2452"/>
      <c r="R203" s="2452"/>
      <c r="S203" s="2452"/>
      <c r="T203" s="2452"/>
      <c r="U203" s="2452"/>
      <c r="V203" s="2452"/>
      <c r="W203" s="2452"/>
      <c r="X203" s="2452"/>
      <c r="Y203" s="2452"/>
      <c r="Z203" s="2452"/>
      <c r="AA203" s="2452"/>
      <c r="AB203" s="2452"/>
      <c r="AC203" s="846"/>
      <c r="AD203" s="2453"/>
      <c r="AE203" s="2453"/>
      <c r="AF203" s="2453"/>
      <c r="AG203" s="2453"/>
      <c r="AH203" s="2453"/>
      <c r="AI203" s="2453"/>
      <c r="AJ203" s="2453"/>
      <c r="AK203" s="610"/>
    </row>
    <row r="204" spans="1:40">
      <c r="A204" s="605"/>
      <c r="B204" s="2452"/>
      <c r="C204" s="2452"/>
      <c r="D204" s="2452"/>
      <c r="E204" s="2452"/>
      <c r="F204" s="2452"/>
      <c r="G204" s="2452"/>
      <c r="H204" s="2452"/>
      <c r="I204" s="2452"/>
      <c r="J204" s="2452"/>
      <c r="K204" s="2452"/>
      <c r="L204" s="2452"/>
      <c r="M204" s="2452"/>
      <c r="N204" s="2452"/>
      <c r="O204" s="2452"/>
      <c r="P204" s="2452"/>
      <c r="Q204" s="2452"/>
      <c r="R204" s="2452"/>
      <c r="S204" s="2452"/>
      <c r="T204" s="2452"/>
      <c r="U204" s="2452"/>
      <c r="V204" s="2452"/>
      <c r="W204" s="2452"/>
      <c r="X204" s="2452"/>
      <c r="Y204" s="2452"/>
      <c r="Z204" s="2452"/>
      <c r="AA204" s="2452"/>
      <c r="AB204" s="2452"/>
      <c r="AC204" s="846"/>
      <c r="AD204" s="2453"/>
      <c r="AE204" s="2453"/>
      <c r="AF204" s="2453"/>
      <c r="AG204" s="2453"/>
      <c r="AH204" s="2453"/>
      <c r="AI204" s="2453"/>
      <c r="AJ204" s="2453"/>
      <c r="AK204" s="610"/>
    </row>
    <row r="205" spans="1:40">
      <c r="A205" s="605"/>
      <c r="B205" s="2452"/>
      <c r="C205" s="2452"/>
      <c r="D205" s="2452"/>
      <c r="E205" s="2452"/>
      <c r="F205" s="2452"/>
      <c r="G205" s="2452"/>
      <c r="H205" s="2452"/>
      <c r="I205" s="2452"/>
      <c r="J205" s="2452"/>
      <c r="K205" s="2452"/>
      <c r="L205" s="2452"/>
      <c r="M205" s="2452"/>
      <c r="N205" s="2452"/>
      <c r="O205" s="2452"/>
      <c r="P205" s="2452"/>
      <c r="Q205" s="2452"/>
      <c r="R205" s="2452"/>
      <c r="S205" s="2452"/>
      <c r="T205" s="2452"/>
      <c r="U205" s="2452"/>
      <c r="V205" s="2452"/>
      <c r="W205" s="2452"/>
      <c r="X205" s="2452"/>
      <c r="Y205" s="2452"/>
      <c r="Z205" s="2452"/>
      <c r="AA205" s="2452"/>
      <c r="AB205" s="2452"/>
      <c r="AC205" s="846"/>
      <c r="AD205" s="2453"/>
      <c r="AE205" s="2453"/>
      <c r="AF205" s="2453"/>
      <c r="AG205" s="2453"/>
      <c r="AH205" s="2453"/>
      <c r="AI205" s="2453"/>
      <c r="AJ205" s="2453"/>
      <c r="AK205" s="610"/>
    </row>
    <row r="206" spans="1:40">
      <c r="A206" s="605"/>
      <c r="B206" s="2452"/>
      <c r="C206" s="2452"/>
      <c r="D206" s="2452"/>
      <c r="E206" s="2452"/>
      <c r="F206" s="2452"/>
      <c r="G206" s="2452"/>
      <c r="H206" s="2452"/>
      <c r="I206" s="2452"/>
      <c r="J206" s="2452"/>
      <c r="K206" s="2452"/>
      <c r="L206" s="2452"/>
      <c r="M206" s="2452"/>
      <c r="N206" s="2452"/>
      <c r="O206" s="2452"/>
      <c r="P206" s="2452"/>
      <c r="Q206" s="2452"/>
      <c r="R206" s="2452"/>
      <c r="S206" s="2452"/>
      <c r="T206" s="2452"/>
      <c r="U206" s="2452"/>
      <c r="V206" s="2452"/>
      <c r="W206" s="2452"/>
      <c r="X206" s="2452"/>
      <c r="Y206" s="2452"/>
      <c r="Z206" s="2452"/>
      <c r="AA206" s="2452"/>
      <c r="AB206" s="2452"/>
      <c r="AC206" s="846"/>
      <c r="AD206" s="2453"/>
      <c r="AE206" s="2453"/>
      <c r="AF206" s="2453"/>
      <c r="AG206" s="2453"/>
      <c r="AH206" s="2453"/>
      <c r="AI206" s="2453"/>
      <c r="AJ206" s="2453"/>
      <c r="AK206" s="610"/>
    </row>
    <row r="207" spans="1:40">
      <c r="A207" s="605"/>
      <c r="B207" s="2452"/>
      <c r="C207" s="2452"/>
      <c r="D207" s="2452"/>
      <c r="E207" s="2452"/>
      <c r="F207" s="2452"/>
      <c r="G207" s="2452"/>
      <c r="H207" s="2452"/>
      <c r="I207" s="2452"/>
      <c r="J207" s="2452"/>
      <c r="K207" s="2452"/>
      <c r="L207" s="2452"/>
      <c r="M207" s="2452"/>
      <c r="N207" s="2452"/>
      <c r="O207" s="2452"/>
      <c r="P207" s="2452"/>
      <c r="Q207" s="2452"/>
      <c r="R207" s="2452"/>
      <c r="S207" s="2452"/>
      <c r="T207" s="2452"/>
      <c r="U207" s="2452"/>
      <c r="V207" s="2452"/>
      <c r="W207" s="2452"/>
      <c r="X207" s="2452"/>
      <c r="Y207" s="2452"/>
      <c r="Z207" s="2452"/>
      <c r="AA207" s="2452"/>
      <c r="AB207" s="2452"/>
      <c r="AC207" s="846"/>
      <c r="AD207" s="2453"/>
      <c r="AE207" s="2453"/>
      <c r="AF207" s="2453"/>
      <c r="AG207" s="2453"/>
      <c r="AH207" s="2453"/>
      <c r="AI207" s="2453"/>
      <c r="AJ207" s="2453"/>
      <c r="AK207" s="610"/>
    </row>
    <row r="208" spans="1:40">
      <c r="A208" s="605"/>
      <c r="B208" s="2452"/>
      <c r="C208" s="2452"/>
      <c r="D208" s="2452"/>
      <c r="E208" s="2452"/>
      <c r="F208" s="2452"/>
      <c r="G208" s="2452"/>
      <c r="H208" s="2452"/>
      <c r="I208" s="2452"/>
      <c r="J208" s="2452"/>
      <c r="K208" s="2452"/>
      <c r="L208" s="2452"/>
      <c r="M208" s="2452"/>
      <c r="N208" s="2452"/>
      <c r="O208" s="2452"/>
      <c r="P208" s="2452"/>
      <c r="Q208" s="2452"/>
      <c r="R208" s="2452"/>
      <c r="S208" s="2452"/>
      <c r="T208" s="2452"/>
      <c r="U208" s="2452"/>
      <c r="V208" s="2452"/>
      <c r="W208" s="2452"/>
      <c r="X208" s="2452"/>
      <c r="Y208" s="2452"/>
      <c r="Z208" s="2452"/>
      <c r="AA208" s="2452"/>
      <c r="AB208" s="2452"/>
      <c r="AC208" s="846"/>
      <c r="AD208" s="2453"/>
      <c r="AE208" s="2453"/>
      <c r="AF208" s="2453"/>
      <c r="AG208" s="2453"/>
      <c r="AH208" s="2453"/>
      <c r="AI208" s="2453"/>
      <c r="AJ208" s="2453"/>
      <c r="AK208" s="610"/>
    </row>
    <row r="209" spans="1:37">
      <c r="A209" s="605"/>
      <c r="B209" s="2463" t="s">
        <v>1628</v>
      </c>
      <c r="C209" s="2463"/>
      <c r="D209" s="2463"/>
      <c r="E209" s="2463"/>
      <c r="F209" s="2463"/>
      <c r="G209" s="2463"/>
      <c r="H209" s="2463"/>
      <c r="I209" s="2463"/>
      <c r="J209" s="2463"/>
      <c r="K209" s="2463"/>
      <c r="L209" s="2463"/>
      <c r="M209" s="2463"/>
      <c r="N209" s="2463"/>
      <c r="O209" s="2463"/>
      <c r="P209" s="2463"/>
      <c r="Q209" s="2463"/>
      <c r="R209" s="2463"/>
      <c r="S209" s="2463"/>
      <c r="T209" s="2463"/>
      <c r="U209" s="2463"/>
      <c r="V209" s="2463"/>
      <c r="W209" s="2463"/>
      <c r="X209" s="2463"/>
      <c r="Y209" s="2463"/>
      <c r="Z209" s="2463"/>
      <c r="AA209" s="2463"/>
      <c r="AB209" s="2463"/>
      <c r="AC209" s="536"/>
      <c r="AD209" s="2482">
        <f>AB260</f>
        <v>0</v>
      </c>
      <c r="AE209" s="2482"/>
      <c r="AF209" s="2482"/>
      <c r="AG209" s="2482"/>
      <c r="AH209" s="2482"/>
      <c r="AI209" s="2482"/>
      <c r="AJ209" s="2482"/>
      <c r="AK209" s="610"/>
    </row>
    <row r="210" spans="1:37">
      <c r="A210" s="605"/>
      <c r="B210" s="2609" t="s">
        <v>1591</v>
      </c>
      <c r="C210" s="2609"/>
      <c r="D210" s="2609"/>
      <c r="E210" s="2609"/>
      <c r="F210" s="2609"/>
      <c r="G210" s="2609"/>
      <c r="H210" s="2609"/>
      <c r="I210" s="2609"/>
      <c r="J210" s="2609"/>
      <c r="K210" s="2609"/>
      <c r="L210" s="2609"/>
      <c r="M210" s="2609"/>
      <c r="N210" s="2609"/>
      <c r="O210" s="2609"/>
      <c r="P210" s="2609"/>
      <c r="Q210" s="2609"/>
      <c r="R210" s="2609"/>
      <c r="S210" s="2609"/>
      <c r="T210" s="2609"/>
      <c r="U210" s="2609"/>
      <c r="V210" s="2609"/>
      <c r="W210" s="2609"/>
      <c r="X210" s="2609"/>
      <c r="Y210" s="2609"/>
      <c r="Z210" s="2609"/>
      <c r="AA210" s="2609"/>
      <c r="AB210" s="2609"/>
      <c r="AC210" s="846"/>
      <c r="AD210" s="2483">
        <f>'Sources and Uses Budget'!B15</f>
        <v>0</v>
      </c>
      <c r="AE210" s="2483"/>
      <c r="AF210" s="2483"/>
      <c r="AG210" s="2483"/>
      <c r="AH210" s="2483"/>
      <c r="AI210" s="2483"/>
      <c r="AJ210" s="2483"/>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7">
        <f>SUM(AD199:AJ209)-AD210</f>
        <v>4401377</v>
      </c>
      <c r="AE211" s="2487"/>
      <c r="AF211" s="2487"/>
      <c r="AG211" s="2487"/>
      <c r="AH211" s="2487"/>
      <c r="AI211" s="2487"/>
      <c r="AJ211" s="248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6" t="s">
        <v>1608</v>
      </c>
      <c r="J222" s="2456"/>
      <c r="K222" s="2456"/>
      <c r="L222" s="536"/>
      <c r="M222" s="536"/>
      <c r="N222" s="536"/>
      <c r="O222" s="536"/>
      <c r="P222" s="536"/>
      <c r="Q222" s="536"/>
      <c r="R222" s="536"/>
      <c r="S222" s="536"/>
      <c r="T222" s="2644" t="s">
        <v>1602</v>
      </c>
      <c r="U222" s="2644"/>
      <c r="V222" s="2644"/>
      <c r="W222" s="2644"/>
      <c r="X222" s="2644"/>
      <c r="Y222" s="2644"/>
      <c r="Z222" s="849"/>
      <c r="AA222" s="489"/>
      <c r="AB222" s="2451" t="s">
        <v>1603</v>
      </c>
      <c r="AC222" s="2451"/>
      <c r="AD222" s="2451"/>
      <c r="AE222" s="2451"/>
      <c r="AF222" s="2451"/>
      <c r="AG222" s="2451"/>
      <c r="AH222" s="827"/>
      <c r="AI222" s="827"/>
      <c r="AJ222" s="827"/>
      <c r="AK222" s="610"/>
    </row>
    <row r="223" spans="1:37">
      <c r="A223" s="605"/>
      <c r="B223" s="2454" t="s">
        <v>1588</v>
      </c>
      <c r="C223" s="2454"/>
      <c r="D223" s="2454"/>
      <c r="E223" s="2454"/>
      <c r="F223" s="2454"/>
      <c r="G223" s="2454"/>
      <c r="I223" s="2455" t="s">
        <v>1609</v>
      </c>
      <c r="J223" s="2455"/>
      <c r="K223" s="2455"/>
      <c r="L223" s="1008"/>
      <c r="N223" s="2461" t="s">
        <v>1604</v>
      </c>
      <c r="O223" s="2461"/>
      <c r="P223" s="2461"/>
      <c r="Q223" s="2461"/>
      <c r="R223" s="2461"/>
      <c r="T223" s="2461" t="s">
        <v>1605</v>
      </c>
      <c r="U223" s="2461"/>
      <c r="V223" s="2461"/>
      <c r="W223" s="2461"/>
      <c r="X223" s="2461"/>
      <c r="Y223" s="2461"/>
      <c r="Z223" s="850"/>
      <c r="AA223" s="489"/>
      <c r="AB223" s="2598" t="s">
        <v>1606</v>
      </c>
      <c r="AC223" s="2598"/>
      <c r="AD223" s="2598"/>
      <c r="AE223" s="2598"/>
      <c r="AF223" s="2598"/>
      <c r="AG223" s="2598"/>
      <c r="AH223" s="827"/>
      <c r="AI223" s="827"/>
      <c r="AJ223" s="827"/>
      <c r="AK223" s="610"/>
    </row>
    <row r="224" spans="1:37">
      <c r="A224" s="605"/>
      <c r="B224" s="2458" t="s">
        <v>1185</v>
      </c>
      <c r="C224" s="2458"/>
      <c r="D224" s="2458"/>
      <c r="E224" s="2458"/>
      <c r="F224" s="2458"/>
      <c r="G224" s="2458"/>
      <c r="H224" s="852"/>
      <c r="I224" s="2457"/>
      <c r="J224" s="2457"/>
      <c r="K224" s="2457"/>
      <c r="L224" s="1008"/>
      <c r="N224" s="2462"/>
      <c r="O224" s="2462"/>
      <c r="P224" s="2462"/>
      <c r="Q224" s="2462"/>
      <c r="R224" s="2462"/>
      <c r="T224" s="2610"/>
      <c r="U224" s="2610"/>
      <c r="V224" s="2610"/>
      <c r="W224" s="2610"/>
      <c r="X224" s="2610"/>
      <c r="Y224" s="2610"/>
      <c r="Z224" s="851"/>
      <c r="AA224" s="851"/>
      <c r="AB224" s="2459">
        <f t="shared" ref="AB224:AB233" si="0">MAX(($T224-$N224)*$I224*12,0)</f>
        <v>0</v>
      </c>
      <c r="AC224" s="2459"/>
      <c r="AD224" s="2459"/>
      <c r="AE224" s="2459"/>
      <c r="AF224" s="2459"/>
      <c r="AG224" s="2459"/>
      <c r="AH224" s="827"/>
      <c r="AI224" s="827"/>
      <c r="AJ224" s="827"/>
      <c r="AK224" s="610"/>
    </row>
    <row r="225" spans="1:37">
      <c r="A225" s="605"/>
      <c r="B225" s="2458" t="s">
        <v>1185</v>
      </c>
      <c r="C225" s="2458"/>
      <c r="D225" s="2458"/>
      <c r="E225" s="2458"/>
      <c r="F225" s="2458"/>
      <c r="G225" s="2458"/>
      <c r="I225" s="2457"/>
      <c r="J225" s="2457"/>
      <c r="K225" s="2457"/>
      <c r="L225" s="1008"/>
      <c r="N225" s="2462"/>
      <c r="O225" s="2462"/>
      <c r="P225" s="2462"/>
      <c r="Q225" s="2462"/>
      <c r="R225" s="2462"/>
      <c r="T225" s="2610"/>
      <c r="U225" s="2610"/>
      <c r="V225" s="2610"/>
      <c r="W225" s="2610"/>
      <c r="X225" s="2610"/>
      <c r="Y225" s="2610"/>
      <c r="Z225" s="851"/>
      <c r="AA225" s="851"/>
      <c r="AB225" s="2459">
        <f t="shared" si="0"/>
        <v>0</v>
      </c>
      <c r="AC225" s="2459"/>
      <c r="AD225" s="2459"/>
      <c r="AE225" s="2459"/>
      <c r="AF225" s="2459"/>
      <c r="AG225" s="2459"/>
      <c r="AH225" s="827"/>
      <c r="AI225" s="827"/>
      <c r="AJ225" s="827"/>
      <c r="AK225" s="610"/>
    </row>
    <row r="226" spans="1:37">
      <c r="A226" s="605"/>
      <c r="B226" s="2458" t="s">
        <v>1185</v>
      </c>
      <c r="C226" s="2458"/>
      <c r="D226" s="2458"/>
      <c r="E226" s="2458"/>
      <c r="F226" s="2458"/>
      <c r="G226" s="2458"/>
      <c r="I226" s="2457"/>
      <c r="J226" s="2457"/>
      <c r="K226" s="2457"/>
      <c r="L226" s="1008"/>
      <c r="N226" s="2462"/>
      <c r="O226" s="2462"/>
      <c r="P226" s="2462"/>
      <c r="Q226" s="2462"/>
      <c r="R226" s="2462"/>
      <c r="T226" s="2610"/>
      <c r="U226" s="2610"/>
      <c r="V226" s="2610"/>
      <c r="W226" s="2610"/>
      <c r="X226" s="2610"/>
      <c r="Y226" s="2610"/>
      <c r="Z226" s="851"/>
      <c r="AA226" s="851"/>
      <c r="AB226" s="2459">
        <f t="shared" si="0"/>
        <v>0</v>
      </c>
      <c r="AC226" s="2459"/>
      <c r="AD226" s="2459"/>
      <c r="AE226" s="2459"/>
      <c r="AF226" s="2459"/>
      <c r="AG226" s="2459"/>
      <c r="AH226" s="827"/>
      <c r="AI226" s="827"/>
      <c r="AJ226" s="827"/>
      <c r="AK226" s="610"/>
    </row>
    <row r="227" spans="1:37">
      <c r="A227" s="605"/>
      <c r="B227" s="2458" t="s">
        <v>1185</v>
      </c>
      <c r="C227" s="2458"/>
      <c r="D227" s="2458"/>
      <c r="E227" s="2458"/>
      <c r="F227" s="2458"/>
      <c r="G227" s="2458"/>
      <c r="I227" s="2457"/>
      <c r="J227" s="2457"/>
      <c r="K227" s="2457"/>
      <c r="L227" s="1008"/>
      <c r="N227" s="2462"/>
      <c r="O227" s="2462"/>
      <c r="P227" s="2462"/>
      <c r="Q227" s="2462"/>
      <c r="R227" s="2462"/>
      <c r="T227" s="2610"/>
      <c r="U227" s="2610"/>
      <c r="V227" s="2610"/>
      <c r="W227" s="2610"/>
      <c r="X227" s="2610"/>
      <c r="Y227" s="2610"/>
      <c r="Z227" s="851"/>
      <c r="AA227" s="851"/>
      <c r="AB227" s="2459">
        <f t="shared" si="0"/>
        <v>0</v>
      </c>
      <c r="AC227" s="2459"/>
      <c r="AD227" s="2459"/>
      <c r="AE227" s="2459"/>
      <c r="AF227" s="2459"/>
      <c r="AG227" s="2459"/>
      <c r="AH227" s="827"/>
      <c r="AI227" s="827"/>
      <c r="AJ227" s="827"/>
      <c r="AK227" s="610"/>
    </row>
    <row r="228" spans="1:37">
      <c r="A228" s="605"/>
      <c r="B228" s="2458" t="s">
        <v>1185</v>
      </c>
      <c r="C228" s="2458"/>
      <c r="D228" s="2458"/>
      <c r="E228" s="2458"/>
      <c r="F228" s="2458"/>
      <c r="G228" s="2458"/>
      <c r="I228" s="2457"/>
      <c r="J228" s="2457"/>
      <c r="K228" s="2457"/>
      <c r="L228" s="1015"/>
      <c r="N228" s="2462"/>
      <c r="O228" s="2462"/>
      <c r="P228" s="2462"/>
      <c r="Q228" s="2462"/>
      <c r="R228" s="2462"/>
      <c r="T228" s="2610"/>
      <c r="U228" s="2610"/>
      <c r="V228" s="2610"/>
      <c r="W228" s="2610"/>
      <c r="X228" s="2610"/>
      <c r="Y228" s="2610"/>
      <c r="Z228" s="851"/>
      <c r="AA228" s="851"/>
      <c r="AB228" s="2459">
        <f t="shared" si="0"/>
        <v>0</v>
      </c>
      <c r="AC228" s="2459"/>
      <c r="AD228" s="2459"/>
      <c r="AE228" s="2459"/>
      <c r="AF228" s="2459"/>
      <c r="AG228" s="2459"/>
      <c r="AH228" s="827"/>
      <c r="AI228" s="827"/>
      <c r="AJ228" s="827"/>
      <c r="AK228" s="610"/>
    </row>
    <row r="229" spans="1:37">
      <c r="A229" s="605"/>
      <c r="B229" s="2458" t="s">
        <v>1185</v>
      </c>
      <c r="C229" s="2458"/>
      <c r="D229" s="2458"/>
      <c r="E229" s="2458"/>
      <c r="F229" s="2458"/>
      <c r="G229" s="2458"/>
      <c r="I229" s="2457"/>
      <c r="J229" s="2457"/>
      <c r="K229" s="2457"/>
      <c r="L229" s="1015"/>
      <c r="N229" s="2462"/>
      <c r="O229" s="2462"/>
      <c r="P229" s="2462"/>
      <c r="Q229" s="2462"/>
      <c r="R229" s="2462"/>
      <c r="T229" s="2610"/>
      <c r="U229" s="2610"/>
      <c r="V229" s="2610"/>
      <c r="W229" s="2610"/>
      <c r="X229" s="2610"/>
      <c r="Y229" s="2610"/>
      <c r="Z229" s="851"/>
      <c r="AA229" s="851"/>
      <c r="AB229" s="2459">
        <f t="shared" si="0"/>
        <v>0</v>
      </c>
      <c r="AC229" s="2459"/>
      <c r="AD229" s="2459"/>
      <c r="AE229" s="2459"/>
      <c r="AF229" s="2459"/>
      <c r="AG229" s="2459"/>
      <c r="AH229" s="827"/>
      <c r="AI229" s="827"/>
      <c r="AJ229" s="827"/>
      <c r="AK229" s="610"/>
    </row>
    <row r="230" spans="1:37">
      <c r="A230" s="605"/>
      <c r="B230" s="2458" t="s">
        <v>1185</v>
      </c>
      <c r="C230" s="2458"/>
      <c r="D230" s="2458"/>
      <c r="E230" s="2458"/>
      <c r="F230" s="2458"/>
      <c r="G230" s="2458"/>
      <c r="I230" s="2457"/>
      <c r="J230" s="2457"/>
      <c r="K230" s="2457"/>
      <c r="L230" s="1015"/>
      <c r="N230" s="2462"/>
      <c r="O230" s="2462"/>
      <c r="P230" s="2462"/>
      <c r="Q230" s="2462"/>
      <c r="R230" s="2462"/>
      <c r="T230" s="2610"/>
      <c r="U230" s="2610"/>
      <c r="V230" s="2610"/>
      <c r="W230" s="2610"/>
      <c r="X230" s="2610"/>
      <c r="Y230" s="2610"/>
      <c r="Z230" s="851"/>
      <c r="AA230" s="851"/>
      <c r="AB230" s="2459">
        <f t="shared" si="0"/>
        <v>0</v>
      </c>
      <c r="AC230" s="2459"/>
      <c r="AD230" s="2459"/>
      <c r="AE230" s="2459"/>
      <c r="AF230" s="2459"/>
      <c r="AG230" s="2459"/>
      <c r="AH230" s="827"/>
      <c r="AI230" s="827"/>
      <c r="AJ230" s="827"/>
      <c r="AK230" s="610"/>
    </row>
    <row r="231" spans="1:37">
      <c r="A231" s="605"/>
      <c r="B231" s="2458" t="s">
        <v>1185</v>
      </c>
      <c r="C231" s="2458"/>
      <c r="D231" s="2458"/>
      <c r="E231" s="2458"/>
      <c r="F231" s="2458"/>
      <c r="G231" s="2458"/>
      <c r="I231" s="2457"/>
      <c r="J231" s="2457"/>
      <c r="K231" s="2457"/>
      <c r="L231" s="1015"/>
      <c r="N231" s="2462"/>
      <c r="O231" s="2462"/>
      <c r="P231" s="2462"/>
      <c r="Q231" s="2462"/>
      <c r="R231" s="2462"/>
      <c r="T231" s="2610"/>
      <c r="U231" s="2610"/>
      <c r="V231" s="2610"/>
      <c r="W231" s="2610"/>
      <c r="X231" s="2610"/>
      <c r="Y231" s="2610"/>
      <c r="Z231" s="851"/>
      <c r="AA231" s="851"/>
      <c r="AB231" s="2459">
        <f t="shared" si="0"/>
        <v>0</v>
      </c>
      <c r="AC231" s="2459"/>
      <c r="AD231" s="2459"/>
      <c r="AE231" s="2459"/>
      <c r="AF231" s="2459"/>
      <c r="AG231" s="2459"/>
      <c r="AH231" s="827"/>
      <c r="AI231" s="827"/>
      <c r="AJ231" s="827"/>
      <c r="AK231" s="610"/>
    </row>
    <row r="232" spans="1:37">
      <c r="A232" s="605"/>
      <c r="B232" s="2458" t="s">
        <v>1185</v>
      </c>
      <c r="C232" s="2458"/>
      <c r="D232" s="2458"/>
      <c r="E232" s="2458"/>
      <c r="F232" s="2458"/>
      <c r="G232" s="2458"/>
      <c r="I232" s="2457"/>
      <c r="J232" s="2457"/>
      <c r="K232" s="2457"/>
      <c r="L232" s="1015"/>
      <c r="N232" s="2462"/>
      <c r="O232" s="2462"/>
      <c r="P232" s="2462"/>
      <c r="Q232" s="2462"/>
      <c r="R232" s="2462"/>
      <c r="T232" s="2610"/>
      <c r="U232" s="2610"/>
      <c r="V232" s="2610"/>
      <c r="W232" s="2610"/>
      <c r="X232" s="2610"/>
      <c r="Y232" s="2610"/>
      <c r="Z232" s="851"/>
      <c r="AA232" s="851"/>
      <c r="AB232" s="2459">
        <f t="shared" si="0"/>
        <v>0</v>
      </c>
      <c r="AC232" s="2459"/>
      <c r="AD232" s="2459"/>
      <c r="AE232" s="2459"/>
      <c r="AF232" s="2459"/>
      <c r="AG232" s="2459"/>
      <c r="AH232" s="827"/>
      <c r="AI232" s="827"/>
      <c r="AJ232" s="827"/>
      <c r="AK232" s="610"/>
    </row>
    <row r="233" spans="1:37">
      <c r="A233" s="605"/>
      <c r="B233" s="2458" t="s">
        <v>1185</v>
      </c>
      <c r="C233" s="2458"/>
      <c r="D233" s="2458"/>
      <c r="E233" s="2458"/>
      <c r="F233" s="2458"/>
      <c r="G233" s="2458"/>
      <c r="I233" s="2460"/>
      <c r="J233" s="2460"/>
      <c r="K233" s="2460"/>
      <c r="L233" s="1015"/>
      <c r="N233" s="2462"/>
      <c r="O233" s="2462"/>
      <c r="P233" s="2462"/>
      <c r="Q233" s="2462"/>
      <c r="R233" s="2462"/>
      <c r="T233" s="2610"/>
      <c r="U233" s="2610"/>
      <c r="V233" s="2610"/>
      <c r="W233" s="2610"/>
      <c r="X233" s="2610"/>
      <c r="Y233" s="2610"/>
      <c r="Z233" s="851"/>
      <c r="AA233" s="851"/>
      <c r="AB233" s="2608">
        <f t="shared" si="0"/>
        <v>0</v>
      </c>
      <c r="AC233" s="2608"/>
      <c r="AD233" s="2608"/>
      <c r="AE233" s="2608"/>
      <c r="AF233" s="2608"/>
      <c r="AG233" s="260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59">
        <f>SUM(AB224:AB233)</f>
        <v>0</v>
      </c>
      <c r="AC234" s="2459"/>
      <c r="AD234" s="2459"/>
      <c r="AE234" s="2459"/>
      <c r="AF234" s="2459"/>
      <c r="AG234" s="245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1"/>
      <c r="AC240" s="2611"/>
      <c r="AD240" s="2611"/>
      <c r="AE240" s="2611"/>
      <c r="AF240" s="2611"/>
      <c r="AG240" s="2611"/>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1"/>
      <c r="AC243" s="2611"/>
      <c r="AD243" s="2611"/>
      <c r="AE243" s="2611"/>
      <c r="AF243" s="2611"/>
      <c r="AG243" s="2611"/>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3"/>
      <c r="AC244" s="2643"/>
      <c r="AD244" s="2643"/>
      <c r="AE244" s="2643"/>
      <c r="AF244" s="2643"/>
      <c r="AG244" s="2643"/>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5">
        <f>IFERROR(AB243/AB244,0)</f>
        <v>0</v>
      </c>
      <c r="AC245" s="2625"/>
      <c r="AD245" s="2625"/>
      <c r="AE245" s="2625"/>
      <c r="AF245" s="2625"/>
      <c r="AG245" s="2625"/>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8">
        <f>MAX(AB240,AB245)</f>
        <v>0</v>
      </c>
      <c r="AC247" s="2608"/>
      <c r="AD247" s="2608"/>
      <c r="AE247" s="2608"/>
      <c r="AF247" s="2608"/>
      <c r="AG247" s="260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9">
        <f>AB234+AB247</f>
        <v>0</v>
      </c>
      <c r="AC250" s="2459"/>
      <c r="AD250" s="2459"/>
      <c r="AE250" s="2459"/>
      <c r="AF250" s="2459"/>
      <c r="AG250" s="2459"/>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1">
        <v>0.05</v>
      </c>
      <c r="AC251" s="2491"/>
      <c r="AD251" s="2491"/>
      <c r="AE251" s="2491"/>
      <c r="AF251" s="2491"/>
      <c r="AG251" s="2491"/>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2">
        <f>AB250-(AB250*AB251)</f>
        <v>0</v>
      </c>
      <c r="AC252" s="2492"/>
      <c r="AD252" s="2492"/>
      <c r="AE252" s="2492"/>
      <c r="AF252" s="2492"/>
      <c r="AG252" s="2492"/>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9">
        <f>AB252/AB258</f>
        <v>0</v>
      </c>
      <c r="AC254" s="2459"/>
      <c r="AD254" s="2459"/>
      <c r="AE254" s="2459"/>
      <c r="AF254" s="2459"/>
      <c r="AG254" s="245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1">
        <v>15</v>
      </c>
      <c r="AC256" s="2451"/>
      <c r="AD256" s="2451"/>
      <c r="AE256" s="2451"/>
      <c r="AF256" s="2451"/>
      <c r="AG256" s="2451"/>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3">
        <v>0.04</v>
      </c>
      <c r="AC257" s="2493"/>
      <c r="AD257" s="2493"/>
      <c r="AE257" s="2493"/>
      <c r="AF257" s="2493"/>
      <c r="AG257" s="2493"/>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4">
        <v>1.1499999999999999</v>
      </c>
      <c r="AC258" s="2464"/>
      <c r="AD258" s="2464"/>
      <c r="AE258" s="2464"/>
      <c r="AF258" s="2464"/>
      <c r="AG258" s="246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4">
        <f>PV(AB257/12,AB256*12,-AB254/12, ,0)</f>
        <v>0</v>
      </c>
      <c r="AC260" s="2485"/>
      <c r="AD260" s="2485"/>
      <c r="AE260" s="2485"/>
      <c r="AF260" s="2485"/>
      <c r="AG260" s="2486"/>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8">
        <f>IFERROR(('Sources and Uses Budget'!D105/'Sources and Uses Budget'!B105),0)</f>
        <v>0</v>
      </c>
      <c r="AC266" s="2489"/>
      <c r="AD266" s="2489"/>
      <c r="AE266" s="2489"/>
      <c r="AF266" s="2489"/>
      <c r="AG266" s="249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8">
        <f>AD211*(1-AB266)</f>
        <v>4401377</v>
      </c>
      <c r="AH268" s="2478"/>
      <c r="AI268" s="2478"/>
      <c r="AJ268" s="2478"/>
      <c r="AK268" s="2478"/>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8">
        <f>'Sources and Uses Budget'!C105</f>
        <v>54337992</v>
      </c>
      <c r="AH269" s="2478"/>
      <c r="AI269" s="2478"/>
      <c r="AJ269" s="2478"/>
      <c r="AK269" s="247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9">
        <f>ROUNDDOWN(IF(AND(C292="Yes",AK84=10),((AG268*2)/AG269),AG268/AG269),2)</f>
        <v>0.16</v>
      </c>
      <c r="AH270" s="2479"/>
      <c r="AI270" s="2479"/>
      <c r="AJ270" s="2479"/>
      <c r="AK270" s="2479"/>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0">
        <f>IFERROR(IF(AG270=0,0,IF((AG270*100)&gt;8,8,(AG270*100))),0)</f>
        <v>8</v>
      </c>
      <c r="AL273" s="2480"/>
      <c r="AM273" s="2481"/>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2" t="s">
        <v>546</v>
      </c>
      <c r="D278" s="2472"/>
      <c r="E278" s="547"/>
      <c r="F278" s="2629" t="s">
        <v>2025</v>
      </c>
      <c r="G278" s="2630"/>
      <c r="H278" s="2630"/>
      <c r="I278" s="2630"/>
      <c r="J278" s="2630"/>
      <c r="K278" s="2630"/>
      <c r="L278" s="2630"/>
      <c r="M278" s="2630"/>
      <c r="N278" s="2630"/>
      <c r="O278" s="2630"/>
      <c r="P278" s="2630"/>
      <c r="Q278" s="2630"/>
      <c r="R278" s="2630"/>
      <c r="S278" s="2630"/>
      <c r="T278" s="2630"/>
      <c r="U278" s="2630"/>
      <c r="V278" s="2630"/>
      <c r="W278" s="2630"/>
      <c r="X278" s="2630"/>
      <c r="Y278" s="2630"/>
      <c r="Z278" s="2630"/>
      <c r="AA278" s="2630"/>
      <c r="AB278" s="2630"/>
      <c r="AC278" s="2630"/>
      <c r="AD278" s="2631"/>
      <c r="AE278" s="550"/>
      <c r="AF278" s="635"/>
      <c r="AG278" s="2473" t="s">
        <v>1364</v>
      </c>
      <c r="AH278" s="2473"/>
      <c r="AI278" s="2473"/>
      <c r="AJ278" s="2473"/>
      <c r="AK278" s="550"/>
      <c r="AL278" s="550"/>
      <c r="AM278" s="550"/>
      <c r="AO278" s="550"/>
    </row>
    <row r="279" spans="1:52" ht="13.7" customHeight="1">
      <c r="A279" s="550"/>
      <c r="B279" s="596"/>
      <c r="C279" s="636"/>
      <c r="D279" s="550"/>
      <c r="E279" s="547"/>
      <c r="F279" s="2632"/>
      <c r="G279" s="2633"/>
      <c r="H279" s="2633"/>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33"/>
      <c r="AD279" s="2634"/>
      <c r="AE279" s="550"/>
      <c r="AF279" s="635"/>
      <c r="AG279" s="635"/>
      <c r="AH279" s="635"/>
      <c r="AI279" s="635"/>
      <c r="AJ279" s="550"/>
      <c r="AK279" s="550"/>
      <c r="AL279" s="550"/>
      <c r="AM279" s="550"/>
      <c r="AO279" s="550"/>
    </row>
    <row r="280" spans="1:52">
      <c r="A280" s="550"/>
      <c r="B280" s="596"/>
      <c r="C280" s="636"/>
      <c r="D280" s="550"/>
      <c r="E280" s="547"/>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50"/>
      <c r="AF280" s="635"/>
      <c r="AG280" s="635"/>
      <c r="AH280" s="635"/>
      <c r="AI280" s="635"/>
      <c r="AJ280" s="550"/>
      <c r="AK280" s="550"/>
      <c r="AL280" s="550"/>
      <c r="AM280" s="550"/>
      <c r="AO280" s="550"/>
      <c r="AP280" s="637"/>
    </row>
    <row r="281" spans="1:52">
      <c r="A281" s="550"/>
      <c r="B281" s="596"/>
      <c r="C281" s="636"/>
      <c r="D281" s="550"/>
      <c r="E281" s="547"/>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50"/>
      <c r="AF281" s="635"/>
      <c r="AG281" s="635"/>
      <c r="AH281" s="635"/>
      <c r="AI281" s="635"/>
      <c r="AJ281" s="550"/>
      <c r="AK281" s="550"/>
      <c r="AL281" s="550"/>
      <c r="AM281" s="550"/>
      <c r="AO281" s="550"/>
      <c r="AP281" s="637"/>
    </row>
    <row r="282" spans="1:52" ht="13.7" customHeight="1">
      <c r="A282" s="550"/>
      <c r="B282" s="596"/>
      <c r="C282" s="2474"/>
      <c r="D282" s="2474"/>
      <c r="E282" s="547"/>
      <c r="F282" s="2635"/>
      <c r="G282" s="2636"/>
      <c r="H282" s="2636"/>
      <c r="I282" s="2636"/>
      <c r="J282" s="2636"/>
      <c r="K282" s="2636"/>
      <c r="L282" s="2636"/>
      <c r="M282" s="2636"/>
      <c r="N282" s="2636"/>
      <c r="O282" s="2636"/>
      <c r="P282" s="2636"/>
      <c r="Q282" s="2636"/>
      <c r="R282" s="2636"/>
      <c r="S282" s="2636"/>
      <c r="T282" s="2636"/>
      <c r="U282" s="2636"/>
      <c r="V282" s="2636"/>
      <c r="W282" s="2636"/>
      <c r="X282" s="2636"/>
      <c r="Y282" s="2636"/>
      <c r="Z282" s="2636"/>
      <c r="AA282" s="2636"/>
      <c r="AB282" s="2636"/>
      <c r="AC282" s="2636"/>
      <c r="AD282" s="2637"/>
      <c r="AE282" s="550"/>
      <c r="AF282" s="635"/>
      <c r="AG282" s="2473"/>
      <c r="AH282" s="2473"/>
      <c r="AI282" s="2473"/>
      <c r="AJ282" s="2473"/>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0">
        <f>IF($C$278="yes",10,0)</f>
        <v>10</v>
      </c>
      <c r="AL285" s="2480"/>
      <c r="AM285" s="2481"/>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16" t="s">
        <v>1383</v>
      </c>
      <c r="B292" s="1616"/>
      <c r="C292" s="2468" t="s">
        <v>546</v>
      </c>
      <c r="D292" s="2472"/>
      <c r="E292" s="547"/>
      <c r="F292" s="2500" t="s">
        <v>1384</v>
      </c>
      <c r="G292" s="2501"/>
      <c r="H292" s="2501"/>
      <c r="I292" s="2501"/>
      <c r="J292" s="2501"/>
      <c r="K292" s="2501"/>
      <c r="L292" s="2501"/>
      <c r="M292" s="2501"/>
      <c r="N292" s="2501"/>
      <c r="O292" s="2501"/>
      <c r="P292" s="2501"/>
      <c r="Q292" s="2501"/>
      <c r="R292" s="2501"/>
      <c r="S292" s="2501"/>
      <c r="T292" s="2501"/>
      <c r="U292" s="2501"/>
      <c r="V292" s="2501"/>
      <c r="W292" s="2501"/>
      <c r="X292" s="2501"/>
      <c r="Y292" s="2501"/>
      <c r="Z292" s="2501"/>
      <c r="AA292" s="2501"/>
      <c r="AB292" s="2501"/>
      <c r="AC292" s="2501"/>
      <c r="AD292" s="2502"/>
      <c r="AE292" s="642"/>
      <c r="AF292" s="550"/>
      <c r="AG292" s="2503" t="s">
        <v>2018</v>
      </c>
      <c r="AH292" s="2503"/>
      <c r="AI292" s="2503"/>
      <c r="AJ292" s="2503"/>
      <c r="AK292" s="2503"/>
      <c r="AL292" s="550"/>
      <c r="AM292" s="550"/>
      <c r="AN292" s="73"/>
      <c r="AO292" s="14"/>
      <c r="AP292" s="30"/>
      <c r="AS292" s="570"/>
      <c r="AT292" s="570"/>
      <c r="AU292" s="570"/>
      <c r="AV292" s="32"/>
      <c r="AW292" s="32"/>
    </row>
    <row r="293" spans="1:49">
      <c r="A293" s="640"/>
      <c r="B293" s="596"/>
      <c r="F293" s="2494"/>
      <c r="G293" s="2495"/>
      <c r="H293" s="2495"/>
      <c r="I293" s="2495"/>
      <c r="J293" s="2495"/>
      <c r="K293" s="2495"/>
      <c r="L293" s="2495"/>
      <c r="M293" s="2495"/>
      <c r="N293" s="2495"/>
      <c r="O293" s="2495"/>
      <c r="P293" s="2495"/>
      <c r="Q293" s="2495"/>
      <c r="R293" s="2495"/>
      <c r="S293" s="2495"/>
      <c r="T293" s="2495"/>
      <c r="U293" s="2495"/>
      <c r="V293" s="2495"/>
      <c r="W293" s="2495"/>
      <c r="X293" s="2495"/>
      <c r="Y293" s="2495"/>
      <c r="Z293" s="2495"/>
      <c r="AA293" s="2495"/>
      <c r="AB293" s="2495"/>
      <c r="AC293" s="2495"/>
      <c r="AD293" s="2496"/>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4"/>
      <c r="G294" s="2495"/>
      <c r="H294" s="2495"/>
      <c r="I294" s="2495"/>
      <c r="J294" s="2495"/>
      <c r="K294" s="2495"/>
      <c r="L294" s="2495"/>
      <c r="M294" s="2495"/>
      <c r="N294" s="2495"/>
      <c r="O294" s="2495"/>
      <c r="P294" s="2495"/>
      <c r="Q294" s="2495"/>
      <c r="R294" s="2495"/>
      <c r="S294" s="2495"/>
      <c r="T294" s="2495"/>
      <c r="U294" s="2495"/>
      <c r="V294" s="2495"/>
      <c r="W294" s="2495"/>
      <c r="X294" s="2495"/>
      <c r="Y294" s="2495"/>
      <c r="Z294" s="2495"/>
      <c r="AA294" s="2495"/>
      <c r="AB294" s="2495"/>
      <c r="AC294" s="2495"/>
      <c r="AD294" s="2496"/>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4" t="s">
        <v>2026</v>
      </c>
      <c r="G295" s="2495"/>
      <c r="H295" s="2495"/>
      <c r="I295" s="2495"/>
      <c r="J295" s="2495"/>
      <c r="K295" s="2495"/>
      <c r="L295" s="2495"/>
      <c r="M295" s="2495"/>
      <c r="N295" s="2495"/>
      <c r="O295" s="2495"/>
      <c r="P295" s="2495"/>
      <c r="Q295" s="2495"/>
      <c r="R295" s="2495"/>
      <c r="S295" s="2495"/>
      <c r="T295" s="2495"/>
      <c r="U295" s="2495"/>
      <c r="V295" s="2495"/>
      <c r="W295" s="2495"/>
      <c r="X295" s="2495"/>
      <c r="Y295" s="2495"/>
      <c r="Z295" s="2495"/>
      <c r="AA295" s="2495"/>
      <c r="AB295" s="2495"/>
      <c r="AC295" s="2495"/>
      <c r="AD295" s="2496"/>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494"/>
      <c r="G296" s="2495"/>
      <c r="H296" s="2495"/>
      <c r="I296" s="2495"/>
      <c r="J296" s="2495"/>
      <c r="K296" s="2495"/>
      <c r="L296" s="2495"/>
      <c r="M296" s="2495"/>
      <c r="N296" s="2495"/>
      <c r="O296" s="2495"/>
      <c r="P296" s="2495"/>
      <c r="Q296" s="2495"/>
      <c r="R296" s="2495"/>
      <c r="S296" s="2495"/>
      <c r="T296" s="2495"/>
      <c r="U296" s="2495"/>
      <c r="V296" s="2495"/>
      <c r="W296" s="2495"/>
      <c r="X296" s="2495"/>
      <c r="Y296" s="2495"/>
      <c r="Z296" s="2495"/>
      <c r="AA296" s="2495"/>
      <c r="AB296" s="2495"/>
      <c r="AC296" s="2495"/>
      <c r="AD296" s="249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4" t="s">
        <v>1385</v>
      </c>
      <c r="G297" s="2495"/>
      <c r="H297" s="2495"/>
      <c r="I297" s="2495"/>
      <c r="J297" s="2495"/>
      <c r="K297" s="2495"/>
      <c r="L297" s="2495"/>
      <c r="M297" s="2495"/>
      <c r="N297" s="2495"/>
      <c r="O297" s="2495"/>
      <c r="P297" s="2495"/>
      <c r="Q297" s="2495"/>
      <c r="R297" s="2495"/>
      <c r="S297" s="2495"/>
      <c r="T297" s="2495"/>
      <c r="U297" s="2495"/>
      <c r="V297" s="2495"/>
      <c r="W297" s="2495"/>
      <c r="X297" s="2495"/>
      <c r="Y297" s="2495"/>
      <c r="Z297" s="2495"/>
      <c r="AA297" s="2495"/>
      <c r="AB297" s="2495"/>
      <c r="AC297" s="2495"/>
      <c r="AD297" s="249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4"/>
      <c r="G298" s="2495"/>
      <c r="H298" s="2495"/>
      <c r="I298" s="2495"/>
      <c r="J298" s="2495"/>
      <c r="K298" s="2495"/>
      <c r="L298" s="2495"/>
      <c r="M298" s="2495"/>
      <c r="N298" s="2495"/>
      <c r="O298" s="2495"/>
      <c r="P298" s="2495"/>
      <c r="Q298" s="2495"/>
      <c r="R298" s="2495"/>
      <c r="S298" s="2495"/>
      <c r="T298" s="2495"/>
      <c r="U298" s="2495"/>
      <c r="V298" s="2495"/>
      <c r="W298" s="2495"/>
      <c r="X298" s="2495"/>
      <c r="Y298" s="2495"/>
      <c r="Z298" s="2495"/>
      <c r="AA298" s="2495"/>
      <c r="AB298" s="2495"/>
      <c r="AC298" s="2495"/>
      <c r="AD298" s="249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4" t="s">
        <v>1386</v>
      </c>
      <c r="G299" s="2495"/>
      <c r="H299" s="2495"/>
      <c r="I299" s="2495"/>
      <c r="J299" s="2495"/>
      <c r="K299" s="2495"/>
      <c r="L299" s="2495"/>
      <c r="M299" s="2495"/>
      <c r="N299" s="2495"/>
      <c r="O299" s="2495"/>
      <c r="P299" s="2495"/>
      <c r="Q299" s="2495"/>
      <c r="R299" s="2495"/>
      <c r="S299" s="2495"/>
      <c r="T299" s="2495"/>
      <c r="U299" s="2495"/>
      <c r="V299" s="2495"/>
      <c r="W299" s="2495"/>
      <c r="X299" s="2495"/>
      <c r="Y299" s="2495"/>
      <c r="Z299" s="2495"/>
      <c r="AA299" s="2495"/>
      <c r="AB299" s="2495"/>
      <c r="AC299" s="2495"/>
      <c r="AD299" s="249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7"/>
      <c r="G300" s="2498"/>
      <c r="H300" s="2498"/>
      <c r="I300" s="2498"/>
      <c r="J300" s="2498"/>
      <c r="K300" s="2498"/>
      <c r="L300" s="2498"/>
      <c r="M300" s="2498"/>
      <c r="N300" s="2498"/>
      <c r="O300" s="2498"/>
      <c r="P300" s="2498"/>
      <c r="Q300" s="2498"/>
      <c r="R300" s="2498"/>
      <c r="S300" s="2498"/>
      <c r="T300" s="2498"/>
      <c r="U300" s="2498"/>
      <c r="V300" s="2498"/>
      <c r="W300" s="2498"/>
      <c r="X300" s="2498"/>
      <c r="Y300" s="2498"/>
      <c r="Z300" s="2498"/>
      <c r="AA300" s="2498"/>
      <c r="AB300" s="2498"/>
      <c r="AC300" s="2498"/>
      <c r="AD300" s="249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16" t="s">
        <v>1387</v>
      </c>
      <c r="B302" s="1616"/>
      <c r="C302" s="2472" t="s">
        <v>592</v>
      </c>
      <c r="D302" s="2472"/>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2" t="s">
        <v>2020</v>
      </c>
      <c r="G303" s="2403"/>
      <c r="H303" s="2403"/>
      <c r="I303" s="2403"/>
      <c r="J303" s="2403"/>
      <c r="K303" s="2403"/>
      <c r="L303" s="2403"/>
      <c r="M303" s="2403"/>
      <c r="N303" s="2403"/>
      <c r="O303" s="2403"/>
      <c r="P303" s="2403"/>
      <c r="Q303" s="2403"/>
      <c r="R303" s="2403"/>
      <c r="S303" s="2403"/>
      <c r="T303" s="2403"/>
      <c r="U303" s="2403"/>
      <c r="V303" s="2403"/>
      <c r="W303" s="2403"/>
      <c r="X303" s="2403"/>
      <c r="Y303" s="2403"/>
      <c r="Z303" s="2403"/>
      <c r="AA303" s="2403"/>
      <c r="AB303" s="2403"/>
      <c r="AC303" s="2403"/>
      <c r="AD303" s="2404"/>
      <c r="AE303" s="551"/>
      <c r="AF303" s="551"/>
      <c r="AG303" s="551"/>
      <c r="AH303" s="551"/>
      <c r="AI303" s="551"/>
      <c r="AJ303" s="550"/>
      <c r="AK303" s="550"/>
      <c r="AL303" s="550"/>
      <c r="AM303" s="550"/>
      <c r="AR303" s="648"/>
    </row>
    <row r="304" spans="1:49" ht="15" customHeight="1">
      <c r="A304" s="550"/>
      <c r="B304" s="551"/>
      <c r="C304" s="550"/>
      <c r="D304" s="551"/>
      <c r="E304" s="550"/>
      <c r="F304" s="2402"/>
      <c r="G304" s="2403"/>
      <c r="H304" s="2403"/>
      <c r="I304" s="2403"/>
      <c r="J304" s="2403"/>
      <c r="K304" s="2403"/>
      <c r="L304" s="2403"/>
      <c r="M304" s="2403"/>
      <c r="N304" s="2403"/>
      <c r="O304" s="2403"/>
      <c r="P304" s="2403"/>
      <c r="Q304" s="2403"/>
      <c r="R304" s="2403"/>
      <c r="S304" s="2403"/>
      <c r="T304" s="2403"/>
      <c r="U304" s="2403"/>
      <c r="V304" s="2403"/>
      <c r="W304" s="2403"/>
      <c r="X304" s="2403"/>
      <c r="Y304" s="2403"/>
      <c r="Z304" s="2403"/>
      <c r="AA304" s="2403"/>
      <c r="AB304" s="2403"/>
      <c r="AC304" s="2403"/>
      <c r="AD304" s="2404"/>
      <c r="AE304" s="551"/>
      <c r="AF304" s="551"/>
      <c r="AG304" s="551"/>
      <c r="AH304" s="551"/>
      <c r="AI304" s="551"/>
      <c r="AJ304" s="550"/>
      <c r="AK304" s="550"/>
      <c r="AL304" s="550"/>
      <c r="AM304" s="550"/>
      <c r="AR304" s="648"/>
    </row>
    <row r="305" spans="1:44">
      <c r="A305" s="550"/>
      <c r="B305" s="551"/>
      <c r="C305" s="550"/>
      <c r="D305" s="551"/>
      <c r="E305" s="550"/>
      <c r="F305" s="2402"/>
      <c r="G305" s="2403"/>
      <c r="H305" s="2403"/>
      <c r="I305" s="2403"/>
      <c r="J305" s="2403"/>
      <c r="K305" s="2403"/>
      <c r="L305" s="2403"/>
      <c r="M305" s="2403"/>
      <c r="N305" s="2403"/>
      <c r="O305" s="2403"/>
      <c r="P305" s="2403"/>
      <c r="Q305" s="2403"/>
      <c r="R305" s="2403"/>
      <c r="S305" s="2403"/>
      <c r="T305" s="2403"/>
      <c r="U305" s="2403"/>
      <c r="V305" s="2403"/>
      <c r="W305" s="2403"/>
      <c r="X305" s="2403"/>
      <c r="Y305" s="2403"/>
      <c r="Z305" s="2403"/>
      <c r="AA305" s="2403"/>
      <c r="AB305" s="2403"/>
      <c r="AC305" s="2403"/>
      <c r="AD305" s="240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9"/>
      <c r="G306" s="2400"/>
      <c r="H306" s="2400"/>
      <c r="I306" s="2400"/>
      <c r="J306" s="2400"/>
      <c r="K306" s="2400"/>
      <c r="L306" s="2400"/>
      <c r="M306" s="2400"/>
      <c r="N306" s="2400"/>
      <c r="O306" s="2400"/>
      <c r="P306" s="2400"/>
      <c r="Q306" s="2400"/>
      <c r="R306" s="2400"/>
      <c r="S306" s="2400"/>
      <c r="T306" s="2400"/>
      <c r="U306" s="2400"/>
      <c r="V306" s="2400"/>
      <c r="W306" s="2400"/>
      <c r="X306" s="2400"/>
      <c r="Y306" s="2400"/>
      <c r="Z306" s="2400"/>
      <c r="AA306" s="2400"/>
      <c r="AB306" s="2400"/>
      <c r="AC306" s="2400"/>
      <c r="AD306" s="240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16" t="s">
        <v>1390</v>
      </c>
      <c r="B310" s="1616"/>
      <c r="C310" s="2472" t="s">
        <v>592</v>
      </c>
      <c r="D310" s="2472"/>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4" t="s">
        <v>2027</v>
      </c>
      <c r="G311" s="2495"/>
      <c r="H311" s="2495"/>
      <c r="I311" s="2495"/>
      <c r="J311" s="2495"/>
      <c r="K311" s="2495"/>
      <c r="L311" s="2495"/>
      <c r="M311" s="2495"/>
      <c r="N311" s="2495"/>
      <c r="O311" s="2495"/>
      <c r="P311" s="2495"/>
      <c r="Q311" s="2495"/>
      <c r="R311" s="2495"/>
      <c r="S311" s="2495"/>
      <c r="T311" s="2495"/>
      <c r="U311" s="2495"/>
      <c r="V311" s="2495"/>
      <c r="W311" s="2495"/>
      <c r="X311" s="2495"/>
      <c r="Y311" s="2495"/>
      <c r="Z311" s="2495"/>
      <c r="AA311" s="2495"/>
      <c r="AB311" s="2495"/>
      <c r="AC311" s="2495"/>
      <c r="AD311" s="2496"/>
      <c r="AE311" s="551"/>
      <c r="AF311" s="551"/>
      <c r="AG311" s="539"/>
      <c r="AH311" s="551"/>
      <c r="AI311" s="551"/>
      <c r="AJ311" s="550"/>
      <c r="AK311" s="550"/>
      <c r="AL311" s="550"/>
      <c r="AM311" s="550"/>
      <c r="AN311" s="73"/>
      <c r="AO311" s="14"/>
      <c r="AP311" s="557" t="s">
        <v>1185</v>
      </c>
    </row>
    <row r="312" spans="1:44" hidden="1">
      <c r="F312" s="2494"/>
      <c r="G312" s="2495"/>
      <c r="H312" s="2495"/>
      <c r="I312" s="2495"/>
      <c r="J312" s="2495"/>
      <c r="K312" s="2495"/>
      <c r="L312" s="2495"/>
      <c r="M312" s="2495"/>
      <c r="N312" s="2495"/>
      <c r="O312" s="2495"/>
      <c r="P312" s="2495"/>
      <c r="Q312" s="2495"/>
      <c r="R312" s="2495"/>
      <c r="S312" s="2495"/>
      <c r="T312" s="2495"/>
      <c r="U312" s="2495"/>
      <c r="V312" s="2495"/>
      <c r="W312" s="2495"/>
      <c r="X312" s="2495"/>
      <c r="Y312" s="2495"/>
      <c r="Z312" s="2495"/>
      <c r="AA312" s="2495"/>
      <c r="AB312" s="2495"/>
      <c r="AC312" s="2495"/>
      <c r="AD312" s="2496"/>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4" t="s">
        <v>1185</v>
      </c>
      <c r="G316" s="2505"/>
      <c r="H316" s="2505"/>
      <c r="I316" s="2505"/>
      <c r="J316" s="2505"/>
      <c r="K316" s="2505"/>
      <c r="L316" s="2505"/>
      <c r="M316" s="2505"/>
      <c r="N316" s="2505"/>
      <c r="O316" s="2505"/>
      <c r="P316" s="2505"/>
      <c r="Q316" s="2505"/>
      <c r="R316" s="2505"/>
      <c r="S316" s="2505"/>
      <c r="T316" s="2505"/>
      <c r="U316" s="2505"/>
      <c r="V316" s="2505"/>
      <c r="W316" s="2505"/>
      <c r="X316" s="2505"/>
      <c r="Y316" s="2505"/>
      <c r="Z316" s="2505"/>
      <c r="AA316" s="2505"/>
      <c r="AB316" s="2505"/>
      <c r="AC316" s="2505"/>
      <c r="AD316" s="2506"/>
      <c r="AE316" s="642"/>
      <c r="AF316" s="642"/>
      <c r="AG316" s="642"/>
      <c r="AH316" s="642"/>
      <c r="AI316" s="642"/>
      <c r="AJ316" s="642"/>
      <c r="AK316" s="642"/>
      <c r="AL316" s="550"/>
      <c r="AM316" s="550"/>
      <c r="AN316" s="73"/>
      <c r="AO316" s="14"/>
      <c r="AP316" s="30"/>
    </row>
    <row r="317" spans="1:44" hidden="1">
      <c r="A317" s="550"/>
      <c r="B317" s="551"/>
      <c r="C317" s="730"/>
      <c r="D317" s="730"/>
      <c r="E317" s="547"/>
      <c r="F317" s="2504"/>
      <c r="G317" s="2505"/>
      <c r="H317" s="2505"/>
      <c r="I317" s="2505"/>
      <c r="J317" s="2505"/>
      <c r="K317" s="2505"/>
      <c r="L317" s="2505"/>
      <c r="M317" s="2505"/>
      <c r="N317" s="2505"/>
      <c r="O317" s="2505"/>
      <c r="P317" s="2505"/>
      <c r="Q317" s="2505"/>
      <c r="R317" s="2505"/>
      <c r="S317" s="2505"/>
      <c r="T317" s="2505"/>
      <c r="U317" s="2505"/>
      <c r="V317" s="2505"/>
      <c r="W317" s="2505"/>
      <c r="X317" s="2505"/>
      <c r="Y317" s="2505"/>
      <c r="Z317" s="2505"/>
      <c r="AA317" s="2505"/>
      <c r="AB317" s="2505"/>
      <c r="AC317" s="2505"/>
      <c r="AD317" s="2506"/>
      <c r="AE317" s="551"/>
      <c r="AF317" s="551"/>
      <c r="AG317" s="539"/>
      <c r="AH317" s="551"/>
      <c r="AI317" s="551"/>
      <c r="AJ317" s="550"/>
      <c r="AK317" s="550"/>
      <c r="AL317" s="550"/>
      <c r="AM317" s="550"/>
      <c r="AN317" s="73"/>
      <c r="AO317" s="14"/>
      <c r="AP317" s="30"/>
    </row>
    <row r="318" spans="1:44" hidden="1">
      <c r="A318" s="550"/>
      <c r="B318" s="551"/>
      <c r="C318" s="730"/>
      <c r="D318" s="730"/>
      <c r="E318" s="547"/>
      <c r="F318" s="2504"/>
      <c r="G318" s="2505"/>
      <c r="H318" s="2505"/>
      <c r="I318" s="2505"/>
      <c r="J318" s="2505"/>
      <c r="K318" s="2505"/>
      <c r="L318" s="2505"/>
      <c r="M318" s="2505"/>
      <c r="N318" s="2505"/>
      <c r="O318" s="2505"/>
      <c r="P318" s="2505"/>
      <c r="Q318" s="2505"/>
      <c r="R318" s="2505"/>
      <c r="S318" s="2505"/>
      <c r="T318" s="2505"/>
      <c r="U318" s="2505"/>
      <c r="V318" s="2505"/>
      <c r="W318" s="2505"/>
      <c r="X318" s="2505"/>
      <c r="Y318" s="2505"/>
      <c r="Z318" s="2505"/>
      <c r="AA318" s="2505"/>
      <c r="AB318" s="2505"/>
      <c r="AC318" s="2505"/>
      <c r="AD318" s="2506"/>
      <c r="AE318" s="551"/>
      <c r="AF318" s="551"/>
      <c r="AG318" s="539"/>
      <c r="AH318" s="551"/>
      <c r="AI318" s="551"/>
      <c r="AJ318" s="550"/>
      <c r="AK318" s="550"/>
      <c r="AL318" s="550"/>
      <c r="AM318" s="550"/>
      <c r="AN318" s="73"/>
      <c r="AO318" s="14"/>
      <c r="AP318" s="30"/>
    </row>
    <row r="319" spans="1:44" hidden="1">
      <c r="A319" s="550"/>
      <c r="B319" s="551"/>
      <c r="C319" s="730"/>
      <c r="D319" s="730"/>
      <c r="E319" s="547"/>
      <c r="F319" s="2504"/>
      <c r="G319" s="2505"/>
      <c r="H319" s="2505"/>
      <c r="I319" s="2505"/>
      <c r="J319" s="2505"/>
      <c r="K319" s="2505"/>
      <c r="L319" s="2505"/>
      <c r="M319" s="2505"/>
      <c r="N319" s="2505"/>
      <c r="O319" s="2505"/>
      <c r="P319" s="2505"/>
      <c r="Q319" s="2505"/>
      <c r="R319" s="2505"/>
      <c r="S319" s="2505"/>
      <c r="T319" s="2505"/>
      <c r="U319" s="2505"/>
      <c r="V319" s="2505"/>
      <c r="W319" s="2505"/>
      <c r="X319" s="2505"/>
      <c r="Y319" s="2505"/>
      <c r="Z319" s="2505"/>
      <c r="AA319" s="2505"/>
      <c r="AB319" s="2505"/>
      <c r="AC319" s="2505"/>
      <c r="AD319" s="2506"/>
      <c r="AE319" s="551"/>
      <c r="AF319" s="551"/>
      <c r="AG319" s="539"/>
      <c r="AH319" s="551"/>
      <c r="AI319" s="551"/>
      <c r="AJ319" s="550"/>
      <c r="AK319" s="550"/>
      <c r="AL319" s="550"/>
      <c r="AM319" s="550"/>
      <c r="AN319" s="73"/>
      <c r="AO319" s="14"/>
      <c r="AP319" s="30"/>
    </row>
    <row r="320" spans="1:44" hidden="1">
      <c r="A320" s="550"/>
      <c r="B320" s="551"/>
      <c r="C320" s="730"/>
      <c r="D320" s="730"/>
      <c r="E320" s="547"/>
      <c r="F320" s="2507"/>
      <c r="G320" s="2508"/>
      <c r="H320" s="2508"/>
      <c r="I320" s="2508"/>
      <c r="J320" s="2508"/>
      <c r="K320" s="2508"/>
      <c r="L320" s="2508"/>
      <c r="M320" s="2508"/>
      <c r="N320" s="2508"/>
      <c r="O320" s="2508"/>
      <c r="P320" s="2508"/>
      <c r="Q320" s="2508"/>
      <c r="R320" s="2508"/>
      <c r="S320" s="2508"/>
      <c r="T320" s="2508"/>
      <c r="U320" s="2508"/>
      <c r="V320" s="2508"/>
      <c r="W320" s="2508"/>
      <c r="X320" s="2508"/>
      <c r="Y320" s="2508"/>
      <c r="Z320" s="2508"/>
      <c r="AA320" s="2508"/>
      <c r="AB320" s="2508"/>
      <c r="AC320" s="2508"/>
      <c r="AD320" s="2509"/>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0" t="s">
        <v>1185</v>
      </c>
      <c r="J324" s="2510"/>
      <c r="K324" s="2510"/>
      <c r="L324" s="2510"/>
      <c r="M324" s="2510"/>
      <c r="N324" s="2510"/>
      <c r="O324" s="2510"/>
      <c r="P324" s="2510"/>
      <c r="Q324" s="2510"/>
      <c r="R324" s="2510"/>
      <c r="S324" s="2510"/>
      <c r="T324" s="2510"/>
      <c r="U324" s="2510"/>
      <c r="V324" s="2510"/>
      <c r="W324" s="2510"/>
      <c r="X324" s="2510"/>
      <c r="Y324" s="2510"/>
      <c r="Z324" s="2510"/>
      <c r="AA324" s="2510"/>
      <c r="AB324" s="2510"/>
      <c r="AC324" s="2510"/>
      <c r="AD324" s="2511"/>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0"/>
      <c r="J325" s="2510"/>
      <c r="K325" s="2510"/>
      <c r="L325" s="2510"/>
      <c r="M325" s="2510"/>
      <c r="N325" s="2510"/>
      <c r="O325" s="2510"/>
      <c r="P325" s="2510"/>
      <c r="Q325" s="2510"/>
      <c r="R325" s="2510"/>
      <c r="S325" s="2510"/>
      <c r="T325" s="2510"/>
      <c r="U325" s="2510"/>
      <c r="V325" s="2510"/>
      <c r="W325" s="2510"/>
      <c r="X325" s="2510"/>
      <c r="Y325" s="2510"/>
      <c r="Z325" s="2510"/>
      <c r="AA325" s="2510"/>
      <c r="AB325" s="2510"/>
      <c r="AC325" s="2510"/>
      <c r="AD325" s="2511"/>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0"/>
      <c r="J326" s="2510"/>
      <c r="K326" s="2510"/>
      <c r="L326" s="2510"/>
      <c r="M326" s="2510"/>
      <c r="N326" s="2510"/>
      <c r="O326" s="2510"/>
      <c r="P326" s="2510"/>
      <c r="Q326" s="2510"/>
      <c r="R326" s="2510"/>
      <c r="S326" s="2510"/>
      <c r="T326" s="2510"/>
      <c r="U326" s="2510"/>
      <c r="V326" s="2510"/>
      <c r="W326" s="2510"/>
      <c r="X326" s="2510"/>
      <c r="Y326" s="2510"/>
      <c r="Z326" s="2510"/>
      <c r="AA326" s="2510"/>
      <c r="AB326" s="2510"/>
      <c r="AC326" s="2510"/>
      <c r="AD326" s="2511"/>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2"/>
      <c r="J327" s="2512"/>
      <c r="K327" s="2512"/>
      <c r="L327" s="2512"/>
      <c r="M327" s="2512"/>
      <c r="N327" s="2512"/>
      <c r="O327" s="2512"/>
      <c r="P327" s="2512"/>
      <c r="Q327" s="2512"/>
      <c r="R327" s="2512"/>
      <c r="S327" s="2512"/>
      <c r="T327" s="2512"/>
      <c r="U327" s="2512"/>
      <c r="V327" s="2512"/>
      <c r="W327" s="2512"/>
      <c r="X327" s="2512"/>
      <c r="Y327" s="2512"/>
      <c r="Z327" s="2512"/>
      <c r="AA327" s="2512"/>
      <c r="AB327" s="2512"/>
      <c r="AC327" s="2512"/>
      <c r="AD327" s="2513"/>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0" t="s">
        <v>1185</v>
      </c>
      <c r="J329" s="2510"/>
      <c r="K329" s="2510"/>
      <c r="L329" s="2510"/>
      <c r="M329" s="2510"/>
      <c r="N329" s="2510"/>
      <c r="O329" s="2510"/>
      <c r="P329" s="2510"/>
      <c r="Q329" s="2510"/>
      <c r="R329" s="2510"/>
      <c r="S329" s="2510"/>
      <c r="T329" s="2510"/>
      <c r="U329" s="2510"/>
      <c r="V329" s="2510"/>
      <c r="W329" s="2510"/>
      <c r="X329" s="2510"/>
      <c r="Y329" s="2510"/>
      <c r="Z329" s="2510"/>
      <c r="AA329" s="2510"/>
      <c r="AB329" s="2510"/>
      <c r="AC329" s="2510"/>
      <c r="AD329" s="2511"/>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0"/>
      <c r="J330" s="2510"/>
      <c r="K330" s="2510"/>
      <c r="L330" s="2510"/>
      <c r="M330" s="2510"/>
      <c r="N330" s="2510"/>
      <c r="O330" s="2510"/>
      <c r="P330" s="2510"/>
      <c r="Q330" s="2510"/>
      <c r="R330" s="2510"/>
      <c r="S330" s="2510"/>
      <c r="T330" s="2510"/>
      <c r="U330" s="2510"/>
      <c r="V330" s="2510"/>
      <c r="W330" s="2510"/>
      <c r="X330" s="2510"/>
      <c r="Y330" s="2510"/>
      <c r="Z330" s="2510"/>
      <c r="AA330" s="2510"/>
      <c r="AB330" s="2510"/>
      <c r="AC330" s="2510"/>
      <c r="AD330" s="2511"/>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2"/>
      <c r="J331" s="2512"/>
      <c r="K331" s="2512"/>
      <c r="L331" s="2512"/>
      <c r="M331" s="2512"/>
      <c r="N331" s="2512"/>
      <c r="O331" s="2512"/>
      <c r="P331" s="2512"/>
      <c r="Q331" s="2512"/>
      <c r="R331" s="2512"/>
      <c r="S331" s="2512"/>
      <c r="T331" s="2512"/>
      <c r="U331" s="2512"/>
      <c r="V331" s="2512"/>
      <c r="W331" s="2512"/>
      <c r="X331" s="2512"/>
      <c r="Y331" s="2512"/>
      <c r="Z331" s="2512"/>
      <c r="AA331" s="2512"/>
      <c r="AB331" s="2512"/>
      <c r="AC331" s="2512"/>
      <c r="AD331" s="2513"/>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16" t="s">
        <v>1393</v>
      </c>
      <c r="B333" s="1616"/>
      <c r="C333" s="2472" t="s">
        <v>592</v>
      </c>
      <c r="D333" s="2472"/>
      <c r="E333" s="547"/>
      <c r="F333" s="2396" t="s">
        <v>2028</v>
      </c>
      <c r="G333" s="2397"/>
      <c r="H333" s="2397"/>
      <c r="I333" s="2397"/>
      <c r="J333" s="2397"/>
      <c r="K333" s="2397"/>
      <c r="L333" s="2397"/>
      <c r="M333" s="2397"/>
      <c r="N333" s="2397"/>
      <c r="O333" s="2397"/>
      <c r="P333" s="2397"/>
      <c r="Q333" s="2397"/>
      <c r="R333" s="2397"/>
      <c r="S333" s="2397"/>
      <c r="T333" s="2397"/>
      <c r="U333" s="2397"/>
      <c r="V333" s="2397"/>
      <c r="W333" s="2397"/>
      <c r="X333" s="2397"/>
      <c r="Y333" s="2397"/>
      <c r="Z333" s="2397"/>
      <c r="AA333" s="2397"/>
      <c r="AB333" s="2397"/>
      <c r="AC333" s="2397"/>
      <c r="AD333" s="2398"/>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2"/>
      <c r="G334" s="2403"/>
      <c r="H334" s="2403"/>
      <c r="I334" s="2403"/>
      <c r="J334" s="2403"/>
      <c r="K334" s="2403"/>
      <c r="L334" s="2403"/>
      <c r="M334" s="2403"/>
      <c r="N334" s="2403"/>
      <c r="O334" s="2403"/>
      <c r="P334" s="2403"/>
      <c r="Q334" s="2403"/>
      <c r="R334" s="2403"/>
      <c r="S334" s="2403"/>
      <c r="T334" s="2403"/>
      <c r="U334" s="2403"/>
      <c r="V334" s="2403"/>
      <c r="W334" s="2403"/>
      <c r="X334" s="2403"/>
      <c r="Y334" s="2403"/>
      <c r="Z334" s="2403"/>
      <c r="AA334" s="2403"/>
      <c r="AB334" s="2403"/>
      <c r="AC334" s="2403"/>
      <c r="AD334" s="2404"/>
      <c r="AE334" s="551"/>
      <c r="AF334" s="551"/>
      <c r="AG334" s="551"/>
      <c r="AH334" s="551"/>
      <c r="AI334" s="551"/>
      <c r="AJ334" s="550"/>
      <c r="AK334" s="550"/>
      <c r="AL334" s="550"/>
      <c r="AM334" s="550"/>
      <c r="AN334" s="73"/>
      <c r="AO334" s="14"/>
    </row>
    <row r="335" spans="1:42" ht="15" hidden="1" customHeight="1">
      <c r="A335" s="550"/>
      <c r="B335" s="551"/>
      <c r="C335" s="551"/>
      <c r="D335" s="551"/>
      <c r="E335" s="551"/>
      <c r="F335" s="2402"/>
      <c r="G335" s="2403"/>
      <c r="H335" s="2403"/>
      <c r="I335" s="2403"/>
      <c r="J335" s="2403"/>
      <c r="K335" s="2403"/>
      <c r="L335" s="2403"/>
      <c r="M335" s="2403"/>
      <c r="N335" s="2403"/>
      <c r="O335" s="2403"/>
      <c r="P335" s="2403"/>
      <c r="Q335" s="2403"/>
      <c r="R335" s="2403"/>
      <c r="S335" s="2403"/>
      <c r="T335" s="2403"/>
      <c r="U335" s="2403"/>
      <c r="V335" s="2403"/>
      <c r="W335" s="2403"/>
      <c r="X335" s="2403"/>
      <c r="Y335" s="2403"/>
      <c r="Z335" s="2403"/>
      <c r="AA335" s="2403"/>
      <c r="AB335" s="2403"/>
      <c r="AC335" s="2403"/>
      <c r="AD335" s="2404"/>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5">
        <f>IF(NOT(OR(Application!M355="Yes",Application!M356="Yes")),0,AP295)</f>
        <v>10</v>
      </c>
      <c r="AL338" s="2476"/>
      <c r="AM338" s="2477"/>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5" t="s">
        <v>1315</v>
      </c>
      <c r="AF341" s="2405"/>
      <c r="AG341" s="2405"/>
      <c r="AH341" s="2405"/>
      <c r="AI341" s="2405"/>
      <c r="AJ341" s="2405"/>
      <c r="AK341" s="240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4" t="s">
        <v>1455</v>
      </c>
      <c r="D343" s="2514"/>
      <c r="E343" s="2514"/>
      <c r="F343" s="2514"/>
      <c r="G343" s="2514"/>
      <c r="H343" s="2514"/>
      <c r="I343" s="2514"/>
      <c r="J343" s="2514"/>
      <c r="K343" s="2514"/>
      <c r="L343" s="2514"/>
      <c r="M343" s="2514"/>
      <c r="N343" s="2514"/>
      <c r="O343" s="2514"/>
      <c r="P343" s="2514"/>
      <c r="Q343" s="2514"/>
      <c r="R343" s="2514"/>
      <c r="S343" s="2514"/>
      <c r="T343" s="2514"/>
      <c r="U343" s="2514"/>
      <c r="V343" s="2514"/>
      <c r="W343" s="2514"/>
      <c r="X343" s="2514"/>
      <c r="Y343" s="2514"/>
      <c r="Z343" s="2514"/>
      <c r="AA343" s="2514"/>
      <c r="AB343" s="2514"/>
      <c r="AC343" s="2514"/>
      <c r="AD343" s="2514"/>
      <c r="AE343" s="2514"/>
      <c r="AF343" s="2514"/>
      <c r="AG343" s="2514"/>
      <c r="AH343" s="2514"/>
      <c r="AI343" s="2514"/>
      <c r="AJ343" s="2514"/>
      <c r="AK343" s="603"/>
      <c r="AL343" s="603"/>
      <c r="AM343" s="603"/>
      <c r="AN343" s="597"/>
    </row>
    <row r="344" spans="1:44" s="550" customFormat="1" ht="12.75" customHeight="1">
      <c r="A344" s="603"/>
      <c r="B344" s="611"/>
      <c r="C344" s="2514"/>
      <c r="D344" s="2514"/>
      <c r="E344" s="2514"/>
      <c r="F344" s="2514"/>
      <c r="G344" s="2514"/>
      <c r="H344" s="2514"/>
      <c r="I344" s="2514"/>
      <c r="J344" s="2514"/>
      <c r="K344" s="2514"/>
      <c r="L344" s="2514"/>
      <c r="M344" s="2514"/>
      <c r="N344" s="2514"/>
      <c r="O344" s="2514"/>
      <c r="P344" s="2514"/>
      <c r="Q344" s="2514"/>
      <c r="R344" s="2514"/>
      <c r="S344" s="2514"/>
      <c r="T344" s="2514"/>
      <c r="U344" s="2514"/>
      <c r="V344" s="2514"/>
      <c r="W344" s="2514"/>
      <c r="X344" s="2514"/>
      <c r="Y344" s="2514"/>
      <c r="Z344" s="2514"/>
      <c r="AA344" s="2514"/>
      <c r="AB344" s="2514"/>
      <c r="AC344" s="2514"/>
      <c r="AD344" s="2514"/>
      <c r="AE344" s="2514"/>
      <c r="AF344" s="2514"/>
      <c r="AG344" s="2514"/>
      <c r="AH344" s="2514"/>
      <c r="AI344" s="2514"/>
      <c r="AJ344" s="2514"/>
      <c r="AK344" s="603"/>
      <c r="AL344" s="603"/>
      <c r="AM344" s="603"/>
      <c r="AN344" s="597"/>
    </row>
    <row r="345" spans="1:44" s="550" customFormat="1" ht="12.75" customHeight="1">
      <c r="A345" s="603"/>
      <c r="B345" s="611"/>
      <c r="C345" s="2514"/>
      <c r="D345" s="2514"/>
      <c r="E345" s="2514"/>
      <c r="F345" s="2514"/>
      <c r="G345" s="2514"/>
      <c r="H345" s="2514"/>
      <c r="I345" s="2514"/>
      <c r="J345" s="2514"/>
      <c r="K345" s="2514"/>
      <c r="L345" s="2514"/>
      <c r="M345" s="2514"/>
      <c r="N345" s="2514"/>
      <c r="O345" s="2514"/>
      <c r="P345" s="2514"/>
      <c r="Q345" s="2514"/>
      <c r="R345" s="2514"/>
      <c r="S345" s="2514"/>
      <c r="T345" s="2514"/>
      <c r="U345" s="2514"/>
      <c r="V345" s="2514"/>
      <c r="W345" s="2514"/>
      <c r="X345" s="2514"/>
      <c r="Y345" s="2514"/>
      <c r="Z345" s="2514"/>
      <c r="AA345" s="2514"/>
      <c r="AB345" s="2514"/>
      <c r="AC345" s="2514"/>
      <c r="AD345" s="2514"/>
      <c r="AE345" s="2514"/>
      <c r="AF345" s="2514"/>
      <c r="AG345" s="2514"/>
      <c r="AH345" s="2514"/>
      <c r="AI345" s="2514"/>
      <c r="AJ345" s="2514"/>
      <c r="AK345" s="603"/>
      <c r="AL345" s="603"/>
      <c r="AM345" s="603"/>
      <c r="AN345" s="597"/>
      <c r="AQ345" s="570"/>
    </row>
    <row r="346" spans="1:44" s="550" customFormat="1" ht="12.75" customHeight="1">
      <c r="A346" s="603"/>
      <c r="B346" s="611"/>
      <c r="C346" s="2514"/>
      <c r="D346" s="2514"/>
      <c r="E346" s="2514"/>
      <c r="F346" s="2514"/>
      <c r="G346" s="2514"/>
      <c r="H346" s="2514"/>
      <c r="I346" s="2514"/>
      <c r="J346" s="2514"/>
      <c r="K346" s="2514"/>
      <c r="L346" s="2514"/>
      <c r="M346" s="2514"/>
      <c r="N346" s="2514"/>
      <c r="O346" s="2514"/>
      <c r="P346" s="2514"/>
      <c r="Q346" s="2514"/>
      <c r="R346" s="2514"/>
      <c r="S346" s="2514"/>
      <c r="T346" s="2514"/>
      <c r="U346" s="2514"/>
      <c r="V346" s="2514"/>
      <c r="W346" s="2514"/>
      <c r="X346" s="2514"/>
      <c r="Y346" s="2514"/>
      <c r="Z346" s="2514"/>
      <c r="AA346" s="2514"/>
      <c r="AB346" s="2514"/>
      <c r="AC346" s="2514"/>
      <c r="AD346" s="2514"/>
      <c r="AE346" s="2514"/>
      <c r="AF346" s="2514"/>
      <c r="AG346" s="2514"/>
      <c r="AH346" s="2514"/>
      <c r="AI346" s="2514"/>
      <c r="AJ346" s="2514"/>
      <c r="AK346" s="603"/>
      <c r="AL346" s="603"/>
      <c r="AM346" s="603"/>
      <c r="AN346" s="597"/>
      <c r="AQ346" s="570"/>
    </row>
    <row r="347" spans="1:44" s="550" customFormat="1" ht="12.4" customHeight="1">
      <c r="A347" s="603"/>
      <c r="B347" s="611"/>
      <c r="C347" s="2514"/>
      <c r="D347" s="2514"/>
      <c r="E347" s="2514"/>
      <c r="F347" s="2514"/>
      <c r="G347" s="2514"/>
      <c r="H347" s="2514"/>
      <c r="I347" s="2514"/>
      <c r="J347" s="2514"/>
      <c r="K347" s="2514"/>
      <c r="L347" s="2514"/>
      <c r="M347" s="2514"/>
      <c r="N347" s="2514"/>
      <c r="O347" s="2514"/>
      <c r="P347" s="2514"/>
      <c r="Q347" s="2514"/>
      <c r="R347" s="2514"/>
      <c r="S347" s="2514"/>
      <c r="T347" s="2514"/>
      <c r="U347" s="2514"/>
      <c r="V347" s="2514"/>
      <c r="W347" s="2514"/>
      <c r="X347" s="2514"/>
      <c r="Y347" s="2514"/>
      <c r="Z347" s="2514"/>
      <c r="AA347" s="2514"/>
      <c r="AB347" s="2514"/>
      <c r="AC347" s="2514"/>
      <c r="AD347" s="2514"/>
      <c r="AE347" s="2514"/>
      <c r="AF347" s="2514"/>
      <c r="AG347" s="2514"/>
      <c r="AH347" s="2514"/>
      <c r="AI347" s="2514"/>
      <c r="AJ347" s="2514"/>
      <c r="AK347" s="603"/>
      <c r="AL347" s="603"/>
      <c r="AM347" s="603"/>
      <c r="AN347" s="597"/>
      <c r="AQ347" s="570"/>
      <c r="AR347" s="570"/>
    </row>
    <row r="348" spans="1:44" s="550" customFormat="1" ht="45.75" customHeight="1">
      <c r="A348" s="603"/>
      <c r="B348" s="611"/>
      <c r="C348" s="2514" t="s">
        <v>2093</v>
      </c>
      <c r="D348" s="2514"/>
      <c r="E348" s="2514"/>
      <c r="F348" s="2514"/>
      <c r="G348" s="2514"/>
      <c r="H348" s="2514"/>
      <c r="I348" s="2514"/>
      <c r="J348" s="2514"/>
      <c r="K348" s="2514"/>
      <c r="L348" s="2514"/>
      <c r="M348" s="2514"/>
      <c r="N348" s="2514"/>
      <c r="O348" s="2514"/>
      <c r="P348" s="2514"/>
      <c r="Q348" s="2514"/>
      <c r="R348" s="2514"/>
      <c r="S348" s="2514"/>
      <c r="T348" s="2514"/>
      <c r="U348" s="2514"/>
      <c r="V348" s="2514"/>
      <c r="W348" s="2514"/>
      <c r="X348" s="2514"/>
      <c r="Y348" s="2514"/>
      <c r="Z348" s="2514"/>
      <c r="AA348" s="2514"/>
      <c r="AB348" s="2514"/>
      <c r="AC348" s="2514"/>
      <c r="AD348" s="2514"/>
      <c r="AE348" s="2514"/>
      <c r="AF348" s="2514"/>
      <c r="AG348" s="2514"/>
      <c r="AH348" s="2514"/>
      <c r="AI348" s="2514"/>
      <c r="AJ348" s="2514"/>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4" t="s">
        <v>2208</v>
      </c>
      <c r="D350" s="2514"/>
      <c r="E350" s="2514"/>
      <c r="F350" s="2514"/>
      <c r="G350" s="2514"/>
      <c r="H350" s="2514"/>
      <c r="I350" s="2514"/>
      <c r="J350" s="2514"/>
      <c r="K350" s="2514"/>
      <c r="L350" s="2514"/>
      <c r="M350" s="2514"/>
      <c r="N350" s="2514"/>
      <c r="O350" s="2514"/>
      <c r="P350" s="2514"/>
      <c r="Q350" s="2514"/>
      <c r="R350" s="2514"/>
      <c r="S350" s="2514"/>
      <c r="T350" s="2514"/>
      <c r="U350" s="2514"/>
      <c r="V350" s="2514"/>
      <c r="W350" s="2514"/>
      <c r="X350" s="2514"/>
      <c r="Y350" s="2514"/>
      <c r="Z350" s="2514"/>
      <c r="AA350" s="2514"/>
      <c r="AB350" s="2514"/>
      <c r="AC350" s="2514"/>
      <c r="AD350" s="2514"/>
      <c r="AE350" s="2514"/>
      <c r="AF350" s="2514"/>
      <c r="AG350" s="2514"/>
      <c r="AH350" s="2514"/>
      <c r="AI350" s="2514"/>
      <c r="AJ350" s="2514"/>
      <c r="AK350" s="603"/>
      <c r="AL350" s="603"/>
      <c r="AM350" s="603"/>
      <c r="AN350" s="597"/>
      <c r="AQ350" s="570"/>
      <c r="AR350" s="570"/>
    </row>
    <row r="351" spans="1:44" s="550" customFormat="1" ht="30" customHeight="1">
      <c r="A351" s="603"/>
      <c r="B351" s="611"/>
      <c r="C351" s="2514"/>
      <c r="D351" s="2514"/>
      <c r="E351" s="2514"/>
      <c r="F351" s="2514"/>
      <c r="G351" s="2514"/>
      <c r="H351" s="2514"/>
      <c r="I351" s="2514"/>
      <c r="J351" s="2514"/>
      <c r="K351" s="2514"/>
      <c r="L351" s="2514"/>
      <c r="M351" s="2514"/>
      <c r="N351" s="2514"/>
      <c r="O351" s="2514"/>
      <c r="P351" s="2514"/>
      <c r="Q351" s="2514"/>
      <c r="R351" s="2514"/>
      <c r="S351" s="2514"/>
      <c r="T351" s="2514"/>
      <c r="U351" s="2514"/>
      <c r="V351" s="2514"/>
      <c r="W351" s="2514"/>
      <c r="X351" s="2514"/>
      <c r="Y351" s="2514"/>
      <c r="Z351" s="2514"/>
      <c r="AA351" s="2514"/>
      <c r="AB351" s="2514"/>
      <c r="AC351" s="2514"/>
      <c r="AD351" s="2514"/>
      <c r="AE351" s="2514"/>
      <c r="AF351" s="2514"/>
      <c r="AG351" s="2514"/>
      <c r="AH351" s="2514"/>
      <c r="AI351" s="2514"/>
      <c r="AJ351" s="2514"/>
      <c r="AK351" s="603"/>
      <c r="AL351" s="603"/>
      <c r="AM351" s="603"/>
      <c r="AN351" s="597"/>
      <c r="AR351" s="570"/>
    </row>
    <row r="352" spans="1:44" s="550" customFormat="1" ht="12.75" customHeight="1">
      <c r="A352" s="603"/>
      <c r="B352" s="611"/>
      <c r="C352" s="2514"/>
      <c r="D352" s="2514"/>
      <c r="E352" s="2514"/>
      <c r="F352" s="2514"/>
      <c r="G352" s="2514"/>
      <c r="H352" s="2514"/>
      <c r="I352" s="2514"/>
      <c r="J352" s="2514"/>
      <c r="K352" s="2514"/>
      <c r="L352" s="2514"/>
      <c r="M352" s="2514"/>
      <c r="N352" s="2514"/>
      <c r="O352" s="2514"/>
      <c r="P352" s="2514"/>
      <c r="Q352" s="2514"/>
      <c r="R352" s="2514"/>
      <c r="S352" s="2514"/>
      <c r="T352" s="2514"/>
      <c r="U352" s="2514"/>
      <c r="V352" s="2514"/>
      <c r="W352" s="2514"/>
      <c r="X352" s="2514"/>
      <c r="Y352" s="2514"/>
      <c r="Z352" s="2514"/>
      <c r="AA352" s="2514"/>
      <c r="AB352" s="2514"/>
      <c r="AC352" s="2514"/>
      <c r="AD352" s="2514"/>
      <c r="AE352" s="2514"/>
      <c r="AF352" s="2514"/>
      <c r="AG352" s="2514"/>
      <c r="AH352" s="2514"/>
      <c r="AI352" s="2514"/>
      <c r="AJ352" s="2514"/>
      <c r="AK352" s="603"/>
      <c r="AL352" s="603"/>
      <c r="AM352" s="603"/>
      <c r="AN352" s="597"/>
      <c r="AR352" s="570"/>
    </row>
    <row r="353" spans="1:46" s="550" customFormat="1" ht="12.75" customHeight="1">
      <c r="A353" s="603"/>
      <c r="B353" s="611"/>
      <c r="C353" s="2514" t="s">
        <v>1456</v>
      </c>
      <c r="D353" s="2514"/>
      <c r="E353" s="2514"/>
      <c r="F353" s="2514"/>
      <c r="G353" s="2514"/>
      <c r="H353" s="2514"/>
      <c r="I353" s="2514"/>
      <c r="J353" s="2514"/>
      <c r="K353" s="2514"/>
      <c r="L353" s="2514"/>
      <c r="M353" s="2514"/>
      <c r="N353" s="2514"/>
      <c r="O353" s="2514"/>
      <c r="P353" s="2514"/>
      <c r="Q353" s="2514"/>
      <c r="R353" s="2514"/>
      <c r="S353" s="2514"/>
      <c r="T353" s="2514"/>
      <c r="U353" s="2514"/>
      <c r="V353" s="2514"/>
      <c r="W353" s="2514"/>
      <c r="X353" s="2514"/>
      <c r="Y353" s="2514"/>
      <c r="Z353" s="2514"/>
      <c r="AA353" s="2514"/>
      <c r="AB353" s="2514"/>
      <c r="AC353" s="2514"/>
      <c r="AD353" s="2514"/>
      <c r="AE353" s="2514"/>
      <c r="AF353" s="2514"/>
      <c r="AG353" s="2514"/>
      <c r="AH353" s="2514"/>
      <c r="AI353" s="2514"/>
      <c r="AJ353" s="2514"/>
      <c r="AK353" s="603"/>
      <c r="AL353" s="603"/>
      <c r="AM353" s="603"/>
      <c r="AN353" s="597"/>
      <c r="AQ353" s="570"/>
      <c r="AR353" s="570"/>
    </row>
    <row r="354" spans="1:46" s="550" customFormat="1" ht="12.75" customHeight="1">
      <c r="A354" s="603"/>
      <c r="B354" s="611"/>
      <c r="C354" s="2514"/>
      <c r="D354" s="2514"/>
      <c r="E354" s="2514"/>
      <c r="F354" s="2514"/>
      <c r="G354" s="2514"/>
      <c r="H354" s="2514"/>
      <c r="I354" s="2514"/>
      <c r="J354" s="2514"/>
      <c r="K354" s="2514"/>
      <c r="L354" s="2514"/>
      <c r="M354" s="2514"/>
      <c r="N354" s="2514"/>
      <c r="O354" s="2514"/>
      <c r="P354" s="2514"/>
      <c r="Q354" s="2514"/>
      <c r="R354" s="2514"/>
      <c r="S354" s="2514"/>
      <c r="T354" s="2514"/>
      <c r="U354" s="2514"/>
      <c r="V354" s="2514"/>
      <c r="W354" s="2514"/>
      <c r="X354" s="2514"/>
      <c r="Y354" s="2514"/>
      <c r="Z354" s="2514"/>
      <c r="AA354" s="2514"/>
      <c r="AB354" s="2514"/>
      <c r="AC354" s="2514"/>
      <c r="AD354" s="2514"/>
      <c r="AE354" s="2514"/>
      <c r="AF354" s="2514"/>
      <c r="AG354" s="2514"/>
      <c r="AH354" s="2514"/>
      <c r="AI354" s="2514"/>
      <c r="AJ354" s="2514"/>
      <c r="AK354" s="603"/>
      <c r="AL354" s="603"/>
      <c r="AM354" s="603"/>
      <c r="AN354" s="597"/>
      <c r="AQ354" s="570"/>
      <c r="AR354" s="570"/>
    </row>
    <row r="355" spans="1:46" s="550" customFormat="1" ht="13.15" customHeight="1">
      <c r="A355" s="603"/>
      <c r="B355" s="611"/>
      <c r="C355" s="2514"/>
      <c r="D355" s="2514"/>
      <c r="E355" s="2514"/>
      <c r="F355" s="2514"/>
      <c r="G355" s="2514"/>
      <c r="H355" s="2514"/>
      <c r="I355" s="2514"/>
      <c r="J355" s="2514"/>
      <c r="K355" s="2514"/>
      <c r="L355" s="2514"/>
      <c r="M355" s="2514"/>
      <c r="N355" s="2514"/>
      <c r="O355" s="2514"/>
      <c r="P355" s="2514"/>
      <c r="Q355" s="2514"/>
      <c r="R355" s="2514"/>
      <c r="S355" s="2514"/>
      <c r="T355" s="2514"/>
      <c r="U355" s="2514"/>
      <c r="V355" s="2514"/>
      <c r="W355" s="2514"/>
      <c r="X355" s="2514"/>
      <c r="Y355" s="2514"/>
      <c r="Z355" s="2514"/>
      <c r="AA355" s="2514"/>
      <c r="AB355" s="2514"/>
      <c r="AC355" s="2514"/>
      <c r="AD355" s="2514"/>
      <c r="AE355" s="2514"/>
      <c r="AF355" s="2514"/>
      <c r="AG355" s="2514"/>
      <c r="AH355" s="2514"/>
      <c r="AI355" s="2514"/>
      <c r="AJ355" s="2514"/>
      <c r="AK355" s="603"/>
      <c r="AL355" s="603"/>
      <c r="AM355" s="603"/>
      <c r="AN355" s="597"/>
      <c r="AQ355" s="570"/>
      <c r="AR355" s="570"/>
    </row>
    <row r="356" spans="1:46" s="550" customFormat="1" ht="12.75" customHeight="1">
      <c r="A356" s="603"/>
      <c r="B356" s="611"/>
      <c r="C356" s="2514"/>
      <c r="D356" s="2514"/>
      <c r="E356" s="2514"/>
      <c r="F356" s="2514"/>
      <c r="G356" s="2514"/>
      <c r="H356" s="2514"/>
      <c r="I356" s="2514"/>
      <c r="J356" s="2514"/>
      <c r="K356" s="2514"/>
      <c r="L356" s="2514"/>
      <c r="M356" s="2514"/>
      <c r="N356" s="2514"/>
      <c r="O356" s="2514"/>
      <c r="P356" s="2514"/>
      <c r="Q356" s="2514"/>
      <c r="R356" s="2514"/>
      <c r="S356" s="2514"/>
      <c r="T356" s="2514"/>
      <c r="U356" s="2514"/>
      <c r="V356" s="2514"/>
      <c r="W356" s="2514"/>
      <c r="X356" s="2514"/>
      <c r="Y356" s="2514"/>
      <c r="Z356" s="2514"/>
      <c r="AA356" s="2514"/>
      <c r="AB356" s="2514"/>
      <c r="AC356" s="2514"/>
      <c r="AD356" s="2514"/>
      <c r="AE356" s="2514"/>
      <c r="AF356" s="2514"/>
      <c r="AG356" s="2514"/>
      <c r="AH356" s="2514"/>
      <c r="AI356" s="2514"/>
      <c r="AJ356" s="2514"/>
      <c r="AK356" s="603"/>
      <c r="AL356" s="603"/>
      <c r="AM356" s="603"/>
      <c r="AN356" s="597"/>
      <c r="AO356" s="694"/>
      <c r="AP356" s="694"/>
      <c r="AQ356" s="570"/>
    </row>
    <row r="357" spans="1:46" s="550" customFormat="1" ht="11.85" customHeight="1">
      <c r="A357" s="603"/>
      <c r="B357" s="611"/>
      <c r="C357" s="2514"/>
      <c r="D357" s="2514"/>
      <c r="E357" s="2514"/>
      <c r="F357" s="2514"/>
      <c r="G357" s="2514"/>
      <c r="H357" s="2514"/>
      <c r="I357" s="2514"/>
      <c r="J357" s="2514"/>
      <c r="K357" s="2514"/>
      <c r="L357" s="2514"/>
      <c r="M357" s="2514"/>
      <c r="N357" s="2514"/>
      <c r="O357" s="2514"/>
      <c r="P357" s="2514"/>
      <c r="Q357" s="2514"/>
      <c r="R357" s="2514"/>
      <c r="S357" s="2514"/>
      <c r="T357" s="2514"/>
      <c r="U357" s="2514"/>
      <c r="V357" s="2514"/>
      <c r="W357" s="2514"/>
      <c r="X357" s="2514"/>
      <c r="Y357" s="2514"/>
      <c r="Z357" s="2514"/>
      <c r="AA357" s="2514"/>
      <c r="AB357" s="2514"/>
      <c r="AC357" s="2514"/>
      <c r="AD357" s="2514"/>
      <c r="AE357" s="2514"/>
      <c r="AF357" s="2514"/>
      <c r="AG357" s="2514"/>
      <c r="AH357" s="2514"/>
      <c r="AI357" s="2514"/>
      <c r="AJ357" s="2514"/>
      <c r="AK357" s="603"/>
      <c r="AL357" s="603"/>
      <c r="AM357" s="603"/>
      <c r="AN357" s="597"/>
      <c r="AO357" s="695" t="s">
        <v>112</v>
      </c>
      <c r="AP357" s="696">
        <f>IF(C381="Yes",5,0)</f>
        <v>0</v>
      </c>
      <c r="AS357" s="539" t="s">
        <v>1457</v>
      </c>
    </row>
    <row r="358" spans="1:46" s="550" customFormat="1" ht="12.75" customHeight="1">
      <c r="A358" s="603"/>
      <c r="B358" s="611"/>
      <c r="C358" s="2514"/>
      <c r="D358" s="2514"/>
      <c r="E358" s="2514"/>
      <c r="F358" s="2514"/>
      <c r="G358" s="2514"/>
      <c r="H358" s="2514"/>
      <c r="I358" s="2514"/>
      <c r="J358" s="2514"/>
      <c r="K358" s="2514"/>
      <c r="L358" s="2514"/>
      <c r="M358" s="2514"/>
      <c r="N358" s="2514"/>
      <c r="O358" s="2514"/>
      <c r="P358" s="2514"/>
      <c r="Q358" s="2514"/>
      <c r="R358" s="2514"/>
      <c r="S358" s="2514"/>
      <c r="T358" s="2514"/>
      <c r="U358" s="2514"/>
      <c r="V358" s="2514"/>
      <c r="W358" s="2514"/>
      <c r="X358" s="2514"/>
      <c r="Y358" s="2514"/>
      <c r="Z358" s="2514"/>
      <c r="AA358" s="2514"/>
      <c r="AB358" s="2514"/>
      <c r="AC358" s="2514"/>
      <c r="AD358" s="2514"/>
      <c r="AE358" s="2514"/>
      <c r="AF358" s="2514"/>
      <c r="AG358" s="2514"/>
      <c r="AH358" s="2514"/>
      <c r="AI358" s="2514"/>
      <c r="AJ358" s="2514"/>
      <c r="AK358" s="603"/>
      <c r="AL358" s="603"/>
      <c r="AM358" s="603"/>
      <c r="AN358" s="597"/>
      <c r="AO358" s="695" t="s">
        <v>113</v>
      </c>
      <c r="AP358" s="696">
        <f>IF(C389="Yes",5,0)</f>
        <v>0</v>
      </c>
      <c r="AS358" s="2535">
        <f>IF(Application!D211="Non-Targeted",(SUM(AQ366+AQ375)),AS362)</f>
        <v>10</v>
      </c>
      <c r="AT358" s="2535"/>
    </row>
    <row r="359" spans="1:46" s="550" customFormat="1" ht="12.75" customHeight="1">
      <c r="A359" s="603"/>
      <c r="B359" s="611"/>
      <c r="C359" s="2514"/>
      <c r="D359" s="2514"/>
      <c r="E359" s="2514"/>
      <c r="F359" s="2514"/>
      <c r="G359" s="2514"/>
      <c r="H359" s="2514"/>
      <c r="I359" s="2514"/>
      <c r="J359" s="2514"/>
      <c r="K359" s="2514"/>
      <c r="L359" s="2514"/>
      <c r="M359" s="2514"/>
      <c r="N359" s="2514"/>
      <c r="O359" s="2514"/>
      <c r="P359" s="2514"/>
      <c r="Q359" s="2514"/>
      <c r="R359" s="2514"/>
      <c r="S359" s="2514"/>
      <c r="T359" s="2514"/>
      <c r="U359" s="2514"/>
      <c r="V359" s="2514"/>
      <c r="W359" s="2514"/>
      <c r="X359" s="2514"/>
      <c r="Y359" s="2514"/>
      <c r="Z359" s="2514"/>
      <c r="AA359" s="2514"/>
      <c r="AB359" s="2514"/>
      <c r="AC359" s="2514"/>
      <c r="AD359" s="2514"/>
      <c r="AE359" s="2514"/>
      <c r="AF359" s="2514"/>
      <c r="AG359" s="2514"/>
      <c r="AH359" s="2514"/>
      <c r="AI359" s="2514"/>
      <c r="AJ359" s="2514"/>
      <c r="AK359" s="603"/>
      <c r="AL359" s="603"/>
      <c r="AM359" s="603"/>
      <c r="AN359" s="597"/>
      <c r="AO359" s="695" t="s">
        <v>119</v>
      </c>
      <c r="AP359" s="696">
        <f>IF(C397="Yes",7,0)</f>
        <v>7</v>
      </c>
      <c r="AS359" s="539" t="s">
        <v>1458</v>
      </c>
    </row>
    <row r="360" spans="1:46" s="550" customFormat="1" ht="12.75" customHeight="1">
      <c r="A360" s="603"/>
      <c r="B360" s="611"/>
      <c r="C360" s="2514"/>
      <c r="D360" s="2514"/>
      <c r="E360" s="2514"/>
      <c r="F360" s="2514"/>
      <c r="G360" s="2514"/>
      <c r="H360" s="2514"/>
      <c r="I360" s="2514"/>
      <c r="J360" s="2514"/>
      <c r="K360" s="2514"/>
      <c r="L360" s="2514"/>
      <c r="M360" s="2514"/>
      <c r="N360" s="2514"/>
      <c r="O360" s="2514"/>
      <c r="P360" s="2514"/>
      <c r="Q360" s="2514"/>
      <c r="R360" s="2514"/>
      <c r="S360" s="2514"/>
      <c r="T360" s="2514"/>
      <c r="U360" s="2514"/>
      <c r="V360" s="2514"/>
      <c r="W360" s="2514"/>
      <c r="X360" s="2514"/>
      <c r="Y360" s="2514"/>
      <c r="Z360" s="2514"/>
      <c r="AA360" s="2514"/>
      <c r="AB360" s="2514"/>
      <c r="AC360" s="2514"/>
      <c r="AD360" s="2514"/>
      <c r="AE360" s="2514"/>
      <c r="AF360" s="2514"/>
      <c r="AG360" s="2514"/>
      <c r="AH360" s="2514"/>
      <c r="AI360" s="2514"/>
      <c r="AJ360" s="2514"/>
      <c r="AK360" s="603"/>
      <c r="AL360" s="603"/>
      <c r="AM360" s="603"/>
      <c r="AN360" s="597"/>
      <c r="AO360" s="597"/>
      <c r="AP360" s="696">
        <f>IF(C399="Yes",5,0)</f>
        <v>0</v>
      </c>
      <c r="AS360" s="2535">
        <f>IF(AND(AQ366&gt;0,AQ375&gt;0),(AQ366+AQ375)/2,0)</f>
        <v>0</v>
      </c>
      <c r="AT360" s="2535"/>
    </row>
    <row r="361" spans="1:46" s="550" customFormat="1" ht="12.75" customHeight="1">
      <c r="A361" s="603"/>
      <c r="B361" s="611"/>
      <c r="C361" s="2514"/>
      <c r="D361" s="2514"/>
      <c r="E361" s="2514"/>
      <c r="F361" s="2514"/>
      <c r="G361" s="2514"/>
      <c r="H361" s="2514"/>
      <c r="I361" s="2514"/>
      <c r="J361" s="2514"/>
      <c r="K361" s="2514"/>
      <c r="L361" s="2514"/>
      <c r="M361" s="2514"/>
      <c r="N361" s="2514"/>
      <c r="O361" s="2514"/>
      <c r="P361" s="2514"/>
      <c r="Q361" s="2514"/>
      <c r="R361" s="2514"/>
      <c r="S361" s="2514"/>
      <c r="T361" s="2514"/>
      <c r="U361" s="2514"/>
      <c r="V361" s="2514"/>
      <c r="W361" s="2514"/>
      <c r="X361" s="2514"/>
      <c r="Y361" s="2514"/>
      <c r="Z361" s="2514"/>
      <c r="AA361" s="2514"/>
      <c r="AB361" s="2514"/>
      <c r="AC361" s="2514"/>
      <c r="AD361" s="2514"/>
      <c r="AE361" s="2514"/>
      <c r="AF361" s="2514"/>
      <c r="AG361" s="2514"/>
      <c r="AH361" s="2514"/>
      <c r="AI361" s="2514"/>
      <c r="AJ361" s="2514"/>
      <c r="AK361" s="603"/>
      <c r="AL361" s="603"/>
      <c r="AM361" s="603"/>
      <c r="AN361" s="597"/>
      <c r="AO361" s="695" t="s">
        <v>582</v>
      </c>
      <c r="AP361" s="696">
        <f>IF(C407="Yes",5,0)</f>
        <v>0</v>
      </c>
      <c r="AS361" s="539" t="s">
        <v>1879</v>
      </c>
    </row>
    <row r="362" spans="1:46" s="550" customFormat="1" ht="12.75" customHeight="1">
      <c r="A362" s="603"/>
      <c r="B362" s="611"/>
      <c r="C362" s="2536" t="s">
        <v>2232</v>
      </c>
      <c r="D362" s="2536"/>
      <c r="E362" s="2536"/>
      <c r="F362" s="2536"/>
      <c r="G362" s="2536"/>
      <c r="H362" s="2536"/>
      <c r="I362" s="2536"/>
      <c r="J362" s="2536"/>
      <c r="K362" s="2536"/>
      <c r="L362" s="2536"/>
      <c r="M362" s="2536"/>
      <c r="N362" s="2536"/>
      <c r="O362" s="2536"/>
      <c r="P362" s="2536"/>
      <c r="Q362" s="2536"/>
      <c r="R362" s="2536"/>
      <c r="S362" s="2536"/>
      <c r="T362" s="2536"/>
      <c r="U362" s="2536"/>
      <c r="V362" s="2536"/>
      <c r="W362" s="2536"/>
      <c r="X362" s="2536"/>
      <c r="Y362" s="2536"/>
      <c r="Z362" s="2536"/>
      <c r="AA362" s="2536"/>
      <c r="AB362" s="2536"/>
      <c r="AC362" s="2536"/>
      <c r="AD362" s="2536"/>
      <c r="AE362" s="2536"/>
      <c r="AF362" s="2536"/>
      <c r="AG362" s="2536"/>
      <c r="AH362" s="2536"/>
      <c r="AI362" s="2536"/>
      <c r="AJ362" s="2536"/>
      <c r="AK362" s="603"/>
      <c r="AL362" s="603"/>
      <c r="AM362" s="603"/>
      <c r="AN362" s="597"/>
      <c r="AO362" s="597"/>
      <c r="AP362" s="696">
        <f>IF(C409="Yes",3,0)</f>
        <v>3</v>
      </c>
      <c r="AS362" s="2535">
        <f>IF(AQ366=0,AQ375,AQ366)</f>
        <v>10</v>
      </c>
      <c r="AT362" s="2535"/>
    </row>
    <row r="363" spans="1:46" s="550" customFormat="1" ht="12.75" customHeight="1">
      <c r="A363" s="603"/>
      <c r="B363" s="611"/>
      <c r="C363" s="2536"/>
      <c r="D363" s="2536"/>
      <c r="E363" s="2536"/>
      <c r="F363" s="2536"/>
      <c r="G363" s="2536"/>
      <c r="H363" s="2536"/>
      <c r="I363" s="2536"/>
      <c r="J363" s="2536"/>
      <c r="K363" s="2536"/>
      <c r="L363" s="2536"/>
      <c r="M363" s="2536"/>
      <c r="N363" s="2536"/>
      <c r="O363" s="2536"/>
      <c r="P363" s="2536"/>
      <c r="Q363" s="2536"/>
      <c r="R363" s="2536"/>
      <c r="S363" s="2536"/>
      <c r="T363" s="2536"/>
      <c r="U363" s="2536"/>
      <c r="V363" s="2536"/>
      <c r="W363" s="2536"/>
      <c r="X363" s="2536"/>
      <c r="Y363" s="2536"/>
      <c r="Z363" s="2536"/>
      <c r="AA363" s="2536"/>
      <c r="AB363" s="2536"/>
      <c r="AC363" s="2536"/>
      <c r="AD363" s="2536"/>
      <c r="AE363" s="2536"/>
      <c r="AF363" s="2536"/>
      <c r="AG363" s="2536"/>
      <c r="AH363" s="2536"/>
      <c r="AI363" s="2536"/>
      <c r="AJ363" s="2536"/>
      <c r="AK363" s="603"/>
      <c r="AL363" s="603"/>
      <c r="AM363" s="603"/>
      <c r="AN363" s="597"/>
      <c r="AO363" s="695" t="s">
        <v>764</v>
      </c>
      <c r="AP363" s="696">
        <f>IF(C412="Yes",5,0)</f>
        <v>0</v>
      </c>
    </row>
    <row r="364" spans="1:46" s="550" customFormat="1" ht="12.75" customHeight="1">
      <c r="A364" s="603"/>
      <c r="B364" s="611"/>
      <c r="C364" s="2536"/>
      <c r="D364" s="2536"/>
      <c r="E364" s="2536"/>
      <c r="F364" s="2536"/>
      <c r="G364" s="2536"/>
      <c r="H364" s="2536"/>
      <c r="I364" s="2536"/>
      <c r="J364" s="2536"/>
      <c r="K364" s="2536"/>
      <c r="L364" s="2536"/>
      <c r="M364" s="2536"/>
      <c r="N364" s="2536"/>
      <c r="O364" s="2536"/>
      <c r="P364" s="2536"/>
      <c r="Q364" s="2536"/>
      <c r="R364" s="2536"/>
      <c r="S364" s="2536"/>
      <c r="T364" s="2536"/>
      <c r="U364" s="2536"/>
      <c r="V364" s="2536"/>
      <c r="W364" s="2536"/>
      <c r="X364" s="2536"/>
      <c r="Y364" s="2536"/>
      <c r="Z364" s="2536"/>
      <c r="AA364" s="2536"/>
      <c r="AB364" s="2536"/>
      <c r="AC364" s="2536"/>
      <c r="AD364" s="2536"/>
      <c r="AE364" s="2536"/>
      <c r="AF364" s="2536"/>
      <c r="AG364" s="2536"/>
      <c r="AH364" s="2536"/>
      <c r="AI364" s="2536"/>
      <c r="AJ364" s="2536"/>
      <c r="AK364" s="603"/>
      <c r="AL364" s="603"/>
      <c r="AM364" s="603"/>
      <c r="AN364" s="597"/>
      <c r="AO364" s="695" t="s">
        <v>585</v>
      </c>
      <c r="AP364" s="696">
        <f>IF(C421="Yes",5,0)</f>
        <v>0</v>
      </c>
    </row>
    <row r="365" spans="1:46" s="550" customFormat="1" ht="11.85" customHeight="1">
      <c r="A365" s="603"/>
      <c r="B365" s="611"/>
      <c r="C365" s="2536"/>
      <c r="D365" s="2536"/>
      <c r="E365" s="2536"/>
      <c r="F365" s="2536"/>
      <c r="G365" s="2536"/>
      <c r="H365" s="2536"/>
      <c r="I365" s="2536"/>
      <c r="J365" s="2536"/>
      <c r="K365" s="2536"/>
      <c r="L365" s="2536"/>
      <c r="M365" s="2536"/>
      <c r="N365" s="2536"/>
      <c r="O365" s="2536"/>
      <c r="P365" s="2536"/>
      <c r="Q365" s="2536"/>
      <c r="R365" s="2536"/>
      <c r="S365" s="2536"/>
      <c r="T365" s="2536"/>
      <c r="U365" s="2536"/>
      <c r="V365" s="2536"/>
      <c r="W365" s="2536"/>
      <c r="X365" s="2536"/>
      <c r="Y365" s="2536"/>
      <c r="Z365" s="2536"/>
      <c r="AA365" s="2536"/>
      <c r="AB365" s="2536"/>
      <c r="AC365" s="2536"/>
      <c r="AD365" s="2536"/>
      <c r="AE365" s="2536"/>
      <c r="AF365" s="2536"/>
      <c r="AG365" s="2536"/>
      <c r="AH365" s="2536"/>
      <c r="AI365" s="2536"/>
      <c r="AJ365" s="2536"/>
      <c r="AK365" s="603"/>
      <c r="AL365" s="603"/>
      <c r="AM365" s="603"/>
      <c r="AN365" s="597"/>
      <c r="AO365" s="697"/>
      <c r="AP365" s="698">
        <f>IF(C423="Yes",3,0)</f>
        <v>0</v>
      </c>
    </row>
    <row r="366" spans="1:46" s="550" customFormat="1" ht="12.4" customHeight="1">
      <c r="A366" s="603"/>
      <c r="B366" s="611"/>
      <c r="C366" s="2536"/>
      <c r="D366" s="2536"/>
      <c r="E366" s="2536"/>
      <c r="F366" s="2536"/>
      <c r="G366" s="2536"/>
      <c r="H366" s="2536"/>
      <c r="I366" s="2536"/>
      <c r="J366" s="2536"/>
      <c r="K366" s="2536"/>
      <c r="L366" s="2536"/>
      <c r="M366" s="2536"/>
      <c r="N366" s="2536"/>
      <c r="O366" s="2536"/>
      <c r="P366" s="2536"/>
      <c r="Q366" s="2536"/>
      <c r="R366" s="2536"/>
      <c r="S366" s="2536"/>
      <c r="T366" s="2536"/>
      <c r="U366" s="2536"/>
      <c r="V366" s="2536"/>
      <c r="W366" s="2536"/>
      <c r="X366" s="2536"/>
      <c r="Y366" s="2536"/>
      <c r="Z366" s="2536"/>
      <c r="AA366" s="2536"/>
      <c r="AB366" s="2536"/>
      <c r="AC366" s="2536"/>
      <c r="AD366" s="2536"/>
      <c r="AE366" s="2536"/>
      <c r="AF366" s="2536"/>
      <c r="AG366" s="2536"/>
      <c r="AH366" s="2536"/>
      <c r="AI366" s="2536"/>
      <c r="AJ366" s="2536"/>
      <c r="AK366" s="603"/>
      <c r="AL366" s="603"/>
      <c r="AM366" s="603"/>
      <c r="AN366" s="597"/>
      <c r="AO366" s="699" t="s">
        <v>227</v>
      </c>
      <c r="AP366" s="700">
        <f>SUM(AP357:AP365)</f>
        <v>10</v>
      </c>
      <c r="AQ366" s="2537">
        <f>IF(AP366&gt;0,AP366,0)</f>
        <v>10</v>
      </c>
      <c r="AR366" s="2537"/>
    </row>
    <row r="367" spans="1:46" s="550" customFormat="1" ht="12.75" customHeight="1">
      <c r="A367" s="603"/>
      <c r="B367" s="611"/>
      <c r="C367" s="2536"/>
      <c r="D367" s="2536"/>
      <c r="E367" s="2536"/>
      <c r="F367" s="2536"/>
      <c r="G367" s="2536"/>
      <c r="H367" s="2536"/>
      <c r="I367" s="2536"/>
      <c r="J367" s="2536"/>
      <c r="K367" s="2536"/>
      <c r="L367" s="2536"/>
      <c r="M367" s="2536"/>
      <c r="N367" s="2536"/>
      <c r="O367" s="2536"/>
      <c r="P367" s="2536"/>
      <c r="Q367" s="2536"/>
      <c r="R367" s="2536"/>
      <c r="S367" s="2536"/>
      <c r="T367" s="2536"/>
      <c r="U367" s="2536"/>
      <c r="V367" s="2536"/>
      <c r="W367" s="2536"/>
      <c r="X367" s="2536"/>
      <c r="Y367" s="2536"/>
      <c r="Z367" s="2536"/>
      <c r="AA367" s="2536"/>
      <c r="AB367" s="2536"/>
      <c r="AC367" s="2536"/>
      <c r="AD367" s="2536"/>
      <c r="AE367" s="2536"/>
      <c r="AF367" s="2536"/>
      <c r="AG367" s="2536"/>
      <c r="AH367" s="2536"/>
      <c r="AI367" s="2536"/>
      <c r="AJ367" s="253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4" t="s">
        <v>1459</v>
      </c>
      <c r="D369" s="2514"/>
      <c r="E369" s="2514"/>
      <c r="F369" s="2514"/>
      <c r="G369" s="2514"/>
      <c r="H369" s="2514"/>
      <c r="I369" s="2514"/>
      <c r="J369" s="2514"/>
      <c r="K369" s="2514"/>
      <c r="L369" s="2514"/>
      <c r="M369" s="2514"/>
      <c r="N369" s="2514"/>
      <c r="O369" s="2514"/>
      <c r="P369" s="2514"/>
      <c r="Q369" s="2514"/>
      <c r="R369" s="2514"/>
      <c r="S369" s="2514"/>
      <c r="T369" s="2514"/>
      <c r="U369" s="2514"/>
      <c r="V369" s="2514"/>
      <c r="W369" s="2514"/>
      <c r="X369" s="2514"/>
      <c r="Y369" s="2514"/>
      <c r="Z369" s="2514"/>
      <c r="AA369" s="2514"/>
      <c r="AB369" s="2514"/>
      <c r="AC369" s="2514"/>
      <c r="AD369" s="2514"/>
      <c r="AE369" s="2514"/>
      <c r="AF369" s="2514"/>
      <c r="AG369" s="2514"/>
      <c r="AH369" s="2514"/>
      <c r="AI369" s="2514"/>
      <c r="AJ369" s="2514"/>
      <c r="AK369" s="603"/>
      <c r="AL369" s="603"/>
      <c r="AM369" s="603"/>
      <c r="AN369" s="597"/>
      <c r="AO369" s="695" t="s">
        <v>457</v>
      </c>
      <c r="AP369" s="696">
        <f>IF(C442="Yes",5,0)</f>
        <v>0</v>
      </c>
    </row>
    <row r="370" spans="1:81" s="550" customFormat="1" ht="12.75" customHeight="1">
      <c r="A370" s="603"/>
      <c r="B370" s="611"/>
      <c r="C370" s="2514"/>
      <c r="D370" s="2514"/>
      <c r="E370" s="2514"/>
      <c r="F370" s="2514"/>
      <c r="G370" s="2514"/>
      <c r="H370" s="2514"/>
      <c r="I370" s="2514"/>
      <c r="J370" s="2514"/>
      <c r="K370" s="2514"/>
      <c r="L370" s="2514"/>
      <c r="M370" s="2514"/>
      <c r="N370" s="2514"/>
      <c r="O370" s="2514"/>
      <c r="P370" s="2514"/>
      <c r="Q370" s="2514"/>
      <c r="R370" s="2514"/>
      <c r="S370" s="2514"/>
      <c r="T370" s="2514"/>
      <c r="U370" s="2514"/>
      <c r="V370" s="2514"/>
      <c r="W370" s="2514"/>
      <c r="X370" s="2514"/>
      <c r="Y370" s="2514"/>
      <c r="Z370" s="2514"/>
      <c r="AA370" s="2514"/>
      <c r="AB370" s="2514"/>
      <c r="AC370" s="2514"/>
      <c r="AD370" s="2514"/>
      <c r="AE370" s="2514"/>
      <c r="AF370" s="2514"/>
      <c r="AG370" s="2514"/>
      <c r="AH370" s="2514"/>
      <c r="AI370" s="2514"/>
      <c r="AJ370" s="2514"/>
      <c r="AK370" s="603"/>
      <c r="AL370" s="603"/>
      <c r="AM370" s="603"/>
      <c r="AN370" s="597"/>
      <c r="AO370" s="695" t="s">
        <v>462</v>
      </c>
      <c r="AP370" s="696">
        <f>IF(C449="Yes",5,0)</f>
        <v>0</v>
      </c>
    </row>
    <row r="371" spans="1:81" s="550" customFormat="1" ht="68.099999999999994" customHeight="1">
      <c r="A371" s="603"/>
      <c r="B371" s="611"/>
      <c r="C371" s="2514"/>
      <c r="D371" s="2514"/>
      <c r="E371" s="2514"/>
      <c r="F371" s="2514"/>
      <c r="G371" s="2514"/>
      <c r="H371" s="2514"/>
      <c r="I371" s="2514"/>
      <c r="J371" s="2514"/>
      <c r="K371" s="2514"/>
      <c r="L371" s="2514"/>
      <c r="M371" s="2514"/>
      <c r="N371" s="2514"/>
      <c r="O371" s="2514"/>
      <c r="P371" s="2514"/>
      <c r="Q371" s="2514"/>
      <c r="R371" s="2514"/>
      <c r="S371" s="2514"/>
      <c r="T371" s="2514"/>
      <c r="U371" s="2514"/>
      <c r="V371" s="2514"/>
      <c r="W371" s="2514"/>
      <c r="X371" s="2514"/>
      <c r="Y371" s="2514"/>
      <c r="Z371" s="2514"/>
      <c r="AA371" s="2514"/>
      <c r="AB371" s="2514"/>
      <c r="AC371" s="2514"/>
      <c r="AD371" s="2514"/>
      <c r="AE371" s="2514"/>
      <c r="AF371" s="2514"/>
      <c r="AG371" s="2514"/>
      <c r="AH371" s="2514"/>
      <c r="AI371" s="2514"/>
      <c r="AJ371" s="2514"/>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2">
        <f>Application!DU802-U374</f>
        <v>193</v>
      </c>
      <c r="V373" s="2622"/>
      <c r="W373" s="2622"/>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3">
        <f>IF(Application!D211="SRO",Application!DU755,Application!AG756)</f>
        <v>0</v>
      </c>
      <c r="V374" s="2623"/>
      <c r="W374" s="262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7">
        <f>IF(AP375&gt;0,AP375,0)</f>
        <v>0</v>
      </c>
      <c r="AR375" s="2537"/>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18" t="s">
        <v>1461</v>
      </c>
      <c r="G377" s="2518"/>
      <c r="H377" s="2518"/>
      <c r="I377" s="2518"/>
      <c r="J377" s="2518"/>
      <c r="K377" s="2518"/>
      <c r="L377" s="2518"/>
      <c r="M377" s="2518"/>
      <c r="N377" s="2518"/>
      <c r="O377" s="2518"/>
      <c r="P377" s="2518"/>
      <c r="Q377" s="2518"/>
      <c r="R377" s="2518"/>
      <c r="S377" s="2518"/>
      <c r="T377" s="2518"/>
      <c r="U377" s="2518"/>
      <c r="V377" s="2518"/>
      <c r="W377" s="2518"/>
      <c r="X377" s="2518"/>
      <c r="Y377" s="2518"/>
      <c r="Z377" s="2518"/>
      <c r="AA377" s="2518"/>
      <c r="AB377" s="2518"/>
      <c r="AC377" s="2518"/>
      <c r="AD377" s="2518"/>
      <c r="AE377" s="2518"/>
      <c r="AF377" s="2518"/>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9"/>
      <c r="G378" s="2519"/>
      <c r="H378" s="2519"/>
      <c r="I378" s="2519"/>
      <c r="J378" s="2519"/>
      <c r="K378" s="2519"/>
      <c r="L378" s="2519"/>
      <c r="M378" s="2519"/>
      <c r="N378" s="2519"/>
      <c r="O378" s="2519"/>
      <c r="P378" s="2519"/>
      <c r="Q378" s="2519"/>
      <c r="R378" s="2519"/>
      <c r="S378" s="2519"/>
      <c r="T378" s="2519"/>
      <c r="U378" s="2519"/>
      <c r="V378" s="2519"/>
      <c r="W378" s="2519"/>
      <c r="X378" s="2519"/>
      <c r="Y378" s="2519"/>
      <c r="Z378" s="2519"/>
      <c r="AA378" s="2519"/>
      <c r="AB378" s="2519"/>
      <c r="AC378" s="2519"/>
      <c r="AD378" s="2519"/>
      <c r="AE378" s="2519"/>
      <c r="AF378" s="2519"/>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9"/>
      <c r="G379" s="2519"/>
      <c r="H379" s="2519"/>
      <c r="I379" s="2519"/>
      <c r="J379" s="2519"/>
      <c r="K379" s="2519"/>
      <c r="L379" s="2519"/>
      <c r="M379" s="2519"/>
      <c r="N379" s="2519"/>
      <c r="O379" s="2519"/>
      <c r="P379" s="2519"/>
      <c r="Q379" s="2519"/>
      <c r="R379" s="2519"/>
      <c r="S379" s="2519"/>
      <c r="T379" s="2519"/>
      <c r="U379" s="2519"/>
      <c r="V379" s="2519"/>
      <c r="W379" s="2519"/>
      <c r="X379" s="2519"/>
      <c r="Y379" s="2519"/>
      <c r="Z379" s="2519"/>
      <c r="AA379" s="2519"/>
      <c r="AB379" s="2519"/>
      <c r="AC379" s="2519"/>
      <c r="AD379" s="2519"/>
      <c r="AE379" s="2519"/>
      <c r="AF379" s="2519"/>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9"/>
      <c r="G380" s="2519"/>
      <c r="H380" s="2519"/>
      <c r="I380" s="2519"/>
      <c r="J380" s="2519"/>
      <c r="K380" s="2519"/>
      <c r="L380" s="2519"/>
      <c r="M380" s="2519"/>
      <c r="N380" s="2519"/>
      <c r="O380" s="2519"/>
      <c r="P380" s="2519"/>
      <c r="Q380" s="2519"/>
      <c r="R380" s="2519"/>
      <c r="S380" s="2519"/>
      <c r="T380" s="2519"/>
      <c r="U380" s="2519"/>
      <c r="V380" s="2519"/>
      <c r="W380" s="2519"/>
      <c r="X380" s="2519"/>
      <c r="Y380" s="2519"/>
      <c r="Z380" s="2519"/>
      <c r="AA380" s="2519"/>
      <c r="AB380" s="2519"/>
      <c r="AC380" s="2519"/>
      <c r="AD380" s="2519"/>
      <c r="AE380" s="2519"/>
      <c r="AF380" s="2519"/>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5" t="s">
        <v>592</v>
      </c>
      <c r="D381" s="2472"/>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6" t="s">
        <v>1463</v>
      </c>
      <c r="AG381" s="2516"/>
      <c r="AH381" s="2516"/>
      <c r="AI381" s="2516"/>
      <c r="AJ381" s="2516"/>
      <c r="AK381" s="2516"/>
      <c r="AL381" s="251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18" t="s">
        <v>1464</v>
      </c>
      <c r="G384" s="2518"/>
      <c r="H384" s="2518"/>
      <c r="I384" s="2518"/>
      <c r="J384" s="2518"/>
      <c r="K384" s="2518"/>
      <c r="L384" s="2518"/>
      <c r="M384" s="2518"/>
      <c r="N384" s="2518"/>
      <c r="O384" s="2518"/>
      <c r="P384" s="2518"/>
      <c r="Q384" s="2518"/>
      <c r="R384" s="2518"/>
      <c r="S384" s="2518"/>
      <c r="T384" s="2518"/>
      <c r="U384" s="2518"/>
      <c r="V384" s="2518"/>
      <c r="W384" s="2518"/>
      <c r="X384" s="2518"/>
      <c r="Y384" s="2518"/>
      <c r="Z384" s="2518"/>
      <c r="AA384" s="2518"/>
      <c r="AB384" s="2518"/>
      <c r="AC384" s="2518"/>
      <c r="AD384" s="2518"/>
      <c r="AE384" s="2518"/>
      <c r="AF384" s="2518"/>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9"/>
      <c r="G385" s="2519"/>
      <c r="H385" s="2519"/>
      <c r="I385" s="2519"/>
      <c r="J385" s="2519"/>
      <c r="K385" s="2519"/>
      <c r="L385" s="2519"/>
      <c r="M385" s="2519"/>
      <c r="N385" s="2519"/>
      <c r="O385" s="2519"/>
      <c r="P385" s="2519"/>
      <c r="Q385" s="2519"/>
      <c r="R385" s="2519"/>
      <c r="S385" s="2519"/>
      <c r="T385" s="2519"/>
      <c r="U385" s="2519"/>
      <c r="V385" s="2519"/>
      <c r="W385" s="2519"/>
      <c r="X385" s="2519"/>
      <c r="Y385" s="2519"/>
      <c r="Z385" s="2519"/>
      <c r="AA385" s="2519"/>
      <c r="AB385" s="2519"/>
      <c r="AC385" s="2519"/>
      <c r="AD385" s="2519"/>
      <c r="AE385" s="2519"/>
      <c r="AF385" s="2519"/>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9"/>
      <c r="G386" s="2519"/>
      <c r="H386" s="2519"/>
      <c r="I386" s="2519"/>
      <c r="J386" s="2519"/>
      <c r="K386" s="2519"/>
      <c r="L386" s="2519"/>
      <c r="M386" s="2519"/>
      <c r="N386" s="2519"/>
      <c r="O386" s="2519"/>
      <c r="P386" s="2519"/>
      <c r="Q386" s="2519"/>
      <c r="R386" s="2519"/>
      <c r="S386" s="2519"/>
      <c r="T386" s="2519"/>
      <c r="U386" s="2519"/>
      <c r="V386" s="2519"/>
      <c r="W386" s="2519"/>
      <c r="X386" s="2519"/>
      <c r="Y386" s="2519"/>
      <c r="Z386" s="2519"/>
      <c r="AA386" s="2519"/>
      <c r="AB386" s="2519"/>
      <c r="AC386" s="2519"/>
      <c r="AD386" s="2519"/>
      <c r="AE386" s="2519"/>
      <c r="AF386" s="2519"/>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9"/>
      <c r="G387" s="2519"/>
      <c r="H387" s="2519"/>
      <c r="I387" s="2519"/>
      <c r="J387" s="2519"/>
      <c r="K387" s="2519"/>
      <c r="L387" s="2519"/>
      <c r="M387" s="2519"/>
      <c r="N387" s="2519"/>
      <c r="O387" s="2519"/>
      <c r="P387" s="2519"/>
      <c r="Q387" s="2519"/>
      <c r="R387" s="2519"/>
      <c r="S387" s="2519"/>
      <c r="T387" s="2519"/>
      <c r="U387" s="2519"/>
      <c r="V387" s="2519"/>
      <c r="W387" s="2519"/>
      <c r="X387" s="2519"/>
      <c r="Y387" s="2519"/>
      <c r="Z387" s="2519"/>
      <c r="AA387" s="2519"/>
      <c r="AB387" s="2519"/>
      <c r="AC387" s="2519"/>
      <c r="AD387" s="2519"/>
      <c r="AE387" s="2519"/>
      <c r="AF387" s="2519"/>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9"/>
      <c r="G388" s="2519"/>
      <c r="H388" s="2519"/>
      <c r="I388" s="2519"/>
      <c r="J388" s="2519"/>
      <c r="K388" s="2519"/>
      <c r="L388" s="2519"/>
      <c r="M388" s="2519"/>
      <c r="N388" s="2519"/>
      <c r="O388" s="2519"/>
      <c r="P388" s="2519"/>
      <c r="Q388" s="2519"/>
      <c r="R388" s="2519"/>
      <c r="S388" s="2519"/>
      <c r="T388" s="2519"/>
      <c r="U388" s="2519"/>
      <c r="V388" s="2519"/>
      <c r="W388" s="2519"/>
      <c r="X388" s="2519"/>
      <c r="Y388" s="2519"/>
      <c r="Z388" s="2519"/>
      <c r="AA388" s="2519"/>
      <c r="AB388" s="2519"/>
      <c r="AC388" s="2519"/>
      <c r="AD388" s="2519"/>
      <c r="AE388" s="2519"/>
      <c r="AF388" s="2519"/>
      <c r="AL388" s="732"/>
      <c r="AN388" s="597"/>
      <c r="BS388" s="30"/>
      <c r="BT388" s="30"/>
      <c r="BU388" s="14"/>
      <c r="BV388" s="14"/>
      <c r="BW388" s="14"/>
      <c r="BX388" s="14"/>
      <c r="BY388" s="14"/>
      <c r="BZ388" s="14"/>
      <c r="CA388" s="14"/>
      <c r="CB388" s="14"/>
      <c r="CC388" s="14"/>
    </row>
    <row r="389" spans="1:81" s="550" customFormat="1" ht="12.75" customHeight="1">
      <c r="A389" s="536"/>
      <c r="B389" s="14"/>
      <c r="C389" s="2515" t="s">
        <v>592</v>
      </c>
      <c r="D389" s="2472"/>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6" t="s">
        <v>1463</v>
      </c>
      <c r="AG389" s="2516"/>
      <c r="AH389" s="2516"/>
      <c r="AI389" s="2516"/>
      <c r="AJ389" s="2516"/>
      <c r="AK389" s="2516"/>
      <c r="AL389" s="251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18" t="s">
        <v>1466</v>
      </c>
      <c r="G392" s="2518"/>
      <c r="H392" s="2518"/>
      <c r="I392" s="2518"/>
      <c r="J392" s="2518"/>
      <c r="K392" s="2518"/>
      <c r="L392" s="2518"/>
      <c r="M392" s="2518"/>
      <c r="N392" s="2518"/>
      <c r="O392" s="2518"/>
      <c r="P392" s="2518"/>
      <c r="Q392" s="2518"/>
      <c r="R392" s="2518"/>
      <c r="S392" s="2518"/>
      <c r="T392" s="2518"/>
      <c r="U392" s="2518"/>
      <c r="V392" s="2518"/>
      <c r="W392" s="2518"/>
      <c r="X392" s="2518"/>
      <c r="Y392" s="2518"/>
      <c r="Z392" s="2518"/>
      <c r="AA392" s="2518"/>
      <c r="AB392" s="2518"/>
      <c r="AC392" s="2518"/>
      <c r="AD392" s="2518"/>
      <c r="AE392" s="2518"/>
      <c r="AF392" s="2518"/>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9"/>
      <c r="G393" s="2519"/>
      <c r="H393" s="2519"/>
      <c r="I393" s="2519"/>
      <c r="J393" s="2519"/>
      <c r="K393" s="2519"/>
      <c r="L393" s="2519"/>
      <c r="M393" s="2519"/>
      <c r="N393" s="2519"/>
      <c r="O393" s="2519"/>
      <c r="P393" s="2519"/>
      <c r="Q393" s="2519"/>
      <c r="R393" s="2519"/>
      <c r="S393" s="2519"/>
      <c r="T393" s="2519"/>
      <c r="U393" s="2519"/>
      <c r="V393" s="2519"/>
      <c r="W393" s="2519"/>
      <c r="X393" s="2519"/>
      <c r="Y393" s="2519"/>
      <c r="Z393" s="2519"/>
      <c r="AA393" s="2519"/>
      <c r="AB393" s="2519"/>
      <c r="AC393" s="2519"/>
      <c r="AD393" s="2519"/>
      <c r="AE393" s="2519"/>
      <c r="AF393" s="2519"/>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9"/>
      <c r="G394" s="2519"/>
      <c r="H394" s="2519"/>
      <c r="I394" s="2519"/>
      <c r="J394" s="2519"/>
      <c r="K394" s="2519"/>
      <c r="L394" s="2519"/>
      <c r="M394" s="2519"/>
      <c r="N394" s="2519"/>
      <c r="O394" s="2519"/>
      <c r="P394" s="2519"/>
      <c r="Q394" s="2519"/>
      <c r="R394" s="2519"/>
      <c r="S394" s="2519"/>
      <c r="T394" s="2519"/>
      <c r="U394" s="2519"/>
      <c r="V394" s="2519"/>
      <c r="W394" s="2519"/>
      <c r="X394" s="2519"/>
      <c r="Y394" s="2519"/>
      <c r="Z394" s="2519"/>
      <c r="AA394" s="2519"/>
      <c r="AB394" s="2519"/>
      <c r="AC394" s="2519"/>
      <c r="AD394" s="2519"/>
      <c r="AE394" s="2519"/>
      <c r="AF394" s="2519"/>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9"/>
      <c r="G395" s="2519"/>
      <c r="H395" s="2519"/>
      <c r="I395" s="2519"/>
      <c r="J395" s="2519"/>
      <c r="K395" s="2519"/>
      <c r="L395" s="2519"/>
      <c r="M395" s="2519"/>
      <c r="N395" s="2519"/>
      <c r="O395" s="2519"/>
      <c r="P395" s="2519"/>
      <c r="Q395" s="2519"/>
      <c r="R395" s="2519"/>
      <c r="S395" s="2519"/>
      <c r="T395" s="2519"/>
      <c r="U395" s="2519"/>
      <c r="V395" s="2519"/>
      <c r="W395" s="2519"/>
      <c r="X395" s="2519"/>
      <c r="Y395" s="2519"/>
      <c r="Z395" s="2519"/>
      <c r="AA395" s="2519"/>
      <c r="AB395" s="2519"/>
      <c r="AC395" s="2519"/>
      <c r="AD395" s="2519"/>
      <c r="AE395" s="2519"/>
      <c r="AF395" s="2519"/>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9"/>
      <c r="G396" s="2519"/>
      <c r="H396" s="2519"/>
      <c r="I396" s="2519"/>
      <c r="J396" s="2519"/>
      <c r="K396" s="2519"/>
      <c r="L396" s="2519"/>
      <c r="M396" s="2519"/>
      <c r="N396" s="2519"/>
      <c r="O396" s="2519"/>
      <c r="P396" s="2519"/>
      <c r="Q396" s="2519"/>
      <c r="R396" s="2519"/>
      <c r="S396" s="2519"/>
      <c r="T396" s="2519"/>
      <c r="U396" s="2519"/>
      <c r="V396" s="2519"/>
      <c r="W396" s="2519"/>
      <c r="X396" s="2519"/>
      <c r="Y396" s="2519"/>
      <c r="Z396" s="2519"/>
      <c r="AA396" s="2519"/>
      <c r="AB396" s="2519"/>
      <c r="AC396" s="2519"/>
      <c r="AD396" s="2519"/>
      <c r="AE396" s="2519"/>
      <c r="AF396" s="2519"/>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5" t="s">
        <v>546</v>
      </c>
      <c r="D397" s="2472"/>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6" t="s">
        <v>1468</v>
      </c>
      <c r="AG397" s="2516"/>
      <c r="AH397" s="2516"/>
      <c r="AI397" s="2516"/>
      <c r="AJ397" s="2516"/>
      <c r="AK397" s="2516"/>
      <c r="AL397" s="251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5" t="s">
        <v>592</v>
      </c>
      <c r="D399" s="2472"/>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6" t="s">
        <v>1463</v>
      </c>
      <c r="AG399" s="2516"/>
      <c r="AH399" s="2516"/>
      <c r="AI399" s="2516"/>
      <c r="AJ399" s="2516"/>
      <c r="AK399" s="2516"/>
      <c r="AL399" s="251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18" t="s">
        <v>1472</v>
      </c>
      <c r="G403" s="2518"/>
      <c r="H403" s="2518"/>
      <c r="I403" s="2518"/>
      <c r="J403" s="2518"/>
      <c r="K403" s="2518"/>
      <c r="L403" s="2518"/>
      <c r="M403" s="2518"/>
      <c r="N403" s="2518"/>
      <c r="O403" s="2518"/>
      <c r="P403" s="2518"/>
      <c r="Q403" s="2518"/>
      <c r="R403" s="2518"/>
      <c r="S403" s="2518"/>
      <c r="T403" s="2518"/>
      <c r="U403" s="2518"/>
      <c r="V403" s="2518"/>
      <c r="W403" s="2518"/>
      <c r="X403" s="2518"/>
      <c r="Y403" s="2518"/>
      <c r="Z403" s="2518"/>
      <c r="AA403" s="2518"/>
      <c r="AB403" s="2518"/>
      <c r="AC403" s="2518"/>
      <c r="AD403" s="2518"/>
      <c r="AE403" s="2518"/>
      <c r="AF403" s="2518"/>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9"/>
      <c r="G404" s="2519"/>
      <c r="H404" s="2519"/>
      <c r="I404" s="2519"/>
      <c r="J404" s="2519"/>
      <c r="K404" s="2519"/>
      <c r="L404" s="2519"/>
      <c r="M404" s="2519"/>
      <c r="N404" s="2519"/>
      <c r="O404" s="2519"/>
      <c r="P404" s="2519"/>
      <c r="Q404" s="2519"/>
      <c r="R404" s="2519"/>
      <c r="S404" s="2519"/>
      <c r="T404" s="2519"/>
      <c r="U404" s="2519"/>
      <c r="V404" s="2519"/>
      <c r="W404" s="2519"/>
      <c r="X404" s="2519"/>
      <c r="Y404" s="2519"/>
      <c r="Z404" s="2519"/>
      <c r="AA404" s="2519"/>
      <c r="AB404" s="2519"/>
      <c r="AC404" s="2519"/>
      <c r="AD404" s="2519"/>
      <c r="AE404" s="2519"/>
      <c r="AF404" s="2519"/>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9"/>
      <c r="G405" s="2519"/>
      <c r="H405" s="2519"/>
      <c r="I405" s="2519"/>
      <c r="J405" s="2519"/>
      <c r="K405" s="2519"/>
      <c r="L405" s="2519"/>
      <c r="M405" s="2519"/>
      <c r="N405" s="2519"/>
      <c r="O405" s="2519"/>
      <c r="P405" s="2519"/>
      <c r="Q405" s="2519"/>
      <c r="R405" s="2519"/>
      <c r="S405" s="2519"/>
      <c r="T405" s="2519"/>
      <c r="U405" s="2519"/>
      <c r="V405" s="2519"/>
      <c r="W405" s="2519"/>
      <c r="X405" s="2519"/>
      <c r="Y405" s="2519"/>
      <c r="Z405" s="2519"/>
      <c r="AA405" s="2519"/>
      <c r="AB405" s="2519"/>
      <c r="AC405" s="2519"/>
      <c r="AD405" s="2519"/>
      <c r="AE405" s="2519"/>
      <c r="AF405" s="2519"/>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9"/>
      <c r="G406" s="2519"/>
      <c r="H406" s="2519"/>
      <c r="I406" s="2519"/>
      <c r="J406" s="2519"/>
      <c r="K406" s="2519"/>
      <c r="L406" s="2519"/>
      <c r="M406" s="2519"/>
      <c r="N406" s="2519"/>
      <c r="O406" s="2519"/>
      <c r="P406" s="2519"/>
      <c r="Q406" s="2519"/>
      <c r="R406" s="2519"/>
      <c r="S406" s="2519"/>
      <c r="T406" s="2519"/>
      <c r="U406" s="2519"/>
      <c r="V406" s="2519"/>
      <c r="W406" s="2519"/>
      <c r="X406" s="2519"/>
      <c r="Y406" s="2519"/>
      <c r="Z406" s="2519"/>
      <c r="AA406" s="2519"/>
      <c r="AB406" s="2519"/>
      <c r="AC406" s="2519"/>
      <c r="AD406" s="2519"/>
      <c r="AE406" s="2519"/>
      <c r="AF406" s="2519"/>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5" t="s">
        <v>592</v>
      </c>
      <c r="D407" s="2472"/>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6" t="s">
        <v>1463</v>
      </c>
      <c r="AG407" s="2516"/>
      <c r="AH407" s="2516"/>
      <c r="AI407" s="2516"/>
      <c r="AJ407" s="2516"/>
      <c r="AK407" s="2516"/>
      <c r="AL407" s="251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5" t="s">
        <v>546</v>
      </c>
      <c r="D409" s="2472"/>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6" t="s">
        <v>1475</v>
      </c>
      <c r="AG409" s="2516"/>
      <c r="AH409" s="2516"/>
      <c r="AI409" s="2516"/>
      <c r="AJ409" s="2516"/>
      <c r="AK409" s="2516"/>
      <c r="AL409" s="251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5" t="s">
        <v>592</v>
      </c>
      <c r="D412" s="2472"/>
      <c r="E412" s="715" t="s">
        <v>1476</v>
      </c>
      <c r="F412" s="2518" t="s">
        <v>1477</v>
      </c>
      <c r="G412" s="2518"/>
      <c r="H412" s="2518"/>
      <c r="I412" s="2518"/>
      <c r="J412" s="2518"/>
      <c r="K412" s="2518"/>
      <c r="L412" s="2518"/>
      <c r="M412" s="2518"/>
      <c r="N412" s="2518"/>
      <c r="O412" s="2518"/>
      <c r="P412" s="2518"/>
      <c r="Q412" s="2518"/>
      <c r="R412" s="2518"/>
      <c r="S412" s="2518"/>
      <c r="T412" s="2518"/>
      <c r="U412" s="2518"/>
      <c r="V412" s="2518"/>
      <c r="W412" s="2518"/>
      <c r="X412" s="2518"/>
      <c r="Y412" s="2518"/>
      <c r="Z412" s="2518"/>
      <c r="AA412" s="2518"/>
      <c r="AB412" s="2518"/>
      <c r="AC412" s="2518"/>
      <c r="AD412" s="2518"/>
      <c r="AE412" s="2518"/>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9"/>
      <c r="G413" s="2519"/>
      <c r="H413" s="2519"/>
      <c r="I413" s="2519"/>
      <c r="J413" s="2519"/>
      <c r="K413" s="2519"/>
      <c r="L413" s="2519"/>
      <c r="M413" s="2519"/>
      <c r="N413" s="2519"/>
      <c r="O413" s="2519"/>
      <c r="P413" s="2519"/>
      <c r="Q413" s="2519"/>
      <c r="R413" s="2519"/>
      <c r="S413" s="2519"/>
      <c r="T413" s="2519"/>
      <c r="U413" s="2519"/>
      <c r="V413" s="2519"/>
      <c r="W413" s="2519"/>
      <c r="X413" s="2519"/>
      <c r="Y413" s="2519"/>
      <c r="Z413" s="2519"/>
      <c r="AA413" s="2519"/>
      <c r="AB413" s="2519"/>
      <c r="AC413" s="2519"/>
      <c r="AD413" s="2519"/>
      <c r="AE413" s="2519"/>
      <c r="AF413" s="2440" t="s">
        <v>1463</v>
      </c>
      <c r="AG413" s="2440"/>
      <c r="AH413" s="2440"/>
      <c r="AI413" s="2440"/>
      <c r="AJ413" s="2440"/>
      <c r="AK413" s="2440"/>
      <c r="AL413" s="2520"/>
      <c r="AM413" s="570"/>
      <c r="AN413" s="597"/>
      <c r="BS413" s="570"/>
      <c r="BT413" s="570"/>
      <c r="BY413" s="570"/>
      <c r="BZ413" s="570"/>
      <c r="CA413" s="570"/>
      <c r="CB413" s="570"/>
      <c r="CC413" s="570"/>
    </row>
    <row r="414" spans="1:81" s="550" customFormat="1" ht="12.75" customHeight="1">
      <c r="A414" s="536"/>
      <c r="B414" s="14"/>
      <c r="C414" s="731"/>
      <c r="D414" s="14"/>
      <c r="E414" s="691"/>
      <c r="F414" s="2519"/>
      <c r="G414" s="2519"/>
      <c r="H414" s="2519"/>
      <c r="I414" s="2519"/>
      <c r="J414" s="2519"/>
      <c r="K414" s="2519"/>
      <c r="L414" s="2519"/>
      <c r="M414" s="2519"/>
      <c r="N414" s="2519"/>
      <c r="O414" s="2519"/>
      <c r="P414" s="2519"/>
      <c r="Q414" s="2519"/>
      <c r="R414" s="2519"/>
      <c r="S414" s="2519"/>
      <c r="T414" s="2519"/>
      <c r="U414" s="2519"/>
      <c r="V414" s="2519"/>
      <c r="W414" s="2519"/>
      <c r="X414" s="2519"/>
      <c r="Y414" s="2519"/>
      <c r="Z414" s="2519"/>
      <c r="AA414" s="2519"/>
      <c r="AB414" s="2519"/>
      <c r="AC414" s="2519"/>
      <c r="AD414" s="2519"/>
      <c r="AE414" s="2519"/>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8"/>
      <c r="G415" s="2538"/>
      <c r="H415" s="2538"/>
      <c r="I415" s="2538"/>
      <c r="J415" s="2538"/>
      <c r="K415" s="2538"/>
      <c r="L415" s="2538"/>
      <c r="M415" s="2538"/>
      <c r="N415" s="2538"/>
      <c r="O415" s="2538"/>
      <c r="P415" s="2538"/>
      <c r="Q415" s="2538"/>
      <c r="R415" s="2538"/>
      <c r="S415" s="2538"/>
      <c r="T415" s="2538"/>
      <c r="U415" s="2538"/>
      <c r="V415" s="2538"/>
      <c r="W415" s="2538"/>
      <c r="X415" s="2538"/>
      <c r="Y415" s="2538"/>
      <c r="Z415" s="2538"/>
      <c r="AA415" s="2538"/>
      <c r="AB415" s="2538"/>
      <c r="AC415" s="2538"/>
      <c r="AD415" s="2538"/>
      <c r="AE415" s="2538"/>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18" t="s">
        <v>1479</v>
      </c>
      <c r="G417" s="2518"/>
      <c r="H417" s="2518"/>
      <c r="I417" s="2518"/>
      <c r="J417" s="2518"/>
      <c r="K417" s="2518"/>
      <c r="L417" s="2518"/>
      <c r="M417" s="2518"/>
      <c r="N417" s="2518"/>
      <c r="O417" s="2518"/>
      <c r="P417" s="2518"/>
      <c r="Q417" s="2518"/>
      <c r="R417" s="2518"/>
      <c r="S417" s="2518"/>
      <c r="T417" s="2518"/>
      <c r="U417" s="2518"/>
      <c r="V417" s="2518"/>
      <c r="W417" s="2518"/>
      <c r="X417" s="2518"/>
      <c r="Y417" s="2518"/>
      <c r="Z417" s="2518"/>
      <c r="AA417" s="2518"/>
      <c r="AB417" s="2518"/>
      <c r="AC417" s="2518"/>
      <c r="AD417" s="2518"/>
      <c r="AE417" s="2518"/>
      <c r="AF417" s="747"/>
      <c r="AG417" s="747"/>
      <c r="AH417" s="747"/>
      <c r="AI417" s="747"/>
      <c r="AJ417" s="747"/>
      <c r="AK417" s="747"/>
      <c r="AL417" s="748"/>
      <c r="AM417" s="570"/>
    </row>
    <row r="418" spans="1:55">
      <c r="A418" s="536"/>
      <c r="C418" s="731"/>
      <c r="E418" s="691"/>
      <c r="F418" s="2519"/>
      <c r="G418" s="2519"/>
      <c r="H418" s="2519"/>
      <c r="I418" s="2519"/>
      <c r="J418" s="2519"/>
      <c r="K418" s="2519"/>
      <c r="L418" s="2519"/>
      <c r="M418" s="2519"/>
      <c r="N418" s="2519"/>
      <c r="O418" s="2519"/>
      <c r="P418" s="2519"/>
      <c r="Q418" s="2519"/>
      <c r="R418" s="2519"/>
      <c r="S418" s="2519"/>
      <c r="T418" s="2519"/>
      <c r="U418" s="2519"/>
      <c r="V418" s="2519"/>
      <c r="W418" s="2519"/>
      <c r="X418" s="2519"/>
      <c r="Y418" s="2519"/>
      <c r="Z418" s="2519"/>
      <c r="AA418" s="2519"/>
      <c r="AB418" s="2519"/>
      <c r="AC418" s="2519"/>
      <c r="AD418" s="2519"/>
      <c r="AE418" s="2519"/>
      <c r="AF418" s="539"/>
      <c r="AG418" s="536"/>
      <c r="AH418" s="550"/>
      <c r="AI418" s="550"/>
      <c r="AJ418" s="550"/>
      <c r="AK418" s="550"/>
      <c r="AL418" s="732"/>
      <c r="AM418" s="570"/>
    </row>
    <row r="419" spans="1:55" s="550" customFormat="1" ht="12.75" customHeight="1">
      <c r="A419" s="536"/>
      <c r="B419" s="14"/>
      <c r="C419" s="731"/>
      <c r="D419" s="14"/>
      <c r="E419" s="691"/>
      <c r="F419" s="2519"/>
      <c r="G419" s="2519"/>
      <c r="H419" s="2519"/>
      <c r="I419" s="2519"/>
      <c r="J419" s="2519"/>
      <c r="K419" s="2519"/>
      <c r="L419" s="2519"/>
      <c r="M419" s="2519"/>
      <c r="N419" s="2519"/>
      <c r="O419" s="2519"/>
      <c r="P419" s="2519"/>
      <c r="Q419" s="2519"/>
      <c r="R419" s="2519"/>
      <c r="S419" s="2519"/>
      <c r="T419" s="2519"/>
      <c r="U419" s="2519"/>
      <c r="V419" s="2519"/>
      <c r="W419" s="2519"/>
      <c r="X419" s="2519"/>
      <c r="Y419" s="2519"/>
      <c r="Z419" s="2519"/>
      <c r="AA419" s="2519"/>
      <c r="AB419" s="2519"/>
      <c r="AC419" s="2519"/>
      <c r="AD419" s="2519"/>
      <c r="AE419" s="2519"/>
      <c r="AL419" s="732"/>
      <c r="AM419" s="570"/>
      <c r="AN419" s="597"/>
    </row>
    <row r="420" spans="1:55" s="550" customFormat="1" ht="12.75" customHeight="1">
      <c r="A420" s="536"/>
      <c r="B420" s="14"/>
      <c r="C420" s="739"/>
      <c r="F420" s="2519"/>
      <c r="G420" s="2519"/>
      <c r="H420" s="2519"/>
      <c r="I420" s="2519"/>
      <c r="J420" s="2519"/>
      <c r="K420" s="2519"/>
      <c r="L420" s="2519"/>
      <c r="M420" s="2519"/>
      <c r="N420" s="2519"/>
      <c r="O420" s="2519"/>
      <c r="P420" s="2519"/>
      <c r="Q420" s="2519"/>
      <c r="R420" s="2519"/>
      <c r="S420" s="2519"/>
      <c r="T420" s="2519"/>
      <c r="U420" s="2519"/>
      <c r="V420" s="2519"/>
      <c r="W420" s="2519"/>
      <c r="X420" s="2519"/>
      <c r="Y420" s="2519"/>
      <c r="Z420" s="2519"/>
      <c r="AA420" s="2519"/>
      <c r="AB420" s="2519"/>
      <c r="AC420" s="2519"/>
      <c r="AD420" s="2519"/>
      <c r="AE420" s="2519"/>
      <c r="AL420" s="732"/>
      <c r="AM420" s="570"/>
      <c r="AN420" s="597"/>
    </row>
    <row r="421" spans="1:55" s="550" customFormat="1" ht="12.75" customHeight="1">
      <c r="A421" s="536"/>
      <c r="B421" s="14"/>
      <c r="C421" s="2515" t="s">
        <v>592</v>
      </c>
      <c r="D421" s="2472"/>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0" t="s">
        <v>1463</v>
      </c>
      <c r="AG421" s="2440"/>
      <c r="AH421" s="2440"/>
      <c r="AI421" s="2440"/>
      <c r="AJ421" s="2440"/>
      <c r="AK421" s="2440"/>
      <c r="AL421" s="2520"/>
      <c r="AM421" s="570"/>
      <c r="AN421" s="597"/>
    </row>
    <row r="422" spans="1:55" s="550" customFormat="1" ht="12.75" customHeight="1">
      <c r="A422" s="536"/>
      <c r="B422" s="14"/>
      <c r="C422" s="739"/>
      <c r="AL422" s="732"/>
      <c r="AM422" s="570"/>
      <c r="AN422" s="597"/>
    </row>
    <row r="423" spans="1:55" s="550" customFormat="1" ht="12.75" customHeight="1">
      <c r="A423" s="536"/>
      <c r="B423" s="14"/>
      <c r="C423" s="2515" t="s">
        <v>592</v>
      </c>
      <c r="D423" s="2472"/>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0" t="s">
        <v>1475</v>
      </c>
      <c r="AG423" s="2440"/>
      <c r="AH423" s="2440"/>
      <c r="AI423" s="2440"/>
      <c r="AJ423" s="2440"/>
      <c r="AK423" s="2440"/>
      <c r="AL423" s="252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18" t="s">
        <v>1483</v>
      </c>
      <c r="G427" s="2518"/>
      <c r="H427" s="2518"/>
      <c r="I427" s="2518"/>
      <c r="J427" s="2518"/>
      <c r="K427" s="2518"/>
      <c r="L427" s="2518"/>
      <c r="M427" s="2518"/>
      <c r="N427" s="2518"/>
      <c r="O427" s="2518"/>
      <c r="P427" s="2518"/>
      <c r="Q427" s="2518"/>
      <c r="R427" s="2518"/>
      <c r="S427" s="2518"/>
      <c r="T427" s="2518"/>
      <c r="U427" s="2518"/>
      <c r="V427" s="2518"/>
      <c r="W427" s="2518"/>
      <c r="X427" s="2518"/>
      <c r="Y427" s="2518"/>
      <c r="Z427" s="2518"/>
      <c r="AA427" s="2518"/>
      <c r="AB427" s="2518"/>
      <c r="AC427" s="2518"/>
      <c r="AD427" s="2518"/>
      <c r="AE427" s="2518"/>
      <c r="AF427" s="714"/>
      <c r="AG427" s="714"/>
      <c r="AH427" s="714"/>
      <c r="AI427" s="714"/>
      <c r="AJ427" s="714"/>
      <c r="AK427" s="714"/>
      <c r="AL427" s="745"/>
      <c r="AM427" s="570"/>
      <c r="AN427" s="597"/>
    </row>
    <row r="428" spans="1:55" s="550" customFormat="1" ht="12.75" customHeight="1">
      <c r="A428" s="536"/>
      <c r="B428" s="14"/>
      <c r="C428" s="731"/>
      <c r="D428" s="14"/>
      <c r="E428" s="691"/>
      <c r="F428" s="2519"/>
      <c r="G428" s="2519"/>
      <c r="H428" s="2519"/>
      <c r="I428" s="2519"/>
      <c r="J428" s="2519"/>
      <c r="K428" s="2519"/>
      <c r="L428" s="2519"/>
      <c r="M428" s="2519"/>
      <c r="N428" s="2519"/>
      <c r="O428" s="2519"/>
      <c r="P428" s="2519"/>
      <c r="Q428" s="2519"/>
      <c r="R428" s="2519"/>
      <c r="S428" s="2519"/>
      <c r="T428" s="2519"/>
      <c r="U428" s="2519"/>
      <c r="V428" s="2519"/>
      <c r="W428" s="2519"/>
      <c r="X428" s="2519"/>
      <c r="Y428" s="2519"/>
      <c r="Z428" s="2519"/>
      <c r="AA428" s="2519"/>
      <c r="AB428" s="2519"/>
      <c r="AC428" s="2519"/>
      <c r="AD428" s="2519"/>
      <c r="AE428" s="2519"/>
      <c r="AF428" s="539"/>
      <c r="AG428" s="536"/>
      <c r="AL428" s="732"/>
      <c r="AM428" s="570"/>
      <c r="AN428" s="597"/>
    </row>
    <row r="429" spans="1:55" s="550" customFormat="1" ht="12.4" customHeight="1">
      <c r="A429" s="536"/>
      <c r="B429" s="14"/>
      <c r="C429" s="731"/>
      <c r="D429" s="14"/>
      <c r="E429" s="691"/>
      <c r="F429" s="2519"/>
      <c r="G429" s="2519"/>
      <c r="H429" s="2519"/>
      <c r="I429" s="2519"/>
      <c r="J429" s="2519"/>
      <c r="K429" s="2519"/>
      <c r="L429" s="2519"/>
      <c r="M429" s="2519"/>
      <c r="N429" s="2519"/>
      <c r="O429" s="2519"/>
      <c r="P429" s="2519"/>
      <c r="Q429" s="2519"/>
      <c r="R429" s="2519"/>
      <c r="S429" s="2519"/>
      <c r="T429" s="2519"/>
      <c r="U429" s="2519"/>
      <c r="V429" s="2519"/>
      <c r="W429" s="2519"/>
      <c r="X429" s="2519"/>
      <c r="Y429" s="2519"/>
      <c r="Z429" s="2519"/>
      <c r="AA429" s="2519"/>
      <c r="AB429" s="2519"/>
      <c r="AC429" s="2519"/>
      <c r="AD429" s="2519"/>
      <c r="AE429" s="2519"/>
      <c r="AL429" s="732"/>
      <c r="AM429" s="570"/>
      <c r="AN429" s="597"/>
    </row>
    <row r="430" spans="1:55" s="550" customFormat="1" ht="12.75" customHeight="1">
      <c r="A430" s="536"/>
      <c r="B430" s="14"/>
      <c r="C430" s="2515" t="s">
        <v>592</v>
      </c>
      <c r="D430" s="2472"/>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0" t="s">
        <v>1463</v>
      </c>
      <c r="AG430" s="2440"/>
      <c r="AH430" s="2440"/>
      <c r="AI430" s="2440"/>
      <c r="AJ430" s="2440"/>
      <c r="AK430" s="2440"/>
      <c r="AL430" s="252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18" t="s">
        <v>1486</v>
      </c>
      <c r="G433" s="2518"/>
      <c r="H433" s="2518"/>
      <c r="I433" s="2518"/>
      <c r="J433" s="2518"/>
      <c r="K433" s="2518"/>
      <c r="L433" s="2518"/>
      <c r="M433" s="2518"/>
      <c r="N433" s="2518"/>
      <c r="O433" s="2518"/>
      <c r="P433" s="2518"/>
      <c r="Q433" s="2518"/>
      <c r="R433" s="2518"/>
      <c r="S433" s="2518"/>
      <c r="T433" s="2518"/>
      <c r="U433" s="2518"/>
      <c r="V433" s="2518"/>
      <c r="W433" s="2518"/>
      <c r="X433" s="2518"/>
      <c r="Y433" s="2518"/>
      <c r="Z433" s="2518"/>
      <c r="AA433" s="2518"/>
      <c r="AB433" s="2518"/>
      <c r="AC433" s="2518"/>
      <c r="AD433" s="2518"/>
      <c r="AE433" s="2518"/>
      <c r="AF433" s="747"/>
      <c r="AG433" s="747"/>
      <c r="AH433" s="747"/>
      <c r="AI433" s="747"/>
      <c r="AJ433" s="747"/>
      <c r="AK433" s="747"/>
      <c r="AL433" s="748"/>
      <c r="AM433" s="570"/>
      <c r="AO433" s="550"/>
      <c r="AP433" s="550"/>
      <c r="BD433" s="14"/>
      <c r="BE433" s="14"/>
      <c r="BF433" s="14"/>
      <c r="BG433" s="14"/>
      <c r="BH433" s="14"/>
    </row>
    <row r="434" spans="1:60">
      <c r="A434" s="536"/>
      <c r="C434" s="731"/>
      <c r="E434" s="691"/>
      <c r="F434" s="2519"/>
      <c r="G434" s="2519"/>
      <c r="H434" s="2519"/>
      <c r="I434" s="2519"/>
      <c r="J434" s="2519"/>
      <c r="K434" s="2519"/>
      <c r="L434" s="2519"/>
      <c r="M434" s="2519"/>
      <c r="N434" s="2519"/>
      <c r="O434" s="2519"/>
      <c r="P434" s="2519"/>
      <c r="Q434" s="2519"/>
      <c r="R434" s="2519"/>
      <c r="S434" s="2519"/>
      <c r="T434" s="2519"/>
      <c r="U434" s="2519"/>
      <c r="V434" s="2519"/>
      <c r="W434" s="2519"/>
      <c r="X434" s="2519"/>
      <c r="Y434" s="2519"/>
      <c r="Z434" s="2519"/>
      <c r="AA434" s="2519"/>
      <c r="AB434" s="2519"/>
      <c r="AC434" s="2519"/>
      <c r="AD434" s="2519"/>
      <c r="AE434" s="2519"/>
      <c r="AF434" s="594"/>
      <c r="AG434" s="594"/>
      <c r="AH434" s="594"/>
      <c r="AI434" s="594"/>
      <c r="AJ434" s="594"/>
      <c r="AK434" s="594"/>
      <c r="AL434" s="750"/>
      <c r="AM434" s="570"/>
      <c r="AO434" s="550"/>
      <c r="AP434" s="550"/>
    </row>
    <row r="435" spans="1:60" s="550" customFormat="1" ht="12.75" customHeight="1">
      <c r="A435" s="536"/>
      <c r="B435" s="14"/>
      <c r="C435" s="731"/>
      <c r="D435" s="14"/>
      <c r="E435" s="691"/>
      <c r="F435" s="2519"/>
      <c r="G435" s="2519"/>
      <c r="H435" s="2519"/>
      <c r="I435" s="2519"/>
      <c r="J435" s="2519"/>
      <c r="K435" s="2519"/>
      <c r="L435" s="2519"/>
      <c r="M435" s="2519"/>
      <c r="N435" s="2519"/>
      <c r="O435" s="2519"/>
      <c r="P435" s="2519"/>
      <c r="Q435" s="2519"/>
      <c r="R435" s="2519"/>
      <c r="S435" s="2519"/>
      <c r="T435" s="2519"/>
      <c r="U435" s="2519"/>
      <c r="V435" s="2519"/>
      <c r="W435" s="2519"/>
      <c r="X435" s="2519"/>
      <c r="Y435" s="2519"/>
      <c r="Z435" s="2519"/>
      <c r="AA435" s="2519"/>
      <c r="AB435" s="2519"/>
      <c r="AC435" s="2519"/>
      <c r="AD435" s="2519"/>
      <c r="AE435" s="2519"/>
      <c r="AF435" s="594"/>
      <c r="AG435" s="594"/>
      <c r="AH435" s="594"/>
      <c r="AI435" s="594"/>
      <c r="AJ435" s="594"/>
      <c r="AK435" s="594"/>
      <c r="AL435" s="750"/>
      <c r="AM435" s="570"/>
      <c r="AN435" s="597"/>
    </row>
    <row r="436" spans="1:60" s="550" customFormat="1" ht="12.75" customHeight="1">
      <c r="A436" s="536"/>
      <c r="B436" s="14"/>
      <c r="C436" s="751"/>
      <c r="D436" s="730"/>
      <c r="E436" s="719"/>
      <c r="F436" s="2519"/>
      <c r="G436" s="2519"/>
      <c r="H436" s="2519"/>
      <c r="I436" s="2519"/>
      <c r="J436" s="2519"/>
      <c r="K436" s="2519"/>
      <c r="L436" s="2519"/>
      <c r="M436" s="2519"/>
      <c r="N436" s="2519"/>
      <c r="O436" s="2519"/>
      <c r="P436" s="2519"/>
      <c r="Q436" s="2519"/>
      <c r="R436" s="2519"/>
      <c r="S436" s="2519"/>
      <c r="T436" s="2519"/>
      <c r="U436" s="2519"/>
      <c r="V436" s="2519"/>
      <c r="W436" s="2519"/>
      <c r="X436" s="2519"/>
      <c r="Y436" s="2519"/>
      <c r="Z436" s="2519"/>
      <c r="AA436" s="2519"/>
      <c r="AB436" s="2519"/>
      <c r="AC436" s="2519"/>
      <c r="AD436" s="2519"/>
      <c r="AE436" s="2519"/>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9"/>
      <c r="G437" s="2519"/>
      <c r="H437" s="2519"/>
      <c r="I437" s="2519"/>
      <c r="J437" s="2519"/>
      <c r="K437" s="2519"/>
      <c r="L437" s="2519"/>
      <c r="M437" s="2519"/>
      <c r="N437" s="2519"/>
      <c r="O437" s="2519"/>
      <c r="P437" s="2519"/>
      <c r="Q437" s="2519"/>
      <c r="R437" s="2519"/>
      <c r="S437" s="2519"/>
      <c r="T437" s="2519"/>
      <c r="U437" s="2519"/>
      <c r="V437" s="2519"/>
      <c r="W437" s="2519"/>
      <c r="X437" s="2519"/>
      <c r="Y437" s="2519"/>
      <c r="Z437" s="2519"/>
      <c r="AA437" s="2519"/>
      <c r="AB437" s="2519"/>
      <c r="AC437" s="2519"/>
      <c r="AD437" s="2519"/>
      <c r="AE437" s="2519"/>
      <c r="AF437" s="594"/>
      <c r="AG437" s="594"/>
      <c r="AH437" s="594"/>
      <c r="AI437" s="594"/>
      <c r="AJ437" s="594"/>
      <c r="AK437" s="594"/>
      <c r="AL437" s="750"/>
      <c r="AM437" s="570"/>
      <c r="AN437" s="597"/>
    </row>
    <row r="438" spans="1:60" s="550" customFormat="1" ht="12.75" customHeight="1">
      <c r="A438" s="536"/>
      <c r="B438" s="14"/>
      <c r="C438" s="751"/>
      <c r="D438" s="730"/>
      <c r="E438" s="719"/>
      <c r="F438" s="2519"/>
      <c r="G438" s="2519"/>
      <c r="H438" s="2519"/>
      <c r="I438" s="2519"/>
      <c r="J438" s="2519"/>
      <c r="K438" s="2519"/>
      <c r="L438" s="2519"/>
      <c r="M438" s="2519"/>
      <c r="N438" s="2519"/>
      <c r="O438" s="2519"/>
      <c r="P438" s="2519"/>
      <c r="Q438" s="2519"/>
      <c r="R438" s="2519"/>
      <c r="S438" s="2519"/>
      <c r="T438" s="2519"/>
      <c r="U438" s="2519"/>
      <c r="V438" s="2519"/>
      <c r="W438" s="2519"/>
      <c r="X438" s="2519"/>
      <c r="Y438" s="2519"/>
      <c r="Z438" s="2519"/>
      <c r="AA438" s="2519"/>
      <c r="AB438" s="2519"/>
      <c r="AC438" s="2519"/>
      <c r="AD438" s="2519"/>
      <c r="AE438" s="2519"/>
      <c r="AF438" s="594"/>
      <c r="AG438" s="594"/>
      <c r="AH438" s="594"/>
      <c r="AI438" s="594"/>
      <c r="AJ438" s="594"/>
      <c r="AK438" s="594"/>
      <c r="AL438" s="750"/>
      <c r="AM438" s="570"/>
      <c r="AN438" s="597"/>
    </row>
    <row r="439" spans="1:60" s="550" customFormat="1" ht="12.75" customHeight="1">
      <c r="A439" s="536"/>
      <c r="B439" s="14"/>
      <c r="C439" s="751"/>
      <c r="D439" s="730"/>
      <c r="E439" s="719"/>
      <c r="F439" s="2519"/>
      <c r="G439" s="2519"/>
      <c r="H439" s="2519"/>
      <c r="I439" s="2519"/>
      <c r="J439" s="2519"/>
      <c r="K439" s="2519"/>
      <c r="L439" s="2519"/>
      <c r="M439" s="2519"/>
      <c r="N439" s="2519"/>
      <c r="O439" s="2519"/>
      <c r="P439" s="2519"/>
      <c r="Q439" s="2519"/>
      <c r="R439" s="2519"/>
      <c r="S439" s="2519"/>
      <c r="T439" s="2519"/>
      <c r="U439" s="2519"/>
      <c r="V439" s="2519"/>
      <c r="W439" s="2519"/>
      <c r="X439" s="2519"/>
      <c r="Y439" s="2519"/>
      <c r="Z439" s="2519"/>
      <c r="AA439" s="2519"/>
      <c r="AB439" s="2519"/>
      <c r="AC439" s="2519"/>
      <c r="AD439" s="2519"/>
      <c r="AE439" s="2519"/>
      <c r="AF439" s="594"/>
      <c r="AG439" s="594"/>
      <c r="AH439" s="594"/>
      <c r="AI439" s="594"/>
      <c r="AJ439" s="594"/>
      <c r="AK439" s="594"/>
      <c r="AL439" s="750"/>
      <c r="AM439" s="570"/>
      <c r="AN439" s="597"/>
    </row>
    <row r="440" spans="1:60" s="550" customFormat="1" ht="12.75" customHeight="1">
      <c r="A440" s="536"/>
      <c r="B440" s="14"/>
      <c r="C440" s="751"/>
      <c r="D440" s="730"/>
      <c r="E440" s="719"/>
      <c r="F440" s="2519"/>
      <c r="G440" s="2519"/>
      <c r="H440" s="2519"/>
      <c r="I440" s="2519"/>
      <c r="J440" s="2519"/>
      <c r="K440" s="2519"/>
      <c r="L440" s="2519"/>
      <c r="M440" s="2519"/>
      <c r="N440" s="2519"/>
      <c r="O440" s="2519"/>
      <c r="P440" s="2519"/>
      <c r="Q440" s="2519"/>
      <c r="R440" s="2519"/>
      <c r="S440" s="2519"/>
      <c r="T440" s="2519"/>
      <c r="U440" s="2519"/>
      <c r="V440" s="2519"/>
      <c r="W440" s="2519"/>
      <c r="X440" s="2519"/>
      <c r="Y440" s="2519"/>
      <c r="Z440" s="2519"/>
      <c r="AA440" s="2519"/>
      <c r="AB440" s="2519"/>
      <c r="AC440" s="2519"/>
      <c r="AD440" s="2519"/>
      <c r="AE440" s="2519"/>
      <c r="AF440" s="594"/>
      <c r="AG440" s="594"/>
      <c r="AH440" s="594"/>
      <c r="AI440" s="594"/>
      <c r="AJ440" s="594"/>
      <c r="AK440" s="594"/>
      <c r="AL440" s="750"/>
      <c r="AM440" s="570"/>
      <c r="AN440" s="597"/>
    </row>
    <row r="441" spans="1:60" s="550" customFormat="1" ht="17.25" customHeight="1">
      <c r="A441" s="536"/>
      <c r="B441" s="14"/>
      <c r="C441" s="751"/>
      <c r="D441" s="730"/>
      <c r="E441" s="719"/>
      <c r="F441" s="2519"/>
      <c r="G441" s="2519"/>
      <c r="H441" s="2519"/>
      <c r="I441" s="2519"/>
      <c r="J441" s="2519"/>
      <c r="K441" s="2519"/>
      <c r="L441" s="2519"/>
      <c r="M441" s="2519"/>
      <c r="N441" s="2519"/>
      <c r="O441" s="2519"/>
      <c r="P441" s="2519"/>
      <c r="Q441" s="2519"/>
      <c r="R441" s="2519"/>
      <c r="S441" s="2519"/>
      <c r="T441" s="2519"/>
      <c r="U441" s="2519"/>
      <c r="V441" s="2519"/>
      <c r="W441" s="2519"/>
      <c r="X441" s="2519"/>
      <c r="Y441" s="2519"/>
      <c r="Z441" s="2519"/>
      <c r="AA441" s="2519"/>
      <c r="AB441" s="2519"/>
      <c r="AC441" s="2519"/>
      <c r="AD441" s="2519"/>
      <c r="AE441" s="2519"/>
      <c r="AL441" s="732"/>
      <c r="AM441" s="570"/>
      <c r="AN441" s="597"/>
    </row>
    <row r="442" spans="1:60" s="550" customFormat="1" ht="12.75" customHeight="1">
      <c r="A442" s="536"/>
      <c r="B442" s="14"/>
      <c r="C442" s="2515" t="s">
        <v>592</v>
      </c>
      <c r="D442" s="2472"/>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0" t="s">
        <v>1463</v>
      </c>
      <c r="AG442" s="2440"/>
      <c r="AH442" s="2440"/>
      <c r="AI442" s="2440"/>
      <c r="AJ442" s="2440"/>
      <c r="AK442" s="2440"/>
      <c r="AL442" s="252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18" t="s">
        <v>1489</v>
      </c>
      <c r="G445" s="2518"/>
      <c r="H445" s="2518"/>
      <c r="I445" s="2518"/>
      <c r="J445" s="2518"/>
      <c r="K445" s="2518"/>
      <c r="L445" s="2518"/>
      <c r="M445" s="2518"/>
      <c r="N445" s="2518"/>
      <c r="O445" s="2518"/>
      <c r="P445" s="2518"/>
      <c r="Q445" s="2518"/>
      <c r="R445" s="2518"/>
      <c r="S445" s="2518"/>
      <c r="T445" s="2518"/>
      <c r="U445" s="2518"/>
      <c r="V445" s="2518"/>
      <c r="W445" s="2518"/>
      <c r="X445" s="2518"/>
      <c r="Y445" s="2518"/>
      <c r="Z445" s="2518"/>
      <c r="AA445" s="2518"/>
      <c r="AB445" s="2518"/>
      <c r="AC445" s="2518"/>
      <c r="AD445" s="2518"/>
      <c r="AE445" s="2518"/>
      <c r="AF445" s="714"/>
      <c r="AG445" s="714"/>
      <c r="AH445" s="714"/>
      <c r="AI445" s="714"/>
      <c r="AJ445" s="714"/>
      <c r="AK445" s="714"/>
      <c r="AL445" s="745"/>
      <c r="AM445" s="570"/>
      <c r="AN445" s="597"/>
    </row>
    <row r="446" spans="1:60" s="550" customFormat="1" ht="12.75" customHeight="1">
      <c r="A446" s="536"/>
      <c r="B446" s="14"/>
      <c r="C446" s="751"/>
      <c r="D446" s="730"/>
      <c r="E446" s="719"/>
      <c r="F446" s="2519"/>
      <c r="G446" s="2519"/>
      <c r="H446" s="2519"/>
      <c r="I446" s="2519"/>
      <c r="J446" s="2519"/>
      <c r="K446" s="2519"/>
      <c r="L446" s="2519"/>
      <c r="M446" s="2519"/>
      <c r="N446" s="2519"/>
      <c r="O446" s="2519"/>
      <c r="P446" s="2519"/>
      <c r="Q446" s="2519"/>
      <c r="R446" s="2519"/>
      <c r="S446" s="2519"/>
      <c r="T446" s="2519"/>
      <c r="U446" s="2519"/>
      <c r="V446" s="2519"/>
      <c r="W446" s="2519"/>
      <c r="X446" s="2519"/>
      <c r="Y446" s="2519"/>
      <c r="Z446" s="2519"/>
      <c r="AA446" s="2519"/>
      <c r="AB446" s="2519"/>
      <c r="AC446" s="2519"/>
      <c r="AD446" s="2519"/>
      <c r="AE446" s="2519"/>
      <c r="AF446" s="591"/>
      <c r="AG446" s="591"/>
      <c r="AH446" s="591"/>
      <c r="AI446" s="591"/>
      <c r="AJ446" s="591"/>
      <c r="AK446" s="591"/>
      <c r="AL446" s="720"/>
      <c r="AM446" s="570"/>
      <c r="AN446" s="597"/>
    </row>
    <row r="447" spans="1:60" s="550" customFormat="1" ht="12.75" customHeight="1">
      <c r="A447" s="536"/>
      <c r="B447" s="14"/>
      <c r="C447" s="751"/>
      <c r="D447" s="730"/>
      <c r="E447" s="719"/>
      <c r="F447" s="2519"/>
      <c r="G447" s="2519"/>
      <c r="H447" s="2519"/>
      <c r="I447" s="2519"/>
      <c r="J447" s="2519"/>
      <c r="K447" s="2519"/>
      <c r="L447" s="2519"/>
      <c r="M447" s="2519"/>
      <c r="N447" s="2519"/>
      <c r="O447" s="2519"/>
      <c r="P447" s="2519"/>
      <c r="Q447" s="2519"/>
      <c r="R447" s="2519"/>
      <c r="S447" s="2519"/>
      <c r="T447" s="2519"/>
      <c r="U447" s="2519"/>
      <c r="V447" s="2519"/>
      <c r="W447" s="2519"/>
      <c r="X447" s="2519"/>
      <c r="Y447" s="2519"/>
      <c r="Z447" s="2519"/>
      <c r="AA447" s="2519"/>
      <c r="AB447" s="2519"/>
      <c r="AC447" s="2519"/>
      <c r="AD447" s="2519"/>
      <c r="AE447" s="2519"/>
      <c r="AF447" s="591"/>
      <c r="AG447" s="591"/>
      <c r="AH447" s="591"/>
      <c r="AI447" s="591"/>
      <c r="AJ447" s="591"/>
      <c r="AK447" s="591"/>
      <c r="AL447" s="720"/>
      <c r="AM447" s="570"/>
      <c r="AN447" s="597"/>
    </row>
    <row r="448" spans="1:60" s="550" customFormat="1" ht="12.75" customHeight="1">
      <c r="A448" s="536"/>
      <c r="B448" s="14"/>
      <c r="C448" s="751"/>
      <c r="D448" s="730"/>
      <c r="E448" s="719"/>
      <c r="F448" s="2519"/>
      <c r="G448" s="2519"/>
      <c r="H448" s="2519"/>
      <c r="I448" s="2519"/>
      <c r="J448" s="2519"/>
      <c r="K448" s="2519"/>
      <c r="L448" s="2519"/>
      <c r="M448" s="2519"/>
      <c r="N448" s="2519"/>
      <c r="O448" s="2519"/>
      <c r="P448" s="2519"/>
      <c r="Q448" s="2519"/>
      <c r="R448" s="2519"/>
      <c r="S448" s="2519"/>
      <c r="T448" s="2519"/>
      <c r="U448" s="2519"/>
      <c r="V448" s="2519"/>
      <c r="W448" s="2519"/>
      <c r="X448" s="2519"/>
      <c r="Y448" s="2519"/>
      <c r="Z448" s="2519"/>
      <c r="AA448" s="2519"/>
      <c r="AB448" s="2519"/>
      <c r="AC448" s="2519"/>
      <c r="AD448" s="2519"/>
      <c r="AE448" s="2519"/>
      <c r="AL448" s="732"/>
      <c r="AM448" s="570"/>
      <c r="AN448" s="597"/>
    </row>
    <row r="449" spans="1:40" s="550" customFormat="1" ht="12.75" customHeight="1">
      <c r="A449" s="536"/>
      <c r="B449" s="14"/>
      <c r="C449" s="2515" t="s">
        <v>592</v>
      </c>
      <c r="D449" s="2472"/>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0" t="s">
        <v>1463</v>
      </c>
      <c r="AG449" s="2440"/>
      <c r="AH449" s="2440"/>
      <c r="AI449" s="2440"/>
      <c r="AJ449" s="2440"/>
      <c r="AK449" s="2440"/>
      <c r="AL449" s="252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1" t="s">
        <v>592</v>
      </c>
      <c r="D453" s="2522"/>
      <c r="E453" s="715" t="s">
        <v>1498</v>
      </c>
      <c r="F453" s="2518" t="s">
        <v>1499</v>
      </c>
      <c r="G453" s="2518"/>
      <c r="H453" s="2518"/>
      <c r="I453" s="2518"/>
      <c r="J453" s="2518"/>
      <c r="K453" s="2518"/>
      <c r="L453" s="2518"/>
      <c r="M453" s="2518"/>
      <c r="N453" s="2518"/>
      <c r="O453" s="2518"/>
      <c r="P453" s="2518"/>
      <c r="Q453" s="2518"/>
      <c r="R453" s="2518"/>
      <c r="S453" s="2518"/>
      <c r="T453" s="2518"/>
      <c r="U453" s="2518"/>
      <c r="V453" s="2518"/>
      <c r="W453" s="2518"/>
      <c r="X453" s="2518"/>
      <c r="Y453" s="2518"/>
      <c r="Z453" s="2518"/>
      <c r="AA453" s="2518"/>
      <c r="AB453" s="2518"/>
      <c r="AC453" s="2518"/>
      <c r="AD453" s="2518"/>
      <c r="AE453" s="2518"/>
      <c r="AF453" s="2539" t="s">
        <v>1463</v>
      </c>
      <c r="AG453" s="2539"/>
      <c r="AH453" s="2539"/>
      <c r="AI453" s="2539"/>
      <c r="AJ453" s="2539"/>
      <c r="AK453" s="2539"/>
      <c r="AL453" s="2540"/>
      <c r="AM453" s="570"/>
      <c r="AN453" s="753"/>
    </row>
    <row r="454" spans="1:40" s="550" customFormat="1" ht="12.75" customHeight="1">
      <c r="A454" s="536"/>
      <c r="B454" s="14"/>
      <c r="C454" s="751"/>
      <c r="D454" s="730"/>
      <c r="E454" s="719"/>
      <c r="F454" s="2519"/>
      <c r="G454" s="2519"/>
      <c r="H454" s="2519"/>
      <c r="I454" s="2519"/>
      <c r="J454" s="2519"/>
      <c r="K454" s="2519"/>
      <c r="L454" s="2519"/>
      <c r="M454" s="2519"/>
      <c r="N454" s="2519"/>
      <c r="O454" s="2519"/>
      <c r="P454" s="2519"/>
      <c r="Q454" s="2519"/>
      <c r="R454" s="2519"/>
      <c r="S454" s="2519"/>
      <c r="T454" s="2519"/>
      <c r="U454" s="2519"/>
      <c r="V454" s="2519"/>
      <c r="W454" s="2519"/>
      <c r="X454" s="2519"/>
      <c r="Y454" s="2519"/>
      <c r="Z454" s="2519"/>
      <c r="AA454" s="2519"/>
      <c r="AB454" s="2519"/>
      <c r="AC454" s="2519"/>
      <c r="AD454" s="2519"/>
      <c r="AE454" s="2519"/>
      <c r="AF454" s="591"/>
      <c r="AG454" s="591"/>
      <c r="AH454" s="591"/>
      <c r="AI454" s="591"/>
      <c r="AJ454" s="591"/>
      <c r="AK454" s="591"/>
      <c r="AL454" s="720"/>
      <c r="AM454" s="570"/>
      <c r="AN454" s="754"/>
    </row>
    <row r="455" spans="1:40" s="550" customFormat="1" ht="17.649999999999999" customHeight="1">
      <c r="A455" s="536"/>
      <c r="B455" s="14"/>
      <c r="C455" s="756"/>
      <c r="D455" s="723"/>
      <c r="E455" s="724"/>
      <c r="F455" s="2538"/>
      <c r="G455" s="2538"/>
      <c r="H455" s="2538"/>
      <c r="I455" s="2538"/>
      <c r="J455" s="2538"/>
      <c r="K455" s="2538"/>
      <c r="L455" s="2538"/>
      <c r="M455" s="2538"/>
      <c r="N455" s="2538"/>
      <c r="O455" s="2538"/>
      <c r="P455" s="2538"/>
      <c r="Q455" s="2538"/>
      <c r="R455" s="2538"/>
      <c r="S455" s="2538"/>
      <c r="T455" s="2538"/>
      <c r="U455" s="2538"/>
      <c r="V455" s="2538"/>
      <c r="W455" s="2538"/>
      <c r="X455" s="2538"/>
      <c r="Y455" s="2538"/>
      <c r="Z455" s="2538"/>
      <c r="AA455" s="2538"/>
      <c r="AB455" s="2538"/>
      <c r="AC455" s="2538"/>
      <c r="AD455" s="2538"/>
      <c r="AE455" s="253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5" t="s">
        <v>592</v>
      </c>
      <c r="D457" s="2472"/>
      <c r="E457" s="715" t="s">
        <v>1504</v>
      </c>
      <c r="F457" s="2518" t="s">
        <v>1505</v>
      </c>
      <c r="G457" s="2518"/>
      <c r="H457" s="2518"/>
      <c r="I457" s="2518"/>
      <c r="J457" s="2518"/>
      <c r="K457" s="2518"/>
      <c r="L457" s="2518"/>
      <c r="M457" s="2518"/>
      <c r="N457" s="2518"/>
      <c r="O457" s="2518"/>
      <c r="P457" s="2518"/>
      <c r="Q457" s="2518"/>
      <c r="R457" s="2518"/>
      <c r="S457" s="2518"/>
      <c r="T457" s="2518"/>
      <c r="U457" s="2518"/>
      <c r="V457" s="2518"/>
      <c r="W457" s="2518"/>
      <c r="X457" s="2518"/>
      <c r="Y457" s="2518"/>
      <c r="Z457" s="2518"/>
      <c r="AA457" s="2518"/>
      <c r="AB457" s="2518"/>
      <c r="AC457" s="2518"/>
      <c r="AD457" s="2518"/>
      <c r="AE457" s="2518"/>
      <c r="AF457" s="2539" t="s">
        <v>1463</v>
      </c>
      <c r="AG457" s="2539"/>
      <c r="AH457" s="2539"/>
      <c r="AI457" s="2539"/>
      <c r="AJ457" s="2539"/>
      <c r="AK457" s="2539"/>
      <c r="AL457" s="2540"/>
      <c r="AM457" s="570"/>
      <c r="AN457" s="535"/>
    </row>
    <row r="458" spans="1:40" s="550" customFormat="1" ht="12.75" customHeight="1">
      <c r="A458" s="536"/>
      <c r="B458" s="14"/>
      <c r="C458" s="731"/>
      <c r="D458" s="14"/>
      <c r="E458" s="691"/>
      <c r="F458" s="2519"/>
      <c r="G458" s="2519"/>
      <c r="H458" s="2519"/>
      <c r="I458" s="2519"/>
      <c r="J458" s="2519"/>
      <c r="K458" s="2519"/>
      <c r="L458" s="2519"/>
      <c r="M458" s="2519"/>
      <c r="N458" s="2519"/>
      <c r="O458" s="2519"/>
      <c r="P458" s="2519"/>
      <c r="Q458" s="2519"/>
      <c r="R458" s="2519"/>
      <c r="S458" s="2519"/>
      <c r="T458" s="2519"/>
      <c r="U458" s="2519"/>
      <c r="V458" s="2519"/>
      <c r="W458" s="2519"/>
      <c r="X458" s="2519"/>
      <c r="Y458" s="2519"/>
      <c r="Z458" s="2519"/>
      <c r="AA458" s="2519"/>
      <c r="AB458" s="2519"/>
      <c r="AC458" s="2519"/>
      <c r="AD458" s="2519"/>
      <c r="AE458" s="2519"/>
      <c r="AF458" s="539"/>
      <c r="AG458" s="536"/>
      <c r="AL458" s="732"/>
      <c r="AM458" s="570"/>
      <c r="AN458" s="535"/>
    </row>
    <row r="459" spans="1:40" s="550" customFormat="1" ht="12.75" customHeight="1">
      <c r="A459" s="536"/>
      <c r="B459" s="14"/>
      <c r="C459" s="731"/>
      <c r="D459" s="14"/>
      <c r="E459" s="691"/>
      <c r="F459" s="2519"/>
      <c r="G459" s="2519"/>
      <c r="H459" s="2519"/>
      <c r="I459" s="2519"/>
      <c r="J459" s="2519"/>
      <c r="K459" s="2519"/>
      <c r="L459" s="2519"/>
      <c r="M459" s="2519"/>
      <c r="N459" s="2519"/>
      <c r="O459" s="2519"/>
      <c r="P459" s="2519"/>
      <c r="Q459" s="2519"/>
      <c r="R459" s="2519"/>
      <c r="S459" s="2519"/>
      <c r="T459" s="2519"/>
      <c r="U459" s="2519"/>
      <c r="V459" s="2519"/>
      <c r="W459" s="2519"/>
      <c r="X459" s="2519"/>
      <c r="Y459" s="2519"/>
      <c r="Z459" s="2519"/>
      <c r="AA459" s="2519"/>
      <c r="AB459" s="2519"/>
      <c r="AC459" s="2519"/>
      <c r="AD459" s="2519"/>
      <c r="AE459" s="2519"/>
      <c r="AF459" s="539"/>
      <c r="AG459" s="536"/>
      <c r="AL459" s="732"/>
      <c r="AM459" s="570"/>
      <c r="AN459" s="535"/>
    </row>
    <row r="460" spans="1:40" s="550" customFormat="1" ht="12.75" customHeight="1">
      <c r="A460" s="536"/>
      <c r="B460" s="14"/>
      <c r="C460" s="756"/>
      <c r="D460" s="723"/>
      <c r="E460" s="724"/>
      <c r="F460" s="2538"/>
      <c r="G460" s="2538"/>
      <c r="H460" s="2538"/>
      <c r="I460" s="2538"/>
      <c r="J460" s="2538"/>
      <c r="K460" s="2538"/>
      <c r="L460" s="2538"/>
      <c r="M460" s="2538"/>
      <c r="N460" s="2538"/>
      <c r="O460" s="2538"/>
      <c r="P460" s="2538"/>
      <c r="Q460" s="2538"/>
      <c r="R460" s="2538"/>
      <c r="S460" s="2538"/>
      <c r="T460" s="2538"/>
      <c r="U460" s="2538"/>
      <c r="V460" s="2538"/>
      <c r="W460" s="2538"/>
      <c r="X460" s="2538"/>
      <c r="Y460" s="2538"/>
      <c r="Z460" s="2538"/>
      <c r="AA460" s="2538"/>
      <c r="AB460" s="2538"/>
      <c r="AC460" s="2538"/>
      <c r="AD460" s="2538"/>
      <c r="AE460" s="253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18" t="s">
        <v>1508</v>
      </c>
      <c r="G462" s="2518"/>
      <c r="H462" s="2518"/>
      <c r="I462" s="2518"/>
      <c r="J462" s="2518"/>
      <c r="K462" s="2518"/>
      <c r="L462" s="2518"/>
      <c r="M462" s="2518"/>
      <c r="N462" s="2518"/>
      <c r="O462" s="2518"/>
      <c r="P462" s="2518"/>
      <c r="Q462" s="2518"/>
      <c r="R462" s="2518"/>
      <c r="S462" s="2518"/>
      <c r="T462" s="2518"/>
      <c r="U462" s="2518"/>
      <c r="V462" s="2518"/>
      <c r="W462" s="2518"/>
      <c r="X462" s="2518"/>
      <c r="Y462" s="2518"/>
      <c r="Z462" s="2518"/>
      <c r="AA462" s="2518"/>
      <c r="AB462" s="2518"/>
      <c r="AC462" s="2518"/>
      <c r="AD462" s="2518"/>
      <c r="AE462" s="2518"/>
      <c r="AF462" s="2518"/>
      <c r="AG462" s="744"/>
      <c r="AH462" s="714"/>
      <c r="AI462" s="714"/>
      <c r="AJ462" s="714"/>
      <c r="AK462" s="714"/>
      <c r="AL462" s="745"/>
      <c r="AM462" s="570"/>
      <c r="AN462" s="597"/>
    </row>
    <row r="463" spans="1:40" s="550" customFormat="1" ht="12.75" customHeight="1">
      <c r="A463" s="536"/>
      <c r="B463" s="14"/>
      <c r="C463" s="731"/>
      <c r="D463" s="14"/>
      <c r="E463" s="691"/>
      <c r="F463" s="2519"/>
      <c r="G463" s="2519"/>
      <c r="H463" s="2519"/>
      <c r="I463" s="2519"/>
      <c r="J463" s="2519"/>
      <c r="K463" s="2519"/>
      <c r="L463" s="2519"/>
      <c r="M463" s="2519"/>
      <c r="N463" s="2519"/>
      <c r="O463" s="2519"/>
      <c r="P463" s="2519"/>
      <c r="Q463" s="2519"/>
      <c r="R463" s="2519"/>
      <c r="S463" s="2519"/>
      <c r="T463" s="2519"/>
      <c r="U463" s="2519"/>
      <c r="V463" s="2519"/>
      <c r="W463" s="2519"/>
      <c r="X463" s="2519"/>
      <c r="Y463" s="2519"/>
      <c r="Z463" s="2519"/>
      <c r="AA463" s="2519"/>
      <c r="AB463" s="2519"/>
      <c r="AC463" s="2519"/>
      <c r="AD463" s="2519"/>
      <c r="AE463" s="2519"/>
      <c r="AF463" s="2519"/>
      <c r="AL463" s="732"/>
      <c r="AM463" s="570"/>
      <c r="AN463" s="597"/>
    </row>
    <row r="464" spans="1:40" s="550" customFormat="1" ht="12.75" customHeight="1">
      <c r="A464" s="536"/>
      <c r="B464" s="14"/>
      <c r="C464" s="739"/>
      <c r="F464" s="2519"/>
      <c r="G464" s="2519"/>
      <c r="H464" s="2519"/>
      <c r="I464" s="2519"/>
      <c r="J464" s="2519"/>
      <c r="K464" s="2519"/>
      <c r="L464" s="2519"/>
      <c r="M464" s="2519"/>
      <c r="N464" s="2519"/>
      <c r="O464" s="2519"/>
      <c r="P464" s="2519"/>
      <c r="Q464" s="2519"/>
      <c r="R464" s="2519"/>
      <c r="S464" s="2519"/>
      <c r="T464" s="2519"/>
      <c r="U464" s="2519"/>
      <c r="V464" s="2519"/>
      <c r="W464" s="2519"/>
      <c r="X464" s="2519"/>
      <c r="Y464" s="2519"/>
      <c r="Z464" s="2519"/>
      <c r="AA464" s="2519"/>
      <c r="AB464" s="2519"/>
      <c r="AC464" s="2519"/>
      <c r="AD464" s="2519"/>
      <c r="AE464" s="2519"/>
      <c r="AF464" s="2519"/>
      <c r="AL464" s="732"/>
      <c r="AM464" s="570"/>
      <c r="AN464" s="597"/>
    </row>
    <row r="465" spans="1:58" s="550" customFormat="1" ht="12.75" customHeight="1">
      <c r="A465" s="536"/>
      <c r="B465" s="14"/>
      <c r="C465" s="739"/>
      <c r="F465" s="2519"/>
      <c r="G465" s="2519"/>
      <c r="H465" s="2519"/>
      <c r="I465" s="2519"/>
      <c r="J465" s="2519"/>
      <c r="K465" s="2519"/>
      <c r="L465" s="2519"/>
      <c r="M465" s="2519"/>
      <c r="N465" s="2519"/>
      <c r="O465" s="2519"/>
      <c r="P465" s="2519"/>
      <c r="Q465" s="2519"/>
      <c r="R465" s="2519"/>
      <c r="S465" s="2519"/>
      <c r="T465" s="2519"/>
      <c r="U465" s="2519"/>
      <c r="V465" s="2519"/>
      <c r="W465" s="2519"/>
      <c r="X465" s="2519"/>
      <c r="Y465" s="2519"/>
      <c r="Z465" s="2519"/>
      <c r="AA465" s="2519"/>
      <c r="AB465" s="2519"/>
      <c r="AC465" s="2519"/>
      <c r="AD465" s="2519"/>
      <c r="AE465" s="2519"/>
      <c r="AF465" s="2519"/>
      <c r="AL465" s="732"/>
      <c r="AM465" s="570"/>
      <c r="AN465" s="597"/>
    </row>
    <row r="466" spans="1:58" s="550" customFormat="1" ht="12.75" customHeight="1">
      <c r="A466" s="536"/>
      <c r="B466" s="14"/>
      <c r="C466" s="2515" t="s">
        <v>592</v>
      </c>
      <c r="D466" s="2472"/>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6" t="s">
        <v>1463</v>
      </c>
      <c r="AG466" s="2516"/>
      <c r="AH466" s="2516"/>
      <c r="AI466" s="2516"/>
      <c r="AJ466" s="2516"/>
      <c r="AK466" s="2516"/>
      <c r="AL466" s="251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5">
        <f>IF(Application!D214="N/A",AS358,AS360)</f>
        <v>10</v>
      </c>
      <c r="AL469" s="2476"/>
      <c r="AM469" s="2477"/>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6" t="s">
        <v>1512</v>
      </c>
      <c r="AF472" s="2516"/>
      <c r="AG472" s="2516"/>
      <c r="AH472" s="2516"/>
      <c r="AI472" s="2516"/>
      <c r="AJ472" s="2516"/>
      <c r="AK472" s="2516"/>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1" t="s">
        <v>592</v>
      </c>
      <c r="D478" s="2542"/>
      <c r="E478" s="761" t="s">
        <v>508</v>
      </c>
      <c r="F478" s="2543" t="s">
        <v>1518</v>
      </c>
      <c r="G478" s="2543"/>
      <c r="H478" s="2543"/>
      <c r="I478" s="2543"/>
      <c r="J478" s="2543"/>
      <c r="K478" s="2543"/>
      <c r="L478" s="2543"/>
      <c r="M478" s="2543"/>
      <c r="N478" s="2543"/>
      <c r="O478" s="2543"/>
      <c r="P478" s="2543"/>
      <c r="Q478" s="2543"/>
      <c r="R478" s="2543"/>
      <c r="S478" s="2543"/>
      <c r="T478" s="2543"/>
      <c r="U478" s="2543"/>
      <c r="V478" s="2543"/>
      <c r="W478" s="2543"/>
      <c r="X478" s="2543"/>
      <c r="Y478" s="2543"/>
      <c r="Z478" s="2543"/>
      <c r="AA478" s="2543"/>
      <c r="AB478" s="2543"/>
      <c r="AC478" s="2543"/>
      <c r="AD478" s="2543"/>
      <c r="AE478" s="2543"/>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4"/>
      <c r="G479" s="2544"/>
      <c r="H479" s="2544"/>
      <c r="I479" s="2544"/>
      <c r="J479" s="2544"/>
      <c r="K479" s="2544"/>
      <c r="L479" s="2544"/>
      <c r="M479" s="2544"/>
      <c r="N479" s="2544"/>
      <c r="O479" s="2544"/>
      <c r="P479" s="2544"/>
      <c r="Q479" s="2544"/>
      <c r="R479" s="2544"/>
      <c r="S479" s="2544"/>
      <c r="T479" s="2544"/>
      <c r="U479" s="2544"/>
      <c r="V479" s="2544"/>
      <c r="W479" s="2544"/>
      <c r="X479" s="2544"/>
      <c r="Y479" s="2544"/>
      <c r="Z479" s="2544"/>
      <c r="AA479" s="2544"/>
      <c r="AB479" s="2544"/>
      <c r="AC479" s="2544"/>
      <c r="AD479" s="2544"/>
      <c r="AE479" s="2544"/>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7" t="s">
        <v>592</v>
      </c>
      <c r="G480" s="2617"/>
      <c r="H480" s="2617"/>
      <c r="I480" s="2617"/>
      <c r="J480" s="2617"/>
      <c r="K480" s="2617"/>
      <c r="L480" s="2617"/>
      <c r="M480" s="2617"/>
      <c r="N480" s="2617"/>
      <c r="O480" s="2617"/>
      <c r="P480" s="2617"/>
      <c r="Q480" s="2617"/>
      <c r="R480" s="2617"/>
      <c r="S480" s="2617"/>
      <c r="T480" s="2617"/>
      <c r="U480" s="2617"/>
      <c r="V480" s="2617"/>
      <c r="W480" s="2617"/>
      <c r="X480" s="2617"/>
      <c r="Y480" s="2617"/>
      <c r="Z480" s="2617"/>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8" t="s">
        <v>546</v>
      </c>
      <c r="D482" s="2619"/>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6" t="s">
        <v>592</v>
      </c>
      <c r="W485" s="2616"/>
      <c r="X485" s="2616"/>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6" t="s">
        <v>592</v>
      </c>
      <c r="W487" s="2616"/>
      <c r="X487" s="2616"/>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6" t="s">
        <v>592</v>
      </c>
      <c r="W492" s="2616"/>
      <c r="X492" s="2616"/>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6"/>
      <c r="E495" s="2606"/>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6" t="s">
        <v>592</v>
      </c>
      <c r="W496" s="2616"/>
      <c r="X496" s="2616"/>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6" t="s">
        <v>592</v>
      </c>
      <c r="W498" s="2616"/>
      <c r="X498" s="2616"/>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1" t="s">
        <v>592</v>
      </c>
      <c r="D501" s="2542"/>
      <c r="E501" s="761" t="s">
        <v>508</v>
      </c>
      <c r="F501" s="2543" t="s">
        <v>1518</v>
      </c>
      <c r="G501" s="2543"/>
      <c r="H501" s="2543"/>
      <c r="I501" s="2543"/>
      <c r="J501" s="2543"/>
      <c r="K501" s="2543"/>
      <c r="L501" s="2543"/>
      <c r="M501" s="2543"/>
      <c r="N501" s="2543"/>
      <c r="O501" s="2543"/>
      <c r="P501" s="2543"/>
      <c r="Q501" s="2543"/>
      <c r="R501" s="2543"/>
      <c r="S501" s="2543"/>
      <c r="T501" s="2543"/>
      <c r="U501" s="2543"/>
      <c r="V501" s="2543"/>
      <c r="W501" s="2543"/>
      <c r="X501" s="2543"/>
      <c r="Y501" s="2543"/>
      <c r="Z501" s="2543"/>
      <c r="AA501" s="2543"/>
      <c r="AB501" s="2543"/>
      <c r="AC501" s="2543"/>
      <c r="AD501" s="2543"/>
      <c r="AE501" s="254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4"/>
      <c r="G502" s="2544"/>
      <c r="H502" s="2544"/>
      <c r="I502" s="2544"/>
      <c r="J502" s="2544"/>
      <c r="K502" s="2544"/>
      <c r="L502" s="2544"/>
      <c r="M502" s="2544"/>
      <c r="N502" s="2544"/>
      <c r="O502" s="2544"/>
      <c r="P502" s="2544"/>
      <c r="Q502" s="2544"/>
      <c r="R502" s="2544"/>
      <c r="S502" s="2544"/>
      <c r="T502" s="2544"/>
      <c r="U502" s="2544"/>
      <c r="V502" s="2544"/>
      <c r="W502" s="2544"/>
      <c r="X502" s="2544"/>
      <c r="Y502" s="2544"/>
      <c r="Z502" s="2544"/>
      <c r="AA502" s="2544"/>
      <c r="AB502" s="2544"/>
      <c r="AC502" s="2544"/>
      <c r="AD502" s="2544"/>
      <c r="AE502" s="254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2" t="s">
        <v>592</v>
      </c>
      <c r="G503" s="2612"/>
      <c r="H503" s="2612"/>
      <c r="I503" s="2612"/>
      <c r="J503" s="2612"/>
      <c r="K503" s="2612"/>
      <c r="L503" s="2612"/>
      <c r="M503" s="2612"/>
      <c r="N503" s="2612"/>
      <c r="O503" s="2612"/>
      <c r="P503" s="2612"/>
      <c r="Q503" s="2612"/>
      <c r="R503" s="2612"/>
      <c r="S503" s="2612"/>
      <c r="T503" s="2612"/>
      <c r="U503" s="2612"/>
      <c r="V503" s="2612"/>
      <c r="W503" s="2612"/>
      <c r="X503" s="2612"/>
      <c r="Y503" s="2612"/>
      <c r="Z503" s="2612"/>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1" t="s">
        <v>592</v>
      </c>
      <c r="D505" s="2542"/>
      <c r="E505" s="761" t="s">
        <v>758</v>
      </c>
      <c r="F505" s="2613" t="s">
        <v>1540</v>
      </c>
      <c r="G505" s="2613"/>
      <c r="H505" s="2613"/>
      <c r="I505" s="2613"/>
      <c r="J505" s="2613"/>
      <c r="K505" s="2613"/>
      <c r="L505" s="2613"/>
      <c r="M505" s="2613"/>
      <c r="N505" s="2613"/>
      <c r="O505" s="2613"/>
      <c r="P505" s="2613"/>
      <c r="Q505" s="2613"/>
      <c r="R505" s="2613"/>
      <c r="S505" s="2613"/>
      <c r="T505" s="2613"/>
      <c r="U505" s="2613"/>
      <c r="V505" s="2613"/>
      <c r="W505" s="2613"/>
      <c r="X505" s="2613"/>
      <c r="Y505" s="2613"/>
      <c r="Z505" s="2613"/>
      <c r="AA505" s="2613"/>
      <c r="AB505" s="2613"/>
      <c r="AC505" s="2613"/>
      <c r="AD505" s="2613"/>
      <c r="AE505" s="261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4"/>
      <c r="G506" s="2614"/>
      <c r="H506" s="2614"/>
      <c r="I506" s="2614"/>
      <c r="J506" s="2614"/>
      <c r="K506" s="2614"/>
      <c r="L506" s="2614"/>
      <c r="M506" s="2614"/>
      <c r="N506" s="2614"/>
      <c r="O506" s="2614"/>
      <c r="P506" s="2614"/>
      <c r="Q506" s="2614"/>
      <c r="R506" s="2614"/>
      <c r="S506" s="2614"/>
      <c r="T506" s="2614"/>
      <c r="U506" s="2614"/>
      <c r="V506" s="2614"/>
      <c r="W506" s="2614"/>
      <c r="X506" s="2614"/>
      <c r="Y506" s="2614"/>
      <c r="Z506" s="2614"/>
      <c r="AA506" s="2614"/>
      <c r="AB506" s="2614"/>
      <c r="AC506" s="2614"/>
      <c r="AD506" s="2614"/>
      <c r="AE506" s="261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5" t="s">
        <v>592</v>
      </c>
      <c r="G508" s="2615"/>
      <c r="H508" s="261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1" t="s">
        <v>592</v>
      </c>
      <c r="D510" s="2542"/>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5"/>
      <c r="D512" s="2606"/>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7" t="s">
        <v>592</v>
      </c>
      <c r="H513" s="2607"/>
      <c r="I513" s="2607"/>
      <c r="J513" s="2607"/>
      <c r="K513" s="2607"/>
      <c r="L513" s="2607"/>
      <c r="M513" s="2607"/>
      <c r="N513" s="2607"/>
      <c r="O513" s="2607"/>
      <c r="P513" s="2607"/>
      <c r="Q513" s="2607"/>
      <c r="R513" s="2607"/>
      <c r="S513" s="2607"/>
      <c r="T513" s="2607"/>
      <c r="U513" s="2607"/>
      <c r="V513" s="2607"/>
      <c r="W513" s="2607"/>
      <c r="X513" s="2607"/>
      <c r="Y513" s="2607"/>
      <c r="Z513" s="2607"/>
      <c r="AA513" s="2607"/>
      <c r="AB513" s="2607"/>
      <c r="AC513" s="2607"/>
      <c r="AD513" s="2607"/>
      <c r="AE513" s="2607"/>
      <c r="AF513" s="2607"/>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5" t="s">
        <v>592</v>
      </c>
      <c r="D515" s="2546"/>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5" t="s">
        <v>592</v>
      </c>
      <c r="D519" s="2546"/>
      <c r="F519" s="795" t="s">
        <v>1548</v>
      </c>
      <c r="G519" s="2519" t="s">
        <v>1549</v>
      </c>
      <c r="H519" s="2519"/>
      <c r="I519" s="2519"/>
      <c r="J519" s="2519"/>
      <c r="K519" s="2519"/>
      <c r="L519" s="2519"/>
      <c r="M519" s="2519"/>
      <c r="N519" s="2519"/>
      <c r="O519" s="2519"/>
      <c r="P519" s="2519"/>
      <c r="Q519" s="2519"/>
      <c r="R519" s="2519"/>
      <c r="S519" s="2519"/>
      <c r="T519" s="2519"/>
      <c r="U519" s="2519"/>
      <c r="V519" s="2519"/>
      <c r="W519" s="2519"/>
      <c r="X519" s="2519"/>
      <c r="Y519" s="2519"/>
      <c r="Z519" s="2519"/>
      <c r="AA519" s="2519"/>
      <c r="AB519" s="2519"/>
      <c r="AC519" s="2519"/>
      <c r="AD519" s="2519"/>
      <c r="AE519" s="2519"/>
      <c r="AF519" s="2519"/>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8"/>
      <c r="H520" s="2538"/>
      <c r="I520" s="2538"/>
      <c r="J520" s="2538"/>
      <c r="K520" s="2538"/>
      <c r="L520" s="2538"/>
      <c r="M520" s="2538"/>
      <c r="N520" s="2538"/>
      <c r="O520" s="2538"/>
      <c r="P520" s="2538"/>
      <c r="Q520" s="2538"/>
      <c r="R520" s="2538"/>
      <c r="S520" s="2538"/>
      <c r="T520" s="2538"/>
      <c r="U520" s="2538"/>
      <c r="V520" s="2538"/>
      <c r="W520" s="2538"/>
      <c r="X520" s="2538"/>
      <c r="Y520" s="2538"/>
      <c r="Z520" s="2538"/>
      <c r="AA520" s="2538"/>
      <c r="AB520" s="2538"/>
      <c r="AC520" s="2538"/>
      <c r="AD520" s="2538"/>
      <c r="AE520" s="2538"/>
      <c r="AF520" s="253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7" t="s">
        <v>592</v>
      </c>
      <c r="D523" s="2548"/>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9" t="s">
        <v>592</v>
      </c>
      <c r="G524" s="2549"/>
      <c r="H524" s="2549"/>
      <c r="I524" s="2549"/>
      <c r="J524" s="2549"/>
      <c r="K524" s="2549"/>
      <c r="L524" s="2549"/>
      <c r="M524" s="2549"/>
      <c r="N524" s="2549"/>
      <c r="O524" s="2549"/>
      <c r="P524" s="2549"/>
      <c r="Q524" s="2549"/>
      <c r="R524" s="2549"/>
      <c r="S524" s="2549"/>
      <c r="T524" s="2549"/>
      <c r="U524" s="2549"/>
      <c r="V524" s="2549"/>
      <c r="W524" s="2549"/>
      <c r="X524" s="2549"/>
      <c r="Y524" s="2549"/>
      <c r="Z524" s="2549"/>
      <c r="AA524" s="2549"/>
      <c r="AB524" s="2549"/>
      <c r="AC524" s="2549"/>
      <c r="AD524" s="2549"/>
      <c r="AE524" s="2549"/>
      <c r="AF524" s="254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0"/>
      <c r="G525" s="2550"/>
      <c r="H525" s="2550"/>
      <c r="I525" s="2550"/>
      <c r="J525" s="2550"/>
      <c r="K525" s="2550"/>
      <c r="L525" s="2550"/>
      <c r="M525" s="2550"/>
      <c r="N525" s="2550"/>
      <c r="O525" s="2550"/>
      <c r="P525" s="2550"/>
      <c r="Q525" s="2550"/>
      <c r="R525" s="2550"/>
      <c r="S525" s="2550"/>
      <c r="T525" s="2550"/>
      <c r="U525" s="2550"/>
      <c r="V525" s="2550"/>
      <c r="W525" s="2550"/>
      <c r="X525" s="2550"/>
      <c r="Y525" s="2550"/>
      <c r="Z525" s="2550"/>
      <c r="AA525" s="2550"/>
      <c r="AB525" s="2550"/>
      <c r="AC525" s="2550"/>
      <c r="AD525" s="2550"/>
      <c r="AE525" s="2550"/>
      <c r="AF525" s="255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5">
        <f>SUM(AG479:AG524)</f>
        <v>0</v>
      </c>
      <c r="AL535" s="2476"/>
      <c r="AM535" s="2477"/>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5" t="s">
        <v>1561</v>
      </c>
      <c r="AF538" s="2405"/>
      <c r="AG538" s="2405"/>
      <c r="AH538" s="2405"/>
      <c r="AI538" s="2405"/>
      <c r="AJ538" s="2405"/>
      <c r="AK538" s="2405"/>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2" t="s">
        <v>592</v>
      </c>
      <c r="D541" s="2472"/>
      <c r="E541" s="551"/>
      <c r="F541" s="2599" t="s">
        <v>1562</v>
      </c>
      <c r="G541" s="2600"/>
      <c r="H541" s="2600"/>
      <c r="I541" s="2600"/>
      <c r="J541" s="2600"/>
      <c r="K541" s="2600"/>
      <c r="L541" s="2600"/>
      <c r="M541" s="2600"/>
      <c r="N541" s="2600"/>
      <c r="O541" s="2600"/>
      <c r="P541" s="2600"/>
      <c r="Q541" s="2600"/>
      <c r="R541" s="2600"/>
      <c r="S541" s="2600"/>
      <c r="T541" s="2600"/>
      <c r="U541" s="2600"/>
      <c r="V541" s="2600"/>
      <c r="W541" s="2600"/>
      <c r="X541" s="2600"/>
      <c r="Y541" s="2600"/>
      <c r="Z541" s="2600"/>
      <c r="AA541" s="2600"/>
      <c r="AB541" s="2600"/>
      <c r="AC541" s="2600"/>
      <c r="AD541" s="2600"/>
      <c r="AE541" s="2600"/>
      <c r="AF541" s="2600"/>
      <c r="AG541" s="2600"/>
      <c r="AH541" s="2600"/>
      <c r="AI541" s="2600"/>
      <c r="AJ541" s="2600"/>
      <c r="AK541" s="2600"/>
      <c r="AL541" s="2601"/>
      <c r="AM541" s="595"/>
      <c r="AN541" s="597"/>
    </row>
    <row r="542" spans="1:81" s="550" customFormat="1" ht="12.75" customHeight="1">
      <c r="A542" s="539"/>
      <c r="B542" s="539"/>
      <c r="C542" s="551"/>
      <c r="D542" s="551"/>
      <c r="E542" s="551"/>
      <c r="F542" s="2602"/>
      <c r="G542" s="2603"/>
      <c r="H542" s="2603"/>
      <c r="I542" s="2603"/>
      <c r="J542" s="2603"/>
      <c r="K542" s="2603"/>
      <c r="L542" s="2603"/>
      <c r="M542" s="2603"/>
      <c r="N542" s="2603"/>
      <c r="O542" s="2603"/>
      <c r="P542" s="2603"/>
      <c r="Q542" s="2603"/>
      <c r="R542" s="2603"/>
      <c r="S542" s="2603"/>
      <c r="T542" s="2603"/>
      <c r="U542" s="2603"/>
      <c r="V542" s="2603"/>
      <c r="W542" s="2603"/>
      <c r="X542" s="2603"/>
      <c r="Y542" s="2603"/>
      <c r="Z542" s="2603"/>
      <c r="AA542" s="2603"/>
      <c r="AB542" s="2603"/>
      <c r="AC542" s="2603"/>
      <c r="AD542" s="2603"/>
      <c r="AE542" s="2603"/>
      <c r="AF542" s="2603"/>
      <c r="AG542" s="2603"/>
      <c r="AH542" s="2603"/>
      <c r="AI542" s="2603"/>
      <c r="AJ542" s="2603"/>
      <c r="AK542" s="2603"/>
      <c r="AL542" s="260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2" t="s">
        <v>546</v>
      </c>
      <c r="D544" s="2472"/>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4" t="s">
        <v>1564</v>
      </c>
      <c r="G545" s="2495"/>
      <c r="H545" s="2495"/>
      <c r="I545" s="2495"/>
      <c r="J545" s="2495"/>
      <c r="K545" s="2495"/>
      <c r="L545" s="2495"/>
      <c r="M545" s="2495"/>
      <c r="N545" s="2495"/>
      <c r="O545" s="2495"/>
      <c r="P545" s="2495"/>
      <c r="Q545" s="2495"/>
      <c r="R545" s="2495"/>
      <c r="S545" s="2495"/>
      <c r="T545" s="2495"/>
      <c r="U545" s="2495"/>
      <c r="V545" s="2495"/>
      <c r="W545" s="2495"/>
      <c r="X545" s="2495"/>
      <c r="Y545" s="2495"/>
      <c r="Z545" s="2495"/>
      <c r="AA545" s="2495"/>
      <c r="AB545" s="2495"/>
      <c r="AC545" s="2495"/>
      <c r="AD545" s="2495"/>
      <c r="AE545" s="2495"/>
      <c r="AF545" s="2495"/>
      <c r="AG545" s="2495"/>
      <c r="AH545" s="2495"/>
      <c r="AI545" s="2495"/>
      <c r="AJ545" s="2495"/>
      <c r="AK545" s="2495"/>
      <c r="AL545" s="2496"/>
      <c r="AM545" s="595"/>
      <c r="AN545" s="597"/>
      <c r="AS545" s="870"/>
      <c r="AT545" s="870"/>
      <c r="AU545" s="870"/>
      <c r="AV545" s="870"/>
      <c r="AW545" s="870"/>
    </row>
    <row r="546" spans="1:49" s="550" customFormat="1" ht="12.75" customHeight="1">
      <c r="B546" s="806"/>
      <c r="C546" s="806"/>
      <c r="D546" s="806"/>
      <c r="E546" s="806"/>
      <c r="F546" s="2494"/>
      <c r="G546" s="2495"/>
      <c r="H546" s="2495"/>
      <c r="I546" s="2495"/>
      <c r="J546" s="2495"/>
      <c r="K546" s="2495"/>
      <c r="L546" s="2495"/>
      <c r="M546" s="2495"/>
      <c r="N546" s="2495"/>
      <c r="O546" s="2495"/>
      <c r="P546" s="2495"/>
      <c r="Q546" s="2495"/>
      <c r="R546" s="2495"/>
      <c r="S546" s="2495"/>
      <c r="T546" s="2495"/>
      <c r="U546" s="2495"/>
      <c r="V546" s="2495"/>
      <c r="W546" s="2495"/>
      <c r="X546" s="2495"/>
      <c r="Y546" s="2495"/>
      <c r="Z546" s="2495"/>
      <c r="AA546" s="2495"/>
      <c r="AB546" s="2495"/>
      <c r="AC546" s="2495"/>
      <c r="AD546" s="2495"/>
      <c r="AE546" s="2495"/>
      <c r="AF546" s="2495"/>
      <c r="AG546" s="2495"/>
      <c r="AH546" s="2495"/>
      <c r="AI546" s="2495"/>
      <c r="AJ546" s="2495"/>
      <c r="AK546" s="2495"/>
      <c r="AL546" s="2496"/>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4" t="s">
        <v>1565</v>
      </c>
      <c r="G548" s="2495"/>
      <c r="H548" s="2495"/>
      <c r="I548" s="2495"/>
      <c r="J548" s="2495"/>
      <c r="K548" s="2495"/>
      <c r="L548" s="2495"/>
      <c r="M548" s="2495"/>
      <c r="N548" s="2495"/>
      <c r="O548" s="2495"/>
      <c r="P548" s="2495"/>
      <c r="Q548" s="2495"/>
      <c r="R548" s="2495"/>
      <c r="S548" s="2495"/>
      <c r="T548" s="2495"/>
      <c r="U548" s="2495"/>
      <c r="V548" s="2495"/>
      <c r="W548" s="2495"/>
      <c r="X548" s="2495"/>
      <c r="Y548" s="2495"/>
      <c r="Z548" s="2495"/>
      <c r="AA548" s="2495"/>
      <c r="AB548" s="2495"/>
      <c r="AC548" s="2495"/>
      <c r="AD548" s="2495"/>
      <c r="AE548" s="2495"/>
      <c r="AF548" s="2495"/>
      <c r="AG548" s="2495"/>
      <c r="AH548" s="2495"/>
      <c r="AI548" s="2495"/>
      <c r="AJ548" s="2495"/>
      <c r="AK548" s="2495"/>
      <c r="AL548" s="813"/>
      <c r="AM548" s="595"/>
      <c r="AN548" s="597"/>
    </row>
    <row r="549" spans="1:49" s="550" customFormat="1" ht="12.75" customHeight="1">
      <c r="B549" s="806"/>
      <c r="C549" s="806"/>
      <c r="D549" s="806"/>
      <c r="E549" s="806"/>
      <c r="F549" s="2497"/>
      <c r="G549" s="2498"/>
      <c r="H549" s="2498"/>
      <c r="I549" s="2498"/>
      <c r="J549" s="2498"/>
      <c r="K549" s="2498"/>
      <c r="L549" s="2498"/>
      <c r="M549" s="2498"/>
      <c r="N549" s="2498"/>
      <c r="O549" s="2498"/>
      <c r="P549" s="2498"/>
      <c r="Q549" s="2498"/>
      <c r="R549" s="2498"/>
      <c r="S549" s="2498"/>
      <c r="T549" s="2498"/>
      <c r="U549" s="2498"/>
      <c r="V549" s="2498"/>
      <c r="W549" s="2498"/>
      <c r="X549" s="2498"/>
      <c r="Y549" s="2498"/>
      <c r="Z549" s="2498"/>
      <c r="AA549" s="2498"/>
      <c r="AB549" s="2498"/>
      <c r="AC549" s="2498"/>
      <c r="AD549" s="2498"/>
      <c r="AE549" s="2498"/>
      <c r="AF549" s="2498"/>
      <c r="AG549" s="2498"/>
      <c r="AH549" s="2498"/>
      <c r="AI549" s="2498"/>
      <c r="AJ549" s="2498"/>
      <c r="AK549" s="249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1">
        <f>Application!AJ992</f>
        <v>64353195</v>
      </c>
      <c r="AQ550" s="2621"/>
      <c r="AR550" s="2621"/>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8">
        <f>'Sources and Uses Budget'!S107+'Sources and Uses Budget'!T107</f>
        <v>47822479</v>
      </c>
      <c r="AG551" s="2478"/>
      <c r="AH551" s="2478"/>
      <c r="AI551" s="2478"/>
      <c r="AJ551" s="2478"/>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6">
        <f>IFERROR(AP559,0)</f>
        <v>126775795.15000001</v>
      </c>
      <c r="AG552" s="2626"/>
      <c r="AH552" s="2626"/>
      <c r="AI552" s="2626"/>
      <c r="AJ552" s="2626"/>
      <c r="AK552" s="595"/>
      <c r="AL552" s="595"/>
      <c r="AM552" s="595"/>
      <c r="AN552" s="597"/>
      <c r="AP552" s="2621">
        <f>Application!AJ1045</f>
        <v>3217659.75</v>
      </c>
      <c r="AQ552" s="2621"/>
      <c r="AR552" s="2621"/>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7">
        <f>IFERROR(ROUNDDOWN(IF(C544="YES",((1-(AF551/AF552))*2),(1-(AF551/AF552))),2),0)</f>
        <v>1.24</v>
      </c>
      <c r="AG553" s="2627"/>
      <c r="AH553" s="2627"/>
      <c r="AI553" s="2627"/>
      <c r="AJ553" s="2627"/>
      <c r="AK553" s="595"/>
      <c r="AL553" s="595"/>
      <c r="AM553" s="595"/>
      <c r="AN553" s="597"/>
      <c r="AP553" s="2624">
        <f>Application!AJ1049</f>
        <v>46334300.399999999</v>
      </c>
      <c r="AQ553" s="2624"/>
      <c r="AR553" s="2624"/>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0">
        <f>IF(((AP552+AP553)/AP550)&gt;0.8,0.8,((AP552+AP553)/AP550))</f>
        <v>0.77</v>
      </c>
      <c r="AQ554" s="2620"/>
      <c r="AR554" s="2620"/>
      <c r="AS554" s="550" t="s">
        <v>2172</v>
      </c>
    </row>
    <row r="555" spans="1:49" s="550" customFormat="1" ht="12.75" customHeight="1">
      <c r="A555" s="624"/>
      <c r="B555" s="2557" t="s">
        <v>2032</v>
      </c>
      <c r="C555" s="2558"/>
      <c r="D555" s="2558"/>
      <c r="E555" s="2558"/>
      <c r="F555" s="2558"/>
      <c r="G555" s="2558"/>
      <c r="H555" s="2558"/>
      <c r="I555" s="2558"/>
      <c r="J555" s="2558"/>
      <c r="K555" s="2558"/>
      <c r="L555" s="2558"/>
      <c r="M555" s="2558"/>
      <c r="N555" s="2558"/>
      <c r="O555" s="2558"/>
      <c r="P555" s="2558"/>
      <c r="Q555" s="2558"/>
      <c r="R555" s="2558"/>
      <c r="S555" s="2558"/>
      <c r="T555" s="2558"/>
      <c r="U555" s="2558"/>
      <c r="V555" s="2558"/>
      <c r="W555" s="2558"/>
      <c r="X555" s="2558"/>
      <c r="Y555" s="2558"/>
      <c r="Z555" s="2558"/>
      <c r="AA555" s="2558"/>
      <c r="AB555" s="2558"/>
      <c r="AC555" s="2558"/>
      <c r="AD555" s="2558"/>
      <c r="AE555" s="2558"/>
      <c r="AF555" s="2558"/>
      <c r="AG555" s="2558"/>
      <c r="AH555" s="2558"/>
      <c r="AI555" s="2558"/>
      <c r="AJ555" s="2559"/>
      <c r="AK555" s="595"/>
      <c r="AL555" s="595"/>
      <c r="AM555" s="595"/>
      <c r="AN555" s="597"/>
    </row>
    <row r="556" spans="1:49" s="550" customFormat="1" ht="12.75" customHeight="1">
      <c r="A556" s="624"/>
      <c r="B556" s="2560"/>
      <c r="C556" s="2561"/>
      <c r="D556" s="2561"/>
      <c r="E556" s="2561"/>
      <c r="F556" s="2561"/>
      <c r="G556" s="2561"/>
      <c r="H556" s="2561"/>
      <c r="I556" s="2561"/>
      <c r="J556" s="2561"/>
      <c r="K556" s="2561"/>
      <c r="L556" s="2561"/>
      <c r="M556" s="2561"/>
      <c r="N556" s="2561"/>
      <c r="O556" s="2561"/>
      <c r="P556" s="2561"/>
      <c r="Q556" s="2561"/>
      <c r="R556" s="2561"/>
      <c r="S556" s="2561"/>
      <c r="T556" s="2561"/>
      <c r="U556" s="2561"/>
      <c r="V556" s="2561"/>
      <c r="W556" s="2561"/>
      <c r="X556" s="2561"/>
      <c r="Y556" s="2561"/>
      <c r="Z556" s="2561"/>
      <c r="AA556" s="2561"/>
      <c r="AB556" s="2561"/>
      <c r="AC556" s="2561"/>
      <c r="AD556" s="2561"/>
      <c r="AE556" s="2561"/>
      <c r="AF556" s="2561"/>
      <c r="AG556" s="2561"/>
      <c r="AH556" s="2561"/>
      <c r="AI556" s="2561"/>
      <c r="AJ556" s="2562"/>
      <c r="AK556" s="595"/>
      <c r="AL556" s="595"/>
      <c r="AM556" s="595"/>
      <c r="AN556" s="597"/>
      <c r="AP556" s="2621">
        <f>AP557-AP552-AP553</f>
        <v>77223835</v>
      </c>
      <c r="AQ556" s="2530"/>
      <c r="AR556" s="2530"/>
      <c r="AS556" s="550" t="s">
        <v>2174</v>
      </c>
    </row>
    <row r="557" spans="1:49" s="550" customFormat="1" ht="12.75" customHeight="1">
      <c r="A557" s="624"/>
      <c r="B557" s="2563"/>
      <c r="C557" s="2564"/>
      <c r="D557" s="2564"/>
      <c r="E557" s="2564"/>
      <c r="F557" s="2564"/>
      <c r="G557" s="2564"/>
      <c r="H557" s="2564"/>
      <c r="I557" s="2564"/>
      <c r="J557" s="2564"/>
      <c r="K557" s="2564"/>
      <c r="L557" s="2564"/>
      <c r="M557" s="2564"/>
      <c r="N557" s="2564"/>
      <c r="O557" s="2564"/>
      <c r="P557" s="2564"/>
      <c r="Q557" s="2564"/>
      <c r="R557" s="2564"/>
      <c r="S557" s="2564"/>
      <c r="T557" s="2564"/>
      <c r="U557" s="2564"/>
      <c r="V557" s="2564"/>
      <c r="W557" s="2564"/>
      <c r="X557" s="2564"/>
      <c r="Y557" s="2564"/>
      <c r="Z557" s="2564"/>
      <c r="AA557" s="2564"/>
      <c r="AB557" s="2564"/>
      <c r="AC557" s="2564"/>
      <c r="AD557" s="2564"/>
      <c r="AE557" s="2564"/>
      <c r="AF557" s="2564"/>
      <c r="AG557" s="2564"/>
      <c r="AH557" s="2564"/>
      <c r="AI557" s="2564"/>
      <c r="AJ557" s="2565"/>
      <c r="AK557" s="595"/>
      <c r="AL557" s="595"/>
      <c r="AM557" s="595"/>
      <c r="AN557" s="597"/>
      <c r="AP557" s="2621">
        <f>Application!AJ1053</f>
        <v>126775795.15000001</v>
      </c>
      <c r="AQ557" s="2621"/>
      <c r="AR557" s="2621"/>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6">
        <f>IFERROR(IF(AND(C541="N/A",C544="N/A"),0,IF(AF553=0,0,IF((AF553*100)&gt;12,12,(AF553*100)))),0)</f>
        <v>12</v>
      </c>
      <c r="AL559" s="2566"/>
      <c r="AM559" s="2567"/>
      <c r="AN559" s="597"/>
      <c r="AP559" s="2638">
        <f>AP556+(AP550*AP554)</f>
        <v>126775795.15000001</v>
      </c>
      <c r="AQ559" s="2639"/>
      <c r="AR559" s="264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5" t="s">
        <v>1315</v>
      </c>
      <c r="AF562" s="2405"/>
      <c r="AG562" s="2405"/>
      <c r="AH562" s="2405"/>
      <c r="AI562" s="2405"/>
      <c r="AJ562" s="2405"/>
      <c r="AK562" s="240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5" t="s">
        <v>2023</v>
      </c>
      <c r="C564" s="2495"/>
      <c r="D564" s="2495"/>
      <c r="E564" s="2495"/>
      <c r="F564" s="2495"/>
      <c r="G564" s="2495"/>
      <c r="H564" s="2495"/>
      <c r="I564" s="2495"/>
      <c r="J564" s="2495"/>
      <c r="K564" s="2495"/>
      <c r="L564" s="2495"/>
      <c r="M564" s="2495"/>
      <c r="N564" s="2495"/>
      <c r="O564" s="2495"/>
      <c r="P564" s="2495"/>
      <c r="Q564" s="2495"/>
      <c r="R564" s="2495"/>
      <c r="S564" s="2495"/>
      <c r="T564" s="2495"/>
      <c r="U564" s="2495"/>
      <c r="V564" s="2495"/>
      <c r="W564" s="2495"/>
      <c r="X564" s="2495"/>
      <c r="Y564" s="2495"/>
      <c r="Z564" s="2495"/>
      <c r="AA564" s="2495"/>
      <c r="AB564" s="2495"/>
      <c r="AC564" s="2495"/>
      <c r="AD564" s="2495"/>
      <c r="AE564" s="2495"/>
      <c r="AF564" s="2495"/>
      <c r="AG564" s="2495"/>
      <c r="AH564" s="2495"/>
      <c r="AI564" s="2495"/>
      <c r="AJ564" s="2495"/>
      <c r="AK564" s="642"/>
      <c r="AL564" s="573"/>
      <c r="AM564" s="603"/>
      <c r="AN564" s="597"/>
    </row>
    <row r="565" spans="1:42" s="550" customFormat="1" ht="12.75" customHeight="1">
      <c r="A565" s="603"/>
      <c r="B565" s="2495"/>
      <c r="C565" s="2495"/>
      <c r="D565" s="2495"/>
      <c r="E565" s="2495"/>
      <c r="F565" s="2495"/>
      <c r="G565" s="2495"/>
      <c r="H565" s="2495"/>
      <c r="I565" s="2495"/>
      <c r="J565" s="2495"/>
      <c r="K565" s="2495"/>
      <c r="L565" s="2495"/>
      <c r="M565" s="2495"/>
      <c r="N565" s="2495"/>
      <c r="O565" s="2495"/>
      <c r="P565" s="2495"/>
      <c r="Q565" s="2495"/>
      <c r="R565" s="2495"/>
      <c r="S565" s="2495"/>
      <c r="T565" s="2495"/>
      <c r="U565" s="2495"/>
      <c r="V565" s="2495"/>
      <c r="W565" s="2495"/>
      <c r="X565" s="2495"/>
      <c r="Y565" s="2495"/>
      <c r="Z565" s="2495"/>
      <c r="AA565" s="2495"/>
      <c r="AB565" s="2495"/>
      <c r="AC565" s="2495"/>
      <c r="AD565" s="2495"/>
      <c r="AE565" s="2495"/>
      <c r="AF565" s="2495"/>
      <c r="AG565" s="2495"/>
      <c r="AH565" s="2495"/>
      <c r="AI565" s="2495"/>
      <c r="AJ565" s="2495"/>
      <c r="AK565" s="642"/>
      <c r="AL565" s="573"/>
      <c r="AM565" s="603"/>
      <c r="AN565" s="597"/>
    </row>
    <row r="566" spans="1:42" s="550" customFormat="1" ht="12.75" customHeight="1">
      <c r="A566" s="603"/>
      <c r="B566" s="2495"/>
      <c r="C566" s="2495"/>
      <c r="D566" s="2495"/>
      <c r="E566" s="2495"/>
      <c r="F566" s="2495"/>
      <c r="G566" s="2495"/>
      <c r="H566" s="2495"/>
      <c r="I566" s="2495"/>
      <c r="J566" s="2495"/>
      <c r="K566" s="2495"/>
      <c r="L566" s="2495"/>
      <c r="M566" s="2495"/>
      <c r="N566" s="2495"/>
      <c r="O566" s="2495"/>
      <c r="P566" s="2495"/>
      <c r="Q566" s="2495"/>
      <c r="R566" s="2495"/>
      <c r="S566" s="2495"/>
      <c r="T566" s="2495"/>
      <c r="U566" s="2495"/>
      <c r="V566" s="2495"/>
      <c r="W566" s="2495"/>
      <c r="X566" s="2495"/>
      <c r="Y566" s="2495"/>
      <c r="Z566" s="2495"/>
      <c r="AA566" s="2495"/>
      <c r="AB566" s="2495"/>
      <c r="AC566" s="2495"/>
      <c r="AD566" s="2495"/>
      <c r="AE566" s="2495"/>
      <c r="AF566" s="2495"/>
      <c r="AG566" s="2495"/>
      <c r="AH566" s="2495"/>
      <c r="AI566" s="2495"/>
      <c r="AJ566" s="2495"/>
      <c r="AK566" s="642"/>
      <c r="AL566" s="573"/>
      <c r="AM566" s="603"/>
      <c r="AN566" s="597"/>
    </row>
    <row r="567" spans="1:42" s="550" customFormat="1" ht="12.75" customHeight="1">
      <c r="A567" s="603"/>
      <c r="B567" s="2495"/>
      <c r="C567" s="2495"/>
      <c r="D567" s="2495"/>
      <c r="E567" s="2495"/>
      <c r="F567" s="2495"/>
      <c r="G567" s="2495"/>
      <c r="H567" s="2495"/>
      <c r="I567" s="2495"/>
      <c r="J567" s="2495"/>
      <c r="K567" s="2495"/>
      <c r="L567" s="2495"/>
      <c r="M567" s="2495"/>
      <c r="N567" s="2495"/>
      <c r="O567" s="2495"/>
      <c r="P567" s="2495"/>
      <c r="Q567" s="2495"/>
      <c r="R567" s="2495"/>
      <c r="S567" s="2495"/>
      <c r="T567" s="2495"/>
      <c r="U567" s="2495"/>
      <c r="V567" s="2495"/>
      <c r="W567" s="2495"/>
      <c r="X567" s="2495"/>
      <c r="Y567" s="2495"/>
      <c r="Z567" s="2495"/>
      <c r="AA567" s="2495"/>
      <c r="AB567" s="2495"/>
      <c r="AC567" s="2495"/>
      <c r="AD567" s="2495"/>
      <c r="AE567" s="2495"/>
      <c r="AF567" s="2495"/>
      <c r="AG567" s="2495"/>
      <c r="AH567" s="2495"/>
      <c r="AI567" s="2495"/>
      <c r="AJ567" s="2495"/>
      <c r="AK567" s="642"/>
      <c r="AL567" s="573"/>
      <c r="AM567" s="603"/>
      <c r="AN567" s="597"/>
    </row>
    <row r="568" spans="1:42" s="550" customFormat="1" ht="12.75" customHeight="1">
      <c r="A568" s="603"/>
      <c r="B568" s="2495"/>
      <c r="C568" s="2495"/>
      <c r="D568" s="2495"/>
      <c r="E568" s="2495"/>
      <c r="F568" s="2495"/>
      <c r="G568" s="2495"/>
      <c r="H568" s="2495"/>
      <c r="I568" s="2495"/>
      <c r="J568" s="2495"/>
      <c r="K568" s="2495"/>
      <c r="L568" s="2495"/>
      <c r="M568" s="2495"/>
      <c r="N568" s="2495"/>
      <c r="O568" s="2495"/>
      <c r="P568" s="2495"/>
      <c r="Q568" s="2495"/>
      <c r="R568" s="2495"/>
      <c r="S568" s="2495"/>
      <c r="T568" s="2495"/>
      <c r="U568" s="2495"/>
      <c r="V568" s="2495"/>
      <c r="W568" s="2495"/>
      <c r="X568" s="2495"/>
      <c r="Y568" s="2495"/>
      <c r="Z568" s="2495"/>
      <c r="AA568" s="2495"/>
      <c r="AB568" s="2495"/>
      <c r="AC568" s="2495"/>
      <c r="AD568" s="2495"/>
      <c r="AE568" s="2495"/>
      <c r="AF568" s="2495"/>
      <c r="AG568" s="2495"/>
      <c r="AH568" s="2495"/>
      <c r="AI568" s="2495"/>
      <c r="AJ568" s="2495"/>
      <c r="AK568" s="642"/>
      <c r="AL568" s="573"/>
      <c r="AM568" s="603"/>
      <c r="AN568" s="597"/>
    </row>
    <row r="569" spans="1:42" s="550" customFormat="1" ht="12.75" customHeight="1">
      <c r="A569" s="603"/>
      <c r="B569" s="2495"/>
      <c r="C569" s="2495"/>
      <c r="D569" s="2495"/>
      <c r="E569" s="2495"/>
      <c r="F569" s="2495"/>
      <c r="G569" s="2495"/>
      <c r="H569" s="2495"/>
      <c r="I569" s="2495"/>
      <c r="J569" s="2495"/>
      <c r="K569" s="2495"/>
      <c r="L569" s="2495"/>
      <c r="M569" s="2495"/>
      <c r="N569" s="2495"/>
      <c r="O569" s="2495"/>
      <c r="P569" s="2495"/>
      <c r="Q569" s="2495"/>
      <c r="R569" s="2495"/>
      <c r="S569" s="2495"/>
      <c r="T569" s="2495"/>
      <c r="U569" s="2495"/>
      <c r="V569" s="2495"/>
      <c r="W569" s="2495"/>
      <c r="X569" s="2495"/>
      <c r="Y569" s="2495"/>
      <c r="Z569" s="2495"/>
      <c r="AA569" s="2495"/>
      <c r="AB569" s="2495"/>
      <c r="AC569" s="2495"/>
      <c r="AD569" s="2495"/>
      <c r="AE569" s="2495"/>
      <c r="AF569" s="2495"/>
      <c r="AG569" s="2495"/>
      <c r="AH569" s="2495"/>
      <c r="AI569" s="2495"/>
      <c r="AJ569" s="2495"/>
      <c r="AK569" s="642"/>
      <c r="AL569" s="573"/>
      <c r="AM569" s="603"/>
      <c r="AN569" s="597"/>
    </row>
    <row r="570" spans="1:42" s="550" customFormat="1" ht="12.75" customHeight="1">
      <c r="A570" s="603"/>
      <c r="B570" s="2495"/>
      <c r="C570" s="2495"/>
      <c r="D570" s="2495"/>
      <c r="E570" s="2495"/>
      <c r="F570" s="2495"/>
      <c r="G570" s="2495"/>
      <c r="H570" s="2495"/>
      <c r="I570" s="2495"/>
      <c r="J570" s="2495"/>
      <c r="K570" s="2495"/>
      <c r="L570" s="2495"/>
      <c r="M570" s="2495"/>
      <c r="N570" s="2495"/>
      <c r="O570" s="2495"/>
      <c r="P570" s="2495"/>
      <c r="Q570" s="2495"/>
      <c r="R570" s="2495"/>
      <c r="S570" s="2495"/>
      <c r="T570" s="2495"/>
      <c r="U570" s="2495"/>
      <c r="V570" s="2495"/>
      <c r="W570" s="2495"/>
      <c r="X570" s="2495"/>
      <c r="Y570" s="2495"/>
      <c r="Z570" s="2495"/>
      <c r="AA570" s="2495"/>
      <c r="AB570" s="2495"/>
      <c r="AC570" s="2495"/>
      <c r="AD570" s="2495"/>
      <c r="AE570" s="2495"/>
      <c r="AF570" s="2495"/>
      <c r="AG570" s="2495"/>
      <c r="AH570" s="2495"/>
      <c r="AI570" s="2495"/>
      <c r="AJ570" s="2495"/>
      <c r="AK570" s="642"/>
      <c r="AL570" s="573"/>
      <c r="AM570" s="603"/>
      <c r="AN570" s="597"/>
    </row>
    <row r="571" spans="1:42" ht="12.75" customHeight="1">
      <c r="A571" s="603"/>
      <c r="B571" s="2495"/>
      <c r="C571" s="2495"/>
      <c r="D571" s="2495"/>
      <c r="E571" s="2495"/>
      <c r="F571" s="2495"/>
      <c r="G571" s="2495"/>
      <c r="H571" s="2495"/>
      <c r="I571" s="2495"/>
      <c r="J571" s="2495"/>
      <c r="K571" s="2495"/>
      <c r="L571" s="2495"/>
      <c r="M571" s="2495"/>
      <c r="N571" s="2495"/>
      <c r="O571" s="2495"/>
      <c r="P571" s="2495"/>
      <c r="Q571" s="2495"/>
      <c r="R571" s="2495"/>
      <c r="S571" s="2495"/>
      <c r="T571" s="2495"/>
      <c r="U571" s="2495"/>
      <c r="V571" s="2495"/>
      <c r="W571" s="2495"/>
      <c r="X571" s="2495"/>
      <c r="Y571" s="2495"/>
      <c r="Z571" s="2495"/>
      <c r="AA571" s="2495"/>
      <c r="AB571" s="2495"/>
      <c r="AC571" s="2495"/>
      <c r="AD571" s="2495"/>
      <c r="AE571" s="2495"/>
      <c r="AF571" s="2495"/>
      <c r="AG571" s="2495"/>
      <c r="AH571" s="2495"/>
      <c r="AI571" s="2495"/>
      <c r="AJ571" s="2495"/>
      <c r="AK571" s="642"/>
      <c r="AL571" s="573"/>
      <c r="AM571" s="603"/>
    </row>
    <row r="572" spans="1:42" s="550" customFormat="1" ht="12.75" customHeight="1">
      <c r="B572" s="2495"/>
      <c r="C572" s="2495"/>
      <c r="D572" s="2495"/>
      <c r="E572" s="2495"/>
      <c r="F572" s="2495"/>
      <c r="G572" s="2495"/>
      <c r="H572" s="2495"/>
      <c r="I572" s="2495"/>
      <c r="J572" s="2495"/>
      <c r="K572" s="2495"/>
      <c r="L572" s="2495"/>
      <c r="M572" s="2495"/>
      <c r="N572" s="2495"/>
      <c r="O572" s="2495"/>
      <c r="P572" s="2495"/>
      <c r="Q572" s="2495"/>
      <c r="R572" s="2495"/>
      <c r="S572" s="2495"/>
      <c r="T572" s="2495"/>
      <c r="U572" s="2495"/>
      <c r="V572" s="2495"/>
      <c r="W572" s="2495"/>
      <c r="X572" s="2495"/>
      <c r="Y572" s="2495"/>
      <c r="Z572" s="2495"/>
      <c r="AA572" s="2495"/>
      <c r="AB572" s="2495"/>
      <c r="AC572" s="2495"/>
      <c r="AD572" s="2495"/>
      <c r="AE572" s="2495"/>
      <c r="AF572" s="2495"/>
      <c r="AG572" s="2495"/>
      <c r="AH572" s="2495"/>
      <c r="AI572" s="2495"/>
      <c r="AJ572" s="249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0" t="s">
        <v>1339</v>
      </c>
      <c r="AG578" s="2440"/>
      <c r="AH578" s="2440"/>
      <c r="AI578" s="2440"/>
      <c r="AJ578" s="2440"/>
      <c r="AK578" s="2440"/>
      <c r="AL578" s="2440"/>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0" t="s">
        <v>1397</v>
      </c>
      <c r="AG585" s="2440"/>
      <c r="AH585" s="2440"/>
      <c r="AI585" s="2440"/>
      <c r="AJ585" s="2440"/>
      <c r="AK585" s="2440"/>
      <c r="AL585" s="2440"/>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0" t="s">
        <v>1379</v>
      </c>
      <c r="AG591" s="2440"/>
      <c r="AH591" s="2440"/>
      <c r="AI591" s="2440"/>
      <c r="AJ591" s="2440"/>
      <c r="AK591" s="2440"/>
      <c r="AL591" s="2440"/>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0" t="s">
        <v>1400</v>
      </c>
      <c r="AG597" s="2440"/>
      <c r="AH597" s="2440"/>
      <c r="AI597" s="2440"/>
      <c r="AJ597" s="2440"/>
      <c r="AK597" s="2440"/>
      <c r="AL597" s="2440"/>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6" t="s">
        <v>1185</v>
      </c>
      <c r="P601" s="2526"/>
      <c r="Q601" s="2526"/>
      <c r="R601" s="2526"/>
      <c r="S601" s="2526"/>
      <c r="T601" s="2526"/>
      <c r="U601" s="2526"/>
      <c r="V601" s="2526"/>
      <c r="W601" s="2526"/>
      <c r="X601" s="2526"/>
      <c r="Y601" s="2526"/>
      <c r="Z601" s="2526"/>
      <c r="AA601" s="2526"/>
      <c r="AB601" s="252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0" t="s">
        <v>1353</v>
      </c>
      <c r="AG603" s="2440"/>
      <c r="AH603" s="2440"/>
      <c r="AI603" s="2440"/>
      <c r="AJ603" s="2440"/>
      <c r="AK603" s="2440"/>
      <c r="AL603" s="2440"/>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4" t="s">
        <v>688</v>
      </c>
      <c r="I606" s="2524"/>
      <c r="J606" s="936"/>
      <c r="K606" s="936"/>
      <c r="L606" s="936"/>
      <c r="N606" s="22"/>
      <c r="O606" s="22"/>
      <c r="P606" s="22"/>
      <c r="Q606" s="1151" t="s">
        <v>2177</v>
      </c>
      <c r="R606" s="2527"/>
      <c r="S606" s="2527"/>
      <c r="T606" s="2527"/>
      <c r="U606" s="2527"/>
      <c r="V606" s="2527"/>
      <c r="W606" s="2527"/>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8" t="str">
        <f>IF(AND(H606="(i)",NOT(AP582)),AO599,IF(AND(H606="(iv)",OR(R606=AO595,R606=AO594),NOT(AP583)),AO600,""))</f>
        <v/>
      </c>
      <c r="Z607" s="2528"/>
      <c r="AA607" s="2528"/>
      <c r="AB607" s="2528"/>
      <c r="AC607" s="2528"/>
      <c r="AD607" s="2528"/>
      <c r="AE607" s="2528"/>
      <c r="AF607" s="2528"/>
      <c r="AG607" s="2528"/>
      <c r="AH607" s="2528"/>
      <c r="AI607" s="2528"/>
      <c r="AJ607" s="2528"/>
      <c r="AK607" s="2528"/>
      <c r="AL607" s="2528"/>
      <c r="AM607" s="2529"/>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8"/>
      <c r="Z608" s="2528"/>
      <c r="AA608" s="2528"/>
      <c r="AB608" s="2528"/>
      <c r="AC608" s="2528"/>
      <c r="AD608" s="2528"/>
      <c r="AE608" s="2528"/>
      <c r="AF608" s="2528"/>
      <c r="AG608" s="2528"/>
      <c r="AH608" s="2528"/>
      <c r="AI608" s="2528"/>
      <c r="AJ608" s="2528"/>
      <c r="AK608" s="2528"/>
      <c r="AL608" s="2528"/>
      <c r="AM608" s="2529"/>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5" t="s">
        <v>592</v>
      </c>
      <c r="J614" s="2525"/>
      <c r="K614" s="2525"/>
      <c r="L614" s="2525"/>
      <c r="M614" s="2525"/>
      <c r="N614" s="2525"/>
      <c r="O614" s="2525"/>
      <c r="P614" s="2525"/>
      <c r="Q614" s="2525"/>
      <c r="R614" s="2525"/>
      <c r="S614" s="2525"/>
      <c r="T614" s="2525"/>
      <c r="U614" s="2525"/>
      <c r="V614" s="2525"/>
      <c r="W614" s="2525"/>
      <c r="X614" s="2525"/>
      <c r="Y614" s="2525"/>
      <c r="Z614" s="2525"/>
      <c r="AA614" s="2525"/>
      <c r="AB614" s="2525"/>
      <c r="AC614" s="2525"/>
      <c r="AD614" s="2525"/>
      <c r="AE614" s="2525"/>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68" t="s">
        <v>592</v>
      </c>
      <c r="C616" s="2468"/>
      <c r="D616" s="642"/>
      <c r="E616" s="2495" t="s">
        <v>1404</v>
      </c>
      <c r="F616" s="2495"/>
      <c r="G616" s="2495"/>
      <c r="H616" s="2495"/>
      <c r="I616" s="2495"/>
      <c r="J616" s="2495"/>
      <c r="K616" s="2495"/>
      <c r="L616" s="2495"/>
      <c r="M616" s="2495"/>
      <c r="N616" s="2495"/>
      <c r="O616" s="2495"/>
      <c r="P616" s="2495"/>
      <c r="Q616" s="2495"/>
      <c r="R616" s="2495"/>
      <c r="S616" s="2495"/>
      <c r="T616" s="2495"/>
      <c r="U616" s="2495"/>
      <c r="V616" s="2495"/>
      <c r="W616" s="2495"/>
      <c r="X616" s="2495"/>
      <c r="Y616" s="2495"/>
      <c r="Z616" s="2495"/>
      <c r="AA616" s="2495"/>
      <c r="AB616" s="2495"/>
      <c r="AC616" s="2495"/>
      <c r="AD616" s="2495"/>
      <c r="AE616" s="2495"/>
      <c r="AF616" s="2495"/>
      <c r="AG616" s="2495"/>
      <c r="AH616" s="642"/>
      <c r="AI616" s="642"/>
      <c r="AJ616" s="642"/>
      <c r="AK616" s="642"/>
      <c r="AL616" s="642"/>
      <c r="AN616" s="597"/>
    </row>
    <row r="617" spans="1:42" s="550" customFormat="1" ht="12.75" customHeight="1">
      <c r="B617" s="536"/>
      <c r="C617" s="933"/>
      <c r="D617" s="642"/>
      <c r="E617" s="2495"/>
      <c r="F617" s="2495"/>
      <c r="G617" s="2495"/>
      <c r="H617" s="2495"/>
      <c r="I617" s="2495"/>
      <c r="J617" s="2495"/>
      <c r="K617" s="2495"/>
      <c r="L617" s="2495"/>
      <c r="M617" s="2495"/>
      <c r="N617" s="2495"/>
      <c r="O617" s="2495"/>
      <c r="P617" s="2495"/>
      <c r="Q617" s="2495"/>
      <c r="R617" s="2495"/>
      <c r="S617" s="2495"/>
      <c r="T617" s="2495"/>
      <c r="U617" s="2495"/>
      <c r="V617" s="2495"/>
      <c r="W617" s="2495"/>
      <c r="X617" s="2495"/>
      <c r="Y617" s="2495"/>
      <c r="Z617" s="2495"/>
      <c r="AA617" s="2495"/>
      <c r="AB617" s="2495"/>
      <c r="AC617" s="2495"/>
      <c r="AD617" s="2495"/>
      <c r="AE617" s="2495"/>
      <c r="AF617" s="2495"/>
      <c r="AG617" s="2495"/>
      <c r="AH617" s="642"/>
      <c r="AI617" s="642"/>
      <c r="AJ617" s="642"/>
      <c r="AK617" s="642"/>
      <c r="AL617" s="642"/>
      <c r="AN617" s="597"/>
    </row>
    <row r="618" spans="1:42" s="550" customFormat="1" ht="12.75" customHeight="1">
      <c r="B618" s="536"/>
      <c r="C618" s="933"/>
      <c r="D618" s="642"/>
      <c r="E618" s="2495"/>
      <c r="F618" s="2495"/>
      <c r="G618" s="2495"/>
      <c r="H618" s="2495"/>
      <c r="I618" s="2495"/>
      <c r="J618" s="2495"/>
      <c r="K618" s="2495"/>
      <c r="L618" s="2495"/>
      <c r="M618" s="2495"/>
      <c r="N618" s="2495"/>
      <c r="O618" s="2495"/>
      <c r="P618" s="2495"/>
      <c r="Q618" s="2495"/>
      <c r="R618" s="2495"/>
      <c r="S618" s="2495"/>
      <c r="T618" s="2495"/>
      <c r="U618" s="2495"/>
      <c r="V618" s="2495"/>
      <c r="W618" s="2495"/>
      <c r="X618" s="2495"/>
      <c r="Y618" s="2495"/>
      <c r="Z618" s="2495"/>
      <c r="AA618" s="2495"/>
      <c r="AB618" s="2495"/>
      <c r="AC618" s="2495"/>
      <c r="AD618" s="2495"/>
      <c r="AE618" s="2495"/>
      <c r="AF618" s="2495"/>
      <c r="AG618" s="2495"/>
      <c r="AH618" s="642"/>
      <c r="AI618" s="642"/>
      <c r="AJ618" s="642"/>
      <c r="AK618" s="642"/>
      <c r="AL618" s="642"/>
      <c r="AN618" s="597"/>
    </row>
    <row r="619" spans="1:42" s="550" customFormat="1" ht="12.75" customHeight="1">
      <c r="B619" s="536"/>
      <c r="C619" s="933"/>
      <c r="D619" s="642"/>
      <c r="E619" s="2495"/>
      <c r="F619" s="2495"/>
      <c r="G619" s="2495"/>
      <c r="H619" s="2495"/>
      <c r="I619" s="2495"/>
      <c r="J619" s="2495"/>
      <c r="K619" s="2495"/>
      <c r="L619" s="2495"/>
      <c r="M619" s="2495"/>
      <c r="N619" s="2495"/>
      <c r="O619" s="2495"/>
      <c r="P619" s="2495"/>
      <c r="Q619" s="2495"/>
      <c r="R619" s="2495"/>
      <c r="S619" s="2495"/>
      <c r="T619" s="2495"/>
      <c r="U619" s="2495"/>
      <c r="V619" s="2495"/>
      <c r="W619" s="2495"/>
      <c r="X619" s="2495"/>
      <c r="Y619" s="2495"/>
      <c r="Z619" s="2495"/>
      <c r="AA619" s="2495"/>
      <c r="AB619" s="2495"/>
      <c r="AC619" s="2495"/>
      <c r="AD619" s="2495"/>
      <c r="AE619" s="2495"/>
      <c r="AF619" s="2495"/>
      <c r="AG619" s="249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5">
        <f>VLOOKUP($H$606,$AO$586:$AP$591,2,FALSE)+IF(R606=AO594,0,VLOOKUP($I$614,$AO$613:$AP$615,2,FALSE))</f>
        <v>7</v>
      </c>
      <c r="AK621" s="2477"/>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3" t="s">
        <v>1695</v>
      </c>
      <c r="F625" s="2523"/>
      <c r="G625" s="2523"/>
      <c r="H625" s="2523"/>
      <c r="I625" s="2523"/>
      <c r="J625" s="2523"/>
      <c r="K625" s="2523"/>
      <c r="L625" s="2523"/>
      <c r="M625" s="2523"/>
      <c r="N625" s="2523"/>
      <c r="O625" s="2523"/>
      <c r="P625" s="2523"/>
      <c r="Q625" s="2523"/>
      <c r="R625" s="2523"/>
      <c r="S625" s="2523"/>
      <c r="T625" s="2523"/>
      <c r="U625" s="2523"/>
      <c r="V625" s="2523"/>
      <c r="W625" s="2523"/>
      <c r="X625" s="2523"/>
      <c r="Y625" s="2523"/>
      <c r="Z625" s="2523"/>
      <c r="AA625" s="2523"/>
      <c r="AB625" s="2523"/>
      <c r="AC625" s="2523"/>
      <c r="AD625" s="2523"/>
      <c r="AE625" s="539"/>
      <c r="AF625" s="2440" t="s">
        <v>1353</v>
      </c>
      <c r="AG625" s="2440"/>
      <c r="AH625" s="2440"/>
      <c r="AI625" s="2440"/>
      <c r="AJ625" s="2440"/>
      <c r="AK625" s="2440"/>
      <c r="AL625" s="2440"/>
      <c r="AM625" s="550"/>
      <c r="AN625" s="678"/>
    </row>
    <row r="626" spans="1:42" s="550" customFormat="1" ht="12.75" customHeight="1">
      <c r="A626" s="679"/>
      <c r="B626" s="536"/>
      <c r="C626" s="933"/>
      <c r="D626" s="663"/>
      <c r="E626" s="2523"/>
      <c r="F626" s="2523"/>
      <c r="G626" s="2523"/>
      <c r="H626" s="2523"/>
      <c r="I626" s="2523"/>
      <c r="J626" s="2523"/>
      <c r="K626" s="2523"/>
      <c r="L626" s="2523"/>
      <c r="M626" s="2523"/>
      <c r="N626" s="2523"/>
      <c r="O626" s="2523"/>
      <c r="P626" s="2523"/>
      <c r="Q626" s="2523"/>
      <c r="R626" s="2523"/>
      <c r="S626" s="2523"/>
      <c r="T626" s="2523"/>
      <c r="U626" s="2523"/>
      <c r="V626" s="2523"/>
      <c r="W626" s="2523"/>
      <c r="X626" s="2523"/>
      <c r="Y626" s="2523"/>
      <c r="Z626" s="2523"/>
      <c r="AA626" s="2523"/>
      <c r="AB626" s="2523"/>
      <c r="AC626" s="2523"/>
      <c r="AD626" s="2523"/>
      <c r="AE626" s="536"/>
      <c r="AF626" s="536"/>
      <c r="AG626" s="536"/>
      <c r="AH626" s="536"/>
      <c r="AI626" s="536"/>
      <c r="AJ626" s="536"/>
      <c r="AK626" s="536"/>
      <c r="AL626" s="536"/>
      <c r="AN626" s="597"/>
    </row>
    <row r="627" spans="1:42" s="550" customFormat="1" ht="12.75" customHeight="1">
      <c r="B627" s="536"/>
      <c r="C627" s="931"/>
      <c r="D627" s="663"/>
      <c r="E627" s="2523"/>
      <c r="F627" s="2523"/>
      <c r="G627" s="2523"/>
      <c r="H627" s="2523"/>
      <c r="I627" s="2523"/>
      <c r="J627" s="2523"/>
      <c r="K627" s="2523"/>
      <c r="L627" s="2523"/>
      <c r="M627" s="2523"/>
      <c r="N627" s="2523"/>
      <c r="O627" s="2523"/>
      <c r="P627" s="2523"/>
      <c r="Q627" s="2523"/>
      <c r="R627" s="2523"/>
      <c r="S627" s="2523"/>
      <c r="T627" s="2523"/>
      <c r="U627" s="2523"/>
      <c r="V627" s="2523"/>
      <c r="W627" s="2523"/>
      <c r="X627" s="2523"/>
      <c r="Y627" s="2523"/>
      <c r="Z627" s="2523"/>
      <c r="AA627" s="2523"/>
      <c r="AB627" s="2523"/>
      <c r="AC627" s="2523"/>
      <c r="AD627" s="2523"/>
      <c r="AE627" s="536"/>
      <c r="AF627" s="536"/>
      <c r="AG627" s="536"/>
      <c r="AH627" s="536"/>
      <c r="AI627" s="536"/>
      <c r="AJ627" s="536"/>
      <c r="AK627" s="536"/>
      <c r="AL627" s="536"/>
      <c r="AN627" s="597"/>
    </row>
    <row r="628" spans="1:42" s="550" customFormat="1" ht="12.75" customHeight="1">
      <c r="B628" s="536"/>
      <c r="C628" s="931"/>
      <c r="D628" s="663"/>
      <c r="E628" s="2523"/>
      <c r="F628" s="2523"/>
      <c r="G628" s="2523"/>
      <c r="H628" s="2523"/>
      <c r="I628" s="2523"/>
      <c r="J628" s="2523"/>
      <c r="K628" s="2523"/>
      <c r="L628" s="2523"/>
      <c r="M628" s="2523"/>
      <c r="N628" s="2523"/>
      <c r="O628" s="2523"/>
      <c r="P628" s="2523"/>
      <c r="Q628" s="2523"/>
      <c r="R628" s="2523"/>
      <c r="S628" s="2523"/>
      <c r="T628" s="2523"/>
      <c r="U628" s="2523"/>
      <c r="V628" s="2523"/>
      <c r="W628" s="2523"/>
      <c r="X628" s="2523"/>
      <c r="Y628" s="2523"/>
      <c r="Z628" s="2523"/>
      <c r="AA628" s="2523"/>
      <c r="AB628" s="2523"/>
      <c r="AC628" s="2523"/>
      <c r="AD628" s="2523"/>
      <c r="AE628" s="536"/>
      <c r="AF628" s="536"/>
      <c r="AG628" s="536"/>
      <c r="AH628" s="536"/>
      <c r="AI628" s="536"/>
      <c r="AJ628" s="536"/>
      <c r="AK628" s="536"/>
      <c r="AL628" s="536"/>
      <c r="AN628" s="597"/>
    </row>
    <row r="629" spans="1:42" s="550" customFormat="1" ht="12.75" customHeight="1">
      <c r="B629" s="536"/>
      <c r="C629" s="931"/>
      <c r="D629" s="663"/>
      <c r="E629" s="2523"/>
      <c r="F629" s="2523"/>
      <c r="G629" s="2523"/>
      <c r="H629" s="2523"/>
      <c r="I629" s="2523"/>
      <c r="J629" s="2523"/>
      <c r="K629" s="2523"/>
      <c r="L629" s="2523"/>
      <c r="M629" s="2523"/>
      <c r="N629" s="2523"/>
      <c r="O629" s="2523"/>
      <c r="P629" s="2523"/>
      <c r="Q629" s="2523"/>
      <c r="R629" s="2523"/>
      <c r="S629" s="2523"/>
      <c r="T629" s="2523"/>
      <c r="U629" s="2523"/>
      <c r="V629" s="2523"/>
      <c r="W629" s="2523"/>
      <c r="X629" s="2523"/>
      <c r="Y629" s="2523"/>
      <c r="Z629" s="2523"/>
      <c r="AA629" s="2523"/>
      <c r="AB629" s="2523"/>
      <c r="AC629" s="2523"/>
      <c r="AD629" s="2523"/>
      <c r="AE629" s="536"/>
      <c r="AF629" s="536"/>
      <c r="AG629" s="536"/>
      <c r="AH629" s="536"/>
      <c r="AI629" s="536"/>
      <c r="AJ629" s="536"/>
      <c r="AK629" s="536"/>
      <c r="AL629" s="536"/>
      <c r="AN629" s="597"/>
    </row>
    <row r="630" spans="1:42" s="550" customFormat="1" ht="12.75" customHeight="1">
      <c r="B630" s="536"/>
      <c r="C630" s="931"/>
      <c r="D630" s="663"/>
      <c r="E630" s="2523"/>
      <c r="F630" s="2523"/>
      <c r="G630" s="2523"/>
      <c r="H630" s="2523"/>
      <c r="I630" s="2523"/>
      <c r="J630" s="2523"/>
      <c r="K630" s="2523"/>
      <c r="L630" s="2523"/>
      <c r="M630" s="2523"/>
      <c r="N630" s="2523"/>
      <c r="O630" s="2523"/>
      <c r="P630" s="2523"/>
      <c r="Q630" s="2523"/>
      <c r="R630" s="2523"/>
      <c r="S630" s="2523"/>
      <c r="T630" s="2523"/>
      <c r="U630" s="2523"/>
      <c r="V630" s="2523"/>
      <c r="W630" s="2523"/>
      <c r="X630" s="2523"/>
      <c r="Y630" s="2523"/>
      <c r="Z630" s="2523"/>
      <c r="AA630" s="2523"/>
      <c r="AB630" s="2523"/>
      <c r="AC630" s="2523"/>
      <c r="AD630" s="2523"/>
      <c r="AE630" s="536"/>
      <c r="AF630" s="536"/>
      <c r="AG630" s="536"/>
      <c r="AH630" s="536"/>
      <c r="AI630" s="536"/>
      <c r="AJ630" s="536"/>
      <c r="AK630" s="536"/>
      <c r="AL630" s="536"/>
      <c r="AN630" s="597"/>
    </row>
    <row r="631" spans="1:42" s="550" customFormat="1" ht="12.75" customHeight="1">
      <c r="A631" s="637"/>
      <c r="B631" s="616"/>
      <c r="C631" s="940"/>
      <c r="D631" s="663"/>
      <c r="E631" s="2523"/>
      <c r="F631" s="2523"/>
      <c r="G631" s="2523"/>
      <c r="H631" s="2523"/>
      <c r="I631" s="2523"/>
      <c r="J631" s="2523"/>
      <c r="K631" s="2523"/>
      <c r="L631" s="2523"/>
      <c r="M631" s="2523"/>
      <c r="N631" s="2523"/>
      <c r="O631" s="2523"/>
      <c r="P631" s="2523"/>
      <c r="Q631" s="2523"/>
      <c r="R631" s="2523"/>
      <c r="S631" s="2523"/>
      <c r="T631" s="2523"/>
      <c r="U631" s="2523"/>
      <c r="V631" s="2523"/>
      <c r="W631" s="2523"/>
      <c r="X631" s="2523"/>
      <c r="Y631" s="2523"/>
      <c r="Z631" s="2523"/>
      <c r="AA631" s="2523"/>
      <c r="AB631" s="2523"/>
      <c r="AC631" s="2523"/>
      <c r="AD631" s="2523"/>
      <c r="AE631" s="616"/>
      <c r="AF631" s="616"/>
      <c r="AG631" s="616"/>
      <c r="AH631" s="616"/>
      <c r="AI631" s="616"/>
      <c r="AJ631" s="616"/>
      <c r="AK631" s="536"/>
      <c r="AL631" s="536"/>
      <c r="AN631" s="597"/>
    </row>
    <row r="632" spans="1:42" s="550" customFormat="1" ht="12.75" customHeight="1">
      <c r="B632" s="616"/>
      <c r="C632" s="940"/>
      <c r="D632" s="66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68" t="s">
        <v>592</v>
      </c>
      <c r="Y634" s="2468"/>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0" t="s">
        <v>1409</v>
      </c>
      <c r="AG636" s="2440"/>
      <c r="AH636" s="2440"/>
      <c r="AI636" s="2440"/>
      <c r="AJ636" s="2440"/>
      <c r="AK636" s="2440"/>
      <c r="AL636" s="2440"/>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4" t="s">
        <v>688</v>
      </c>
      <c r="I638" s="252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5">
        <f>VLOOKUP($H$638,$AO$605:$AP$607,2,FALSE)</f>
        <v>3</v>
      </c>
      <c r="AK640" s="2477"/>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5" t="s">
        <v>2098</v>
      </c>
      <c r="F644" s="2495"/>
      <c r="G644" s="2495"/>
      <c r="H644" s="2495"/>
      <c r="I644" s="2495"/>
      <c r="J644" s="2495"/>
      <c r="K644" s="2495"/>
      <c r="L644" s="2495"/>
      <c r="M644" s="2495"/>
      <c r="N644" s="2495"/>
      <c r="O644" s="2495"/>
      <c r="P644" s="2495"/>
      <c r="Q644" s="2495"/>
      <c r="R644" s="2495"/>
      <c r="S644" s="2495"/>
      <c r="T644" s="2495"/>
      <c r="U644" s="2495"/>
      <c r="V644" s="2495"/>
      <c r="W644" s="2495"/>
      <c r="X644" s="2495"/>
      <c r="Y644" s="2495"/>
      <c r="Z644" s="2495"/>
      <c r="AA644" s="2495"/>
      <c r="AB644" s="2495"/>
      <c r="AC644" s="2495"/>
      <c r="AD644" s="2495"/>
      <c r="AE644" s="536"/>
      <c r="AF644" s="2440" t="s">
        <v>1353</v>
      </c>
      <c r="AG644" s="2440"/>
      <c r="AH644" s="2440"/>
      <c r="AI644" s="2440"/>
      <c r="AJ644" s="2440"/>
      <c r="AK644" s="2440"/>
      <c r="AL644" s="2440"/>
      <c r="AN644" s="597"/>
    </row>
    <row r="645" spans="1:42" s="550" customFormat="1" ht="12.75" customHeight="1">
      <c r="B645" s="536"/>
      <c r="C645" s="536"/>
      <c r="D645" s="663"/>
      <c r="E645" s="2495"/>
      <c r="F645" s="2495"/>
      <c r="G645" s="2495"/>
      <c r="H645" s="2495"/>
      <c r="I645" s="2495"/>
      <c r="J645" s="2495"/>
      <c r="K645" s="2495"/>
      <c r="L645" s="2495"/>
      <c r="M645" s="2495"/>
      <c r="N645" s="2495"/>
      <c r="O645" s="2495"/>
      <c r="P645" s="2495"/>
      <c r="Q645" s="2495"/>
      <c r="R645" s="2495"/>
      <c r="S645" s="2495"/>
      <c r="T645" s="2495"/>
      <c r="U645" s="2495"/>
      <c r="V645" s="2495"/>
      <c r="W645" s="2495"/>
      <c r="X645" s="2495"/>
      <c r="Y645" s="2495"/>
      <c r="Z645" s="2495"/>
      <c r="AA645" s="2495"/>
      <c r="AB645" s="2495"/>
      <c r="AC645" s="2495"/>
      <c r="AD645" s="249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0" t="s">
        <v>1409</v>
      </c>
      <c r="AG647" s="2440"/>
      <c r="AH647" s="2440"/>
      <c r="AI647" s="2440"/>
      <c r="AJ647" s="2440"/>
      <c r="AK647" s="2440"/>
      <c r="AL647" s="2440"/>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4" t="s">
        <v>688</v>
      </c>
      <c r="I650" s="252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5">
        <f>VLOOKUP(H650,AT605:AU607,2,FALSE)</f>
        <v>3</v>
      </c>
      <c r="AK652" s="2477"/>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5" t="s">
        <v>1419</v>
      </c>
      <c r="F657" s="2495"/>
      <c r="G657" s="2495"/>
      <c r="H657" s="2495"/>
      <c r="I657" s="2495"/>
      <c r="J657" s="2495"/>
      <c r="K657" s="2495"/>
      <c r="L657" s="2495"/>
      <c r="M657" s="2495"/>
      <c r="N657" s="2495"/>
      <c r="O657" s="2495"/>
      <c r="P657" s="2495"/>
      <c r="Q657" s="2495"/>
      <c r="R657" s="2495"/>
      <c r="S657" s="2495"/>
      <c r="T657" s="2495"/>
      <c r="U657" s="2495"/>
      <c r="V657" s="2495"/>
      <c r="W657" s="2495"/>
      <c r="X657" s="2495"/>
      <c r="Y657" s="2495"/>
      <c r="Z657" s="2495"/>
      <c r="AA657" s="2495"/>
      <c r="AB657" s="2495"/>
      <c r="AC657" s="2495"/>
      <c r="AD657" s="536"/>
      <c r="AE657" s="536"/>
      <c r="AF657" s="2440" t="s">
        <v>1379</v>
      </c>
      <c r="AG657" s="2440"/>
      <c r="AH657" s="2440"/>
      <c r="AI657" s="2440"/>
      <c r="AJ657" s="2440"/>
      <c r="AK657" s="2440"/>
      <c r="AL657" s="2440"/>
      <c r="AN657" s="597"/>
    </row>
    <row r="658" spans="1:42" s="550" customFormat="1" ht="12.75" customHeight="1">
      <c r="B658" s="536"/>
      <c r="C658" s="539"/>
      <c r="D658" s="536"/>
      <c r="E658" s="2495"/>
      <c r="F658" s="2495"/>
      <c r="G658" s="2495"/>
      <c r="H658" s="2495"/>
      <c r="I658" s="2495"/>
      <c r="J658" s="2495"/>
      <c r="K658" s="2495"/>
      <c r="L658" s="2495"/>
      <c r="M658" s="2495"/>
      <c r="N658" s="2495"/>
      <c r="O658" s="2495"/>
      <c r="P658" s="2495"/>
      <c r="Q658" s="2495"/>
      <c r="R658" s="2495"/>
      <c r="S658" s="2495"/>
      <c r="T658" s="2495"/>
      <c r="U658" s="2495"/>
      <c r="V658" s="2495"/>
      <c r="W658" s="2495"/>
      <c r="X658" s="2495"/>
      <c r="Y658" s="2495"/>
      <c r="Z658" s="2495"/>
      <c r="AA658" s="2495"/>
      <c r="AB658" s="2495"/>
      <c r="AC658" s="2495"/>
      <c r="AD658" s="536"/>
      <c r="AE658" s="536"/>
      <c r="AF658" s="536"/>
      <c r="AG658" s="536"/>
      <c r="AH658" s="536"/>
      <c r="AI658" s="536"/>
      <c r="AJ658" s="536"/>
      <c r="AK658" s="536"/>
      <c r="AL658" s="536"/>
      <c r="AN658" s="597"/>
    </row>
    <row r="659" spans="1:42" s="550" customFormat="1" ht="12.75" customHeight="1">
      <c r="B659" s="536"/>
      <c r="C659" s="539"/>
      <c r="D659" s="663"/>
      <c r="E659" s="2495"/>
      <c r="F659" s="2495"/>
      <c r="G659" s="2495"/>
      <c r="H659" s="2495"/>
      <c r="I659" s="2495"/>
      <c r="J659" s="2495"/>
      <c r="K659" s="2495"/>
      <c r="L659" s="2495"/>
      <c r="M659" s="2495"/>
      <c r="N659" s="2495"/>
      <c r="O659" s="2495"/>
      <c r="P659" s="2495"/>
      <c r="Q659" s="2495"/>
      <c r="R659" s="2495"/>
      <c r="S659" s="2495"/>
      <c r="T659" s="2495"/>
      <c r="U659" s="2495"/>
      <c r="V659" s="2495"/>
      <c r="W659" s="2495"/>
      <c r="X659" s="2495"/>
      <c r="Y659" s="2495"/>
      <c r="Z659" s="2495"/>
      <c r="AA659" s="2495"/>
      <c r="AB659" s="2495"/>
      <c r="AC659" s="249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5" t="s">
        <v>1420</v>
      </c>
      <c r="F661" s="2495"/>
      <c r="G661" s="2495"/>
      <c r="H661" s="2495"/>
      <c r="I661" s="2495"/>
      <c r="J661" s="2495"/>
      <c r="K661" s="2495"/>
      <c r="L661" s="2495"/>
      <c r="M661" s="2495"/>
      <c r="N661" s="2495"/>
      <c r="O661" s="2495"/>
      <c r="P661" s="2495"/>
      <c r="Q661" s="2495"/>
      <c r="R661" s="2495"/>
      <c r="S661" s="2495"/>
      <c r="T661" s="2495"/>
      <c r="U661" s="2495"/>
      <c r="V661" s="2495"/>
      <c r="W661" s="2495"/>
      <c r="X661" s="2495"/>
      <c r="Y661" s="2495"/>
      <c r="Z661" s="2495"/>
      <c r="AA661" s="2495"/>
      <c r="AB661" s="2495"/>
      <c r="AC661" s="2495"/>
      <c r="AD661" s="536"/>
      <c r="AE661" s="536"/>
      <c r="AF661" s="2440" t="s">
        <v>1400</v>
      </c>
      <c r="AG661" s="2440"/>
      <c r="AH661" s="2440"/>
      <c r="AI661" s="2440"/>
      <c r="AJ661" s="2440"/>
      <c r="AK661" s="2440"/>
      <c r="AL661" s="2440"/>
      <c r="AN661" s="597"/>
    </row>
    <row r="662" spans="1:42" s="550" customFormat="1" ht="12.75" customHeight="1">
      <c r="B662" s="536"/>
      <c r="C662" s="539"/>
      <c r="D662" s="536"/>
      <c r="E662" s="2495"/>
      <c r="F662" s="2495"/>
      <c r="G662" s="2495"/>
      <c r="H662" s="2495"/>
      <c r="I662" s="2495"/>
      <c r="J662" s="2495"/>
      <c r="K662" s="2495"/>
      <c r="L662" s="2495"/>
      <c r="M662" s="2495"/>
      <c r="N662" s="2495"/>
      <c r="O662" s="2495"/>
      <c r="P662" s="2495"/>
      <c r="Q662" s="2495"/>
      <c r="R662" s="2495"/>
      <c r="S662" s="2495"/>
      <c r="T662" s="2495"/>
      <c r="U662" s="2495"/>
      <c r="V662" s="2495"/>
      <c r="W662" s="2495"/>
      <c r="X662" s="2495"/>
      <c r="Y662" s="2495"/>
      <c r="Z662" s="2495"/>
      <c r="AA662" s="2495"/>
      <c r="AB662" s="2495"/>
      <c r="AC662" s="2495"/>
      <c r="AD662" s="536"/>
      <c r="AE662" s="536"/>
      <c r="AF662" s="536"/>
      <c r="AG662" s="536"/>
      <c r="AH662" s="536"/>
      <c r="AI662" s="536"/>
      <c r="AJ662" s="536"/>
      <c r="AK662" s="536"/>
      <c r="AL662" s="536"/>
      <c r="AN662" s="597"/>
    </row>
    <row r="663" spans="1:42" s="550" customFormat="1" ht="15" customHeight="1">
      <c r="B663" s="536"/>
      <c r="C663" s="539"/>
      <c r="D663" s="663"/>
      <c r="E663" s="2495"/>
      <c r="F663" s="2495"/>
      <c r="G663" s="2495"/>
      <c r="H663" s="2495"/>
      <c r="I663" s="2495"/>
      <c r="J663" s="2495"/>
      <c r="K663" s="2495"/>
      <c r="L663" s="2495"/>
      <c r="M663" s="2495"/>
      <c r="N663" s="2495"/>
      <c r="O663" s="2495"/>
      <c r="P663" s="2495"/>
      <c r="Q663" s="2495"/>
      <c r="R663" s="2495"/>
      <c r="S663" s="2495"/>
      <c r="T663" s="2495"/>
      <c r="U663" s="2495"/>
      <c r="V663" s="2495"/>
      <c r="W663" s="2495"/>
      <c r="X663" s="2495"/>
      <c r="Y663" s="2495"/>
      <c r="Z663" s="2495"/>
      <c r="AA663" s="2495"/>
      <c r="AB663" s="2495"/>
      <c r="AC663" s="249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5" t="s">
        <v>1421</v>
      </c>
      <c r="F665" s="2495"/>
      <c r="G665" s="2495"/>
      <c r="H665" s="2495"/>
      <c r="I665" s="2495"/>
      <c r="J665" s="2495"/>
      <c r="K665" s="2495"/>
      <c r="L665" s="2495"/>
      <c r="M665" s="2495"/>
      <c r="N665" s="2495"/>
      <c r="O665" s="2495"/>
      <c r="P665" s="2495"/>
      <c r="Q665" s="2495"/>
      <c r="R665" s="2495"/>
      <c r="S665" s="2495"/>
      <c r="T665" s="2495"/>
      <c r="U665" s="2495"/>
      <c r="V665" s="2495"/>
      <c r="W665" s="2495"/>
      <c r="X665" s="2495"/>
      <c r="Y665" s="2495"/>
      <c r="Z665" s="2495"/>
      <c r="AA665" s="2495"/>
      <c r="AB665" s="2495"/>
      <c r="AC665" s="2495"/>
      <c r="AD665" s="536"/>
      <c r="AE665" s="536"/>
      <c r="AF665" s="2440" t="s">
        <v>1353</v>
      </c>
      <c r="AG665" s="2440"/>
      <c r="AH665" s="2440"/>
      <c r="AI665" s="2440"/>
      <c r="AJ665" s="2440"/>
      <c r="AK665" s="2440"/>
      <c r="AL665" s="2440"/>
      <c r="AN665" s="597"/>
    </row>
    <row r="666" spans="1:42" s="550" customFormat="1" ht="12.75" customHeight="1">
      <c r="B666" s="536"/>
      <c r="C666" s="931"/>
      <c r="D666" s="536"/>
      <c r="E666" s="2495"/>
      <c r="F666" s="2495"/>
      <c r="G666" s="2495"/>
      <c r="H666" s="2495"/>
      <c r="I666" s="2495"/>
      <c r="J666" s="2495"/>
      <c r="K666" s="2495"/>
      <c r="L666" s="2495"/>
      <c r="M666" s="2495"/>
      <c r="N666" s="2495"/>
      <c r="O666" s="2495"/>
      <c r="P666" s="2495"/>
      <c r="Q666" s="2495"/>
      <c r="R666" s="2495"/>
      <c r="S666" s="2495"/>
      <c r="T666" s="2495"/>
      <c r="U666" s="2495"/>
      <c r="V666" s="2495"/>
      <c r="W666" s="2495"/>
      <c r="X666" s="2495"/>
      <c r="Y666" s="2495"/>
      <c r="Z666" s="2495"/>
      <c r="AA666" s="2495"/>
      <c r="AB666" s="2495"/>
      <c r="AC666" s="2495"/>
      <c r="AD666" s="536"/>
      <c r="AE666" s="2440"/>
      <c r="AF666" s="2440"/>
      <c r="AG666" s="2440"/>
      <c r="AH666" s="2440"/>
      <c r="AI666" s="2440"/>
      <c r="AJ666" s="2440"/>
      <c r="AK666" s="2440"/>
      <c r="AL666" s="594"/>
      <c r="AN666" s="597"/>
      <c r="AO666" s="550" t="s">
        <v>592</v>
      </c>
      <c r="AP666" s="673">
        <v>0</v>
      </c>
    </row>
    <row r="667" spans="1:42" s="550" customFormat="1" ht="12.75" customHeight="1">
      <c r="A667" s="679"/>
      <c r="B667" s="536"/>
      <c r="C667" s="536"/>
      <c r="D667" s="663"/>
      <c r="E667" s="2495"/>
      <c r="F667" s="2495"/>
      <c r="G667" s="2495"/>
      <c r="H667" s="2495"/>
      <c r="I667" s="2495"/>
      <c r="J667" s="2495"/>
      <c r="K667" s="2495"/>
      <c r="L667" s="2495"/>
      <c r="M667" s="2495"/>
      <c r="N667" s="2495"/>
      <c r="O667" s="2495"/>
      <c r="P667" s="2495"/>
      <c r="Q667" s="2495"/>
      <c r="R667" s="2495"/>
      <c r="S667" s="2495"/>
      <c r="T667" s="2495"/>
      <c r="U667" s="2495"/>
      <c r="V667" s="2495"/>
      <c r="W667" s="2495"/>
      <c r="X667" s="2495"/>
      <c r="Y667" s="2495"/>
      <c r="Z667" s="2495"/>
      <c r="AA667" s="2495"/>
      <c r="AB667" s="2495"/>
      <c r="AC667" s="2495"/>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5" t="s">
        <v>1422</v>
      </c>
      <c r="F669" s="2495"/>
      <c r="G669" s="2495"/>
      <c r="H669" s="2495"/>
      <c r="I669" s="2495"/>
      <c r="J669" s="2495"/>
      <c r="K669" s="2495"/>
      <c r="L669" s="2495"/>
      <c r="M669" s="2495"/>
      <c r="N669" s="2495"/>
      <c r="O669" s="2495"/>
      <c r="P669" s="2495"/>
      <c r="Q669" s="2495"/>
      <c r="R669" s="2495"/>
      <c r="S669" s="2495"/>
      <c r="T669" s="2495"/>
      <c r="U669" s="2495"/>
      <c r="V669" s="2495"/>
      <c r="W669" s="2495"/>
      <c r="X669" s="2495"/>
      <c r="Y669" s="2495"/>
      <c r="Z669" s="2495"/>
      <c r="AA669" s="2495"/>
      <c r="AB669" s="2495"/>
      <c r="AC669" s="2495"/>
      <c r="AD669" s="536"/>
      <c r="AE669" s="536"/>
      <c r="AF669" s="2440" t="s">
        <v>1400</v>
      </c>
      <c r="AG669" s="2440"/>
      <c r="AH669" s="2440"/>
      <c r="AI669" s="2440"/>
      <c r="AJ669" s="2440"/>
      <c r="AK669" s="2440"/>
      <c r="AL669" s="2440"/>
      <c r="AN669" s="597"/>
    </row>
    <row r="670" spans="1:42" s="550" customFormat="1" ht="12.75" customHeight="1">
      <c r="A670" s="670"/>
      <c r="B670" s="536"/>
      <c r="C670" s="947"/>
      <c r="D670" s="663"/>
      <c r="E670" s="2495"/>
      <c r="F670" s="2495"/>
      <c r="G670" s="2495"/>
      <c r="H670" s="2495"/>
      <c r="I670" s="2495"/>
      <c r="J670" s="2495"/>
      <c r="K670" s="2495"/>
      <c r="L670" s="2495"/>
      <c r="M670" s="2495"/>
      <c r="N670" s="2495"/>
      <c r="O670" s="2495"/>
      <c r="P670" s="2495"/>
      <c r="Q670" s="2495"/>
      <c r="R670" s="2495"/>
      <c r="S670" s="2495"/>
      <c r="T670" s="2495"/>
      <c r="U670" s="2495"/>
      <c r="V670" s="2495"/>
      <c r="W670" s="2495"/>
      <c r="X670" s="2495"/>
      <c r="Y670" s="2495"/>
      <c r="Z670" s="2495"/>
      <c r="AA670" s="2495"/>
      <c r="AB670" s="2495"/>
      <c r="AC670" s="249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5"/>
      <c r="F671" s="2495"/>
      <c r="G671" s="2495"/>
      <c r="H671" s="2495"/>
      <c r="I671" s="2495"/>
      <c r="J671" s="2495"/>
      <c r="K671" s="2495"/>
      <c r="L671" s="2495"/>
      <c r="M671" s="2495"/>
      <c r="N671" s="2495"/>
      <c r="O671" s="2495"/>
      <c r="P671" s="2495"/>
      <c r="Q671" s="2495"/>
      <c r="R671" s="2495"/>
      <c r="S671" s="2495"/>
      <c r="T671" s="2495"/>
      <c r="U671" s="2495"/>
      <c r="V671" s="2495"/>
      <c r="W671" s="2495"/>
      <c r="X671" s="2495"/>
      <c r="Y671" s="2495"/>
      <c r="Z671" s="2495"/>
      <c r="AA671" s="2495"/>
      <c r="AB671" s="2495"/>
      <c r="AC671" s="249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5" t="s">
        <v>1423</v>
      </c>
      <c r="F673" s="2495"/>
      <c r="G673" s="2495"/>
      <c r="H673" s="2495"/>
      <c r="I673" s="2495"/>
      <c r="J673" s="2495"/>
      <c r="K673" s="2495"/>
      <c r="L673" s="2495"/>
      <c r="M673" s="2495"/>
      <c r="N673" s="2495"/>
      <c r="O673" s="2495"/>
      <c r="P673" s="2495"/>
      <c r="Q673" s="2495"/>
      <c r="R673" s="2495"/>
      <c r="S673" s="2495"/>
      <c r="T673" s="2495"/>
      <c r="U673" s="2495"/>
      <c r="V673" s="2495"/>
      <c r="W673" s="2495"/>
      <c r="X673" s="2495"/>
      <c r="Y673" s="2495"/>
      <c r="Z673" s="2495"/>
      <c r="AA673" s="2495"/>
      <c r="AB673" s="2495"/>
      <c r="AC673" s="2495"/>
      <c r="AD673" s="536"/>
      <c r="AE673" s="536"/>
      <c r="AF673" s="2440" t="s">
        <v>1353</v>
      </c>
      <c r="AG673" s="2440"/>
      <c r="AH673" s="2440"/>
      <c r="AI673" s="2440"/>
      <c r="AJ673" s="2440"/>
      <c r="AK673" s="2440"/>
      <c r="AL673" s="2440"/>
      <c r="AM673" s="596"/>
      <c r="AN673" s="597"/>
    </row>
    <row r="674" spans="1:42" s="550" customFormat="1" ht="12.75" customHeight="1">
      <c r="B674" s="536"/>
      <c r="C674" s="931"/>
      <c r="D674" s="663"/>
      <c r="E674" s="2495"/>
      <c r="F674" s="2495"/>
      <c r="G674" s="2495"/>
      <c r="H674" s="2495"/>
      <c r="I674" s="2495"/>
      <c r="J674" s="2495"/>
      <c r="K674" s="2495"/>
      <c r="L674" s="2495"/>
      <c r="M674" s="2495"/>
      <c r="N674" s="2495"/>
      <c r="O674" s="2495"/>
      <c r="P674" s="2495"/>
      <c r="Q674" s="2495"/>
      <c r="R674" s="2495"/>
      <c r="S674" s="2495"/>
      <c r="T674" s="2495"/>
      <c r="U674" s="2495"/>
      <c r="V674" s="2495"/>
      <c r="W674" s="2495"/>
      <c r="X674" s="2495"/>
      <c r="Y674" s="2495"/>
      <c r="Z674" s="2495"/>
      <c r="AA674" s="2495"/>
      <c r="AB674" s="2495"/>
      <c r="AC674" s="2495"/>
      <c r="AD674" s="536"/>
      <c r="AE674" s="536"/>
      <c r="AF674" s="536"/>
      <c r="AG674" s="536"/>
      <c r="AH674" s="536"/>
      <c r="AI674" s="536"/>
      <c r="AJ674" s="536"/>
      <c r="AK674" s="536"/>
      <c r="AL674" s="536"/>
      <c r="AM674" s="596"/>
      <c r="AN674" s="597"/>
    </row>
    <row r="675" spans="1:42" s="550" customFormat="1" ht="12.75" customHeight="1">
      <c r="B675" s="536"/>
      <c r="C675" s="931"/>
      <c r="D675" s="663"/>
      <c r="E675" s="2495"/>
      <c r="F675" s="2495"/>
      <c r="G675" s="2495"/>
      <c r="H675" s="2495"/>
      <c r="I675" s="2495"/>
      <c r="J675" s="2495"/>
      <c r="K675" s="2495"/>
      <c r="L675" s="2495"/>
      <c r="M675" s="2495"/>
      <c r="N675" s="2495"/>
      <c r="O675" s="2495"/>
      <c r="P675" s="2495"/>
      <c r="Q675" s="2495"/>
      <c r="R675" s="2495"/>
      <c r="S675" s="2495"/>
      <c r="T675" s="2495"/>
      <c r="U675" s="2495"/>
      <c r="V675" s="2495"/>
      <c r="W675" s="2495"/>
      <c r="X675" s="2495"/>
      <c r="Y675" s="2495"/>
      <c r="Z675" s="2495"/>
      <c r="AA675" s="2495"/>
      <c r="AB675" s="2495"/>
      <c r="AC675" s="249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5" t="s">
        <v>1424</v>
      </c>
      <c r="F677" s="2495"/>
      <c r="G677" s="2495"/>
      <c r="H677" s="2495"/>
      <c r="I677" s="2495"/>
      <c r="J677" s="2495"/>
      <c r="K677" s="2495"/>
      <c r="L677" s="2495"/>
      <c r="M677" s="2495"/>
      <c r="N677" s="2495"/>
      <c r="O677" s="2495"/>
      <c r="P677" s="2495"/>
      <c r="Q677" s="2495"/>
      <c r="R677" s="2495"/>
      <c r="S677" s="2495"/>
      <c r="T677" s="2495"/>
      <c r="U677" s="2495"/>
      <c r="V677" s="2495"/>
      <c r="W677" s="2495"/>
      <c r="X677" s="2495"/>
      <c r="Y677" s="2495"/>
      <c r="Z677" s="2495"/>
      <c r="AA677" s="2495"/>
      <c r="AB677" s="2495"/>
      <c r="AC677" s="2495"/>
      <c r="AD677" s="536"/>
      <c r="AE677" s="536"/>
      <c r="AF677" s="2440" t="s">
        <v>1409</v>
      </c>
      <c r="AG677" s="2440"/>
      <c r="AH677" s="2440"/>
      <c r="AI677" s="2440"/>
      <c r="AJ677" s="2440"/>
      <c r="AK677" s="2440"/>
      <c r="AL677" s="2440"/>
      <c r="AM677" s="596"/>
      <c r="AN677" s="597"/>
    </row>
    <row r="678" spans="1:42" s="550" customFormat="1" ht="12.75" customHeight="1">
      <c r="A678" s="679"/>
      <c r="B678" s="536"/>
      <c r="C678" s="931"/>
      <c r="D678" s="663"/>
      <c r="E678" s="2495"/>
      <c r="F678" s="2495"/>
      <c r="G678" s="2495"/>
      <c r="H678" s="2495"/>
      <c r="I678" s="2495"/>
      <c r="J678" s="2495"/>
      <c r="K678" s="2495"/>
      <c r="L678" s="2495"/>
      <c r="M678" s="2495"/>
      <c r="N678" s="2495"/>
      <c r="O678" s="2495"/>
      <c r="P678" s="2495"/>
      <c r="Q678" s="2495"/>
      <c r="R678" s="2495"/>
      <c r="S678" s="2495"/>
      <c r="T678" s="2495"/>
      <c r="U678" s="2495"/>
      <c r="V678" s="2495"/>
      <c r="W678" s="2495"/>
      <c r="X678" s="2495"/>
      <c r="Y678" s="2495"/>
      <c r="Z678" s="2495"/>
      <c r="AA678" s="2495"/>
      <c r="AB678" s="2495"/>
      <c r="AC678" s="249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5"/>
      <c r="F679" s="2495"/>
      <c r="G679" s="2495"/>
      <c r="H679" s="2495"/>
      <c r="I679" s="2495"/>
      <c r="J679" s="2495"/>
      <c r="K679" s="2495"/>
      <c r="L679" s="2495"/>
      <c r="M679" s="2495"/>
      <c r="N679" s="2495"/>
      <c r="O679" s="2495"/>
      <c r="P679" s="2495"/>
      <c r="Q679" s="2495"/>
      <c r="R679" s="2495"/>
      <c r="S679" s="2495"/>
      <c r="T679" s="2495"/>
      <c r="U679" s="2495"/>
      <c r="V679" s="2495"/>
      <c r="W679" s="2495"/>
      <c r="X679" s="2495"/>
      <c r="Y679" s="2495"/>
      <c r="Z679" s="2495"/>
      <c r="AA679" s="2495"/>
      <c r="AB679" s="2495"/>
      <c r="AC679" s="249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5" t="s">
        <v>1425</v>
      </c>
      <c r="F681" s="2495"/>
      <c r="G681" s="2495"/>
      <c r="H681" s="2495"/>
      <c r="I681" s="2495"/>
      <c r="J681" s="2495"/>
      <c r="K681" s="2495"/>
      <c r="L681" s="2495"/>
      <c r="M681" s="2495"/>
      <c r="N681" s="2495"/>
      <c r="O681" s="2495"/>
      <c r="P681" s="2495"/>
      <c r="Q681" s="2495"/>
      <c r="R681" s="2495"/>
      <c r="S681" s="2495"/>
      <c r="T681" s="2495"/>
      <c r="U681" s="2495"/>
      <c r="V681" s="2495"/>
      <c r="W681" s="2495"/>
      <c r="X681" s="2495"/>
      <c r="Y681" s="2495"/>
      <c r="Z681" s="2495"/>
      <c r="AA681" s="2495"/>
      <c r="AB681" s="2495"/>
      <c r="AC681" s="2495"/>
      <c r="AD681" s="536"/>
      <c r="AE681" s="536"/>
      <c r="AF681" s="2440" t="s">
        <v>1426</v>
      </c>
      <c r="AG681" s="2440"/>
      <c r="AH681" s="2440"/>
      <c r="AI681" s="2440"/>
      <c r="AJ681" s="2440"/>
      <c r="AK681" s="2440"/>
      <c r="AL681" s="2440"/>
      <c r="AM681" s="596"/>
      <c r="AN681" s="597"/>
      <c r="AO681" s="611" t="s">
        <v>688</v>
      </c>
      <c r="AP681" s="550">
        <v>3</v>
      </c>
    </row>
    <row r="682" spans="1:42" s="550" customFormat="1" ht="12.75" customHeight="1">
      <c r="A682" s="679"/>
      <c r="B682" s="536"/>
      <c r="C682" s="931"/>
      <c r="D682" s="663"/>
      <c r="E682" s="2495"/>
      <c r="F682" s="2495"/>
      <c r="G682" s="2495"/>
      <c r="H682" s="2495"/>
      <c r="I682" s="2495"/>
      <c r="J682" s="2495"/>
      <c r="K682" s="2495"/>
      <c r="L682" s="2495"/>
      <c r="M682" s="2495"/>
      <c r="N682" s="2495"/>
      <c r="O682" s="2495"/>
      <c r="P682" s="2495"/>
      <c r="Q682" s="2495"/>
      <c r="R682" s="2495"/>
      <c r="S682" s="2495"/>
      <c r="T682" s="2495"/>
      <c r="U682" s="2495"/>
      <c r="V682" s="2495"/>
      <c r="W682" s="2495"/>
      <c r="X682" s="2495"/>
      <c r="Y682" s="2495"/>
      <c r="Z682" s="2495"/>
      <c r="AA682" s="2495"/>
      <c r="AB682" s="2495"/>
      <c r="AC682" s="2495"/>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5"/>
      <c r="F683" s="2495"/>
      <c r="G683" s="2495"/>
      <c r="H683" s="2495"/>
      <c r="I683" s="2495"/>
      <c r="J683" s="2495"/>
      <c r="K683" s="2495"/>
      <c r="L683" s="2495"/>
      <c r="M683" s="2495"/>
      <c r="N683" s="2495"/>
      <c r="O683" s="2495"/>
      <c r="P683" s="2495"/>
      <c r="Q683" s="2495"/>
      <c r="R683" s="2495"/>
      <c r="S683" s="2495"/>
      <c r="T683" s="2495"/>
      <c r="U683" s="2495"/>
      <c r="V683" s="2495"/>
      <c r="W683" s="2495"/>
      <c r="X683" s="2495"/>
      <c r="Y683" s="2495"/>
      <c r="Z683" s="2495"/>
      <c r="AA683" s="2495"/>
      <c r="AB683" s="2495"/>
      <c r="AC683" s="249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4" t="s">
        <v>688</v>
      </c>
      <c r="I685" s="252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5">
        <f>VLOOKUP($H$685,$AO$633:$AP$640,2,FALSE)</f>
        <v>5</v>
      </c>
      <c r="AK687" s="2477"/>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104</v>
      </c>
    </row>
    <row r="691" spans="1:51" s="550" customFormat="1" ht="12.75" customHeight="1">
      <c r="A691" s="679"/>
      <c r="B691" s="536"/>
      <c r="C691" s="948"/>
      <c r="D691" s="663" t="s">
        <v>688</v>
      </c>
      <c r="E691" s="2531" t="s">
        <v>2190</v>
      </c>
      <c r="F691" s="2531"/>
      <c r="G691" s="2531"/>
      <c r="H691" s="2531"/>
      <c r="I691" s="2531"/>
      <c r="J691" s="2531"/>
      <c r="K691" s="2531"/>
      <c r="L691" s="2531"/>
      <c r="M691" s="2531"/>
      <c r="N691" s="2531"/>
      <c r="O691" s="2531"/>
      <c r="P691" s="2531"/>
      <c r="Q691" s="2531"/>
      <c r="R691" s="2531"/>
      <c r="S691" s="2531"/>
      <c r="T691" s="2531"/>
      <c r="U691" s="2531"/>
      <c r="V691" s="2531"/>
      <c r="W691" s="2531"/>
      <c r="X691" s="2531"/>
      <c r="Y691" s="2531"/>
      <c r="Z691" s="2531"/>
      <c r="AA691" s="2531"/>
      <c r="AB691" s="2531"/>
      <c r="AC691" s="536"/>
      <c r="AD691" s="536"/>
      <c r="AE691" s="536"/>
      <c r="AF691" s="2440" t="s">
        <v>1353</v>
      </c>
      <c r="AG691" s="2440"/>
      <c r="AH691" s="2440"/>
      <c r="AI691" s="2440"/>
      <c r="AJ691" s="2440"/>
      <c r="AK691" s="2440"/>
      <c r="AL691" s="2440"/>
      <c r="AN691" s="597"/>
      <c r="AW691" s="22" t="s">
        <v>2185</v>
      </c>
      <c r="AX691" s="550">
        <f>Application!DE753</f>
        <v>30</v>
      </c>
    </row>
    <row r="692" spans="1:51" s="550" customFormat="1" ht="12.75" customHeight="1">
      <c r="A692" s="679"/>
      <c r="B692" s="536"/>
      <c r="C692" s="948"/>
      <c r="D692" s="663"/>
      <c r="E692" s="2531"/>
      <c r="F692" s="2531"/>
      <c r="G692" s="2531"/>
      <c r="H692" s="2531"/>
      <c r="I692" s="2531"/>
      <c r="J692" s="2531"/>
      <c r="K692" s="2531"/>
      <c r="L692" s="2531"/>
      <c r="M692" s="2531"/>
      <c r="N692" s="2531"/>
      <c r="O692" s="2531"/>
      <c r="P692" s="2531"/>
      <c r="Q692" s="2531"/>
      <c r="R692" s="2531"/>
      <c r="S692" s="2531"/>
      <c r="T692" s="2531"/>
      <c r="U692" s="2531"/>
      <c r="V692" s="2531"/>
      <c r="W692" s="2531"/>
      <c r="X692" s="2531"/>
      <c r="Y692" s="2531"/>
      <c r="Z692" s="2531"/>
      <c r="AA692" s="2531"/>
      <c r="AB692" s="2531"/>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95" t="s">
        <v>2134</v>
      </c>
      <c r="F694" s="2495"/>
      <c r="G694" s="2495"/>
      <c r="H694" s="2495"/>
      <c r="I694" s="2495"/>
      <c r="J694" s="2495"/>
      <c r="K694" s="2495"/>
      <c r="L694" s="2495"/>
      <c r="M694" s="2495"/>
      <c r="N694" s="2495"/>
      <c r="O694" s="2495"/>
      <c r="P694" s="2495"/>
      <c r="Q694" s="2495"/>
      <c r="R694" s="2495"/>
      <c r="S694" s="2495"/>
      <c r="T694" s="2495"/>
      <c r="U694" s="2495"/>
      <c r="V694" s="2495"/>
      <c r="W694" s="2495"/>
      <c r="X694" s="2495"/>
      <c r="Y694" s="2495"/>
      <c r="Z694" s="2495"/>
      <c r="AA694" s="2495"/>
      <c r="AB694" s="2495"/>
      <c r="AC694" s="536"/>
      <c r="AD694" s="536"/>
      <c r="AE694" s="536"/>
      <c r="AF694" s="2440" t="s">
        <v>1353</v>
      </c>
      <c r="AG694" s="2440"/>
      <c r="AH694" s="2440"/>
      <c r="AI694" s="2440"/>
      <c r="AJ694" s="2440"/>
      <c r="AK694" s="2440"/>
      <c r="AL694" s="2440"/>
      <c r="AN694" s="597"/>
      <c r="AW694" s="22" t="s">
        <v>2188</v>
      </c>
      <c r="AX694" s="550">
        <f>AX691+AX692+AX693</f>
        <v>30</v>
      </c>
    </row>
    <row r="695" spans="1:51" s="550" customFormat="1" ht="12.75" customHeight="1">
      <c r="B695" s="536"/>
      <c r="C695" s="940"/>
      <c r="D695" s="663"/>
      <c r="E695" s="2495"/>
      <c r="F695" s="2495"/>
      <c r="G695" s="2495"/>
      <c r="H695" s="2495"/>
      <c r="I695" s="2495"/>
      <c r="J695" s="2495"/>
      <c r="K695" s="2495"/>
      <c r="L695" s="2495"/>
      <c r="M695" s="2495"/>
      <c r="N695" s="2495"/>
      <c r="O695" s="2495"/>
      <c r="P695" s="2495"/>
      <c r="Q695" s="2495"/>
      <c r="R695" s="2495"/>
      <c r="S695" s="2495"/>
      <c r="T695" s="2495"/>
      <c r="U695" s="2495"/>
      <c r="V695" s="2495"/>
      <c r="W695" s="2495"/>
      <c r="X695" s="2495"/>
      <c r="Y695" s="2495"/>
      <c r="Z695" s="2495"/>
      <c r="AA695" s="2495"/>
      <c r="AB695" s="2495"/>
      <c r="AC695" s="536"/>
      <c r="AD695" s="536"/>
      <c r="AE695" s="616"/>
      <c r="AF695" s="536"/>
      <c r="AG695" s="536"/>
      <c r="AH695" s="536"/>
      <c r="AI695" s="536"/>
      <c r="AJ695" s="536"/>
      <c r="AK695" s="536"/>
      <c r="AL695" s="536"/>
      <c r="AN695" s="597"/>
      <c r="AO695" s="2530" t="b">
        <f>IF(Application!D211="Special Needs",IF(AY695&gt;=0.25,TRUE,FALSE),IF(AX695&gt;=0.25,TRUE,FALSE))</f>
        <v>1</v>
      </c>
      <c r="AP695" s="2530"/>
      <c r="AW695" s="22" t="s">
        <v>2189</v>
      </c>
      <c r="AX695" s="550">
        <f>IFERROR(AX694/AX690,0)</f>
        <v>0.28846153846153844</v>
      </c>
      <c r="AY695" s="550">
        <f>IFERROR(AX694/(AX690-AX689),0)</f>
        <v>0.28846153846153844</v>
      </c>
    </row>
    <row r="696" spans="1:51" s="550" customFormat="1" ht="12.75" customHeight="1">
      <c r="B696" s="536"/>
      <c r="C696" s="940"/>
      <c r="E696" s="2495"/>
      <c r="F696" s="2495"/>
      <c r="G696" s="2495"/>
      <c r="H696" s="2495"/>
      <c r="I696" s="2495"/>
      <c r="J696" s="2495"/>
      <c r="K696" s="2495"/>
      <c r="L696" s="2495"/>
      <c r="M696" s="2495"/>
      <c r="N696" s="2495"/>
      <c r="O696" s="2495"/>
      <c r="P696" s="2495"/>
      <c r="Q696" s="2495"/>
      <c r="R696" s="2495"/>
      <c r="S696" s="2495"/>
      <c r="T696" s="2495"/>
      <c r="U696" s="2495"/>
      <c r="V696" s="2495"/>
      <c r="W696" s="2495"/>
      <c r="X696" s="2495"/>
      <c r="Y696" s="2495"/>
      <c r="Z696" s="2495"/>
      <c r="AA696" s="2495"/>
      <c r="AB696" s="249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5"/>
      <c r="F697" s="2495"/>
      <c r="G697" s="2495"/>
      <c r="H697" s="2495"/>
      <c r="I697" s="2495"/>
      <c r="J697" s="2495"/>
      <c r="K697" s="2495"/>
      <c r="L697" s="2495"/>
      <c r="M697" s="2495"/>
      <c r="N697" s="2495"/>
      <c r="O697" s="2495"/>
      <c r="P697" s="2495"/>
      <c r="Q697" s="2495"/>
      <c r="R697" s="2495"/>
      <c r="S697" s="2495"/>
      <c r="T697" s="2495"/>
      <c r="U697" s="2495"/>
      <c r="V697" s="2495"/>
      <c r="W697" s="2495"/>
      <c r="X697" s="2495"/>
      <c r="Y697" s="2495"/>
      <c r="Z697" s="2495"/>
      <c r="AA697" s="2495"/>
      <c r="AB697" s="2495"/>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5" t="s">
        <v>2135</v>
      </c>
      <c r="F699" s="2495"/>
      <c r="G699" s="2495"/>
      <c r="H699" s="2495"/>
      <c r="I699" s="2495"/>
      <c r="J699" s="2495"/>
      <c r="K699" s="2495"/>
      <c r="L699" s="2495"/>
      <c r="M699" s="2495"/>
      <c r="N699" s="2495"/>
      <c r="O699" s="2495"/>
      <c r="P699" s="2495"/>
      <c r="Q699" s="2495"/>
      <c r="R699" s="2495"/>
      <c r="S699" s="2495"/>
      <c r="T699" s="2495"/>
      <c r="U699" s="2495"/>
      <c r="V699" s="2495"/>
      <c r="W699" s="2495"/>
      <c r="X699" s="2495"/>
      <c r="Y699" s="2495"/>
      <c r="Z699" s="2495"/>
      <c r="AA699" s="2495"/>
      <c r="AB699" s="2495"/>
      <c r="AC699" s="536"/>
      <c r="AD699" s="536"/>
      <c r="AE699" s="536"/>
      <c r="AF699" s="2440" t="s">
        <v>1409</v>
      </c>
      <c r="AG699" s="2440"/>
      <c r="AH699" s="2440"/>
      <c r="AI699" s="2440"/>
      <c r="AJ699" s="2440"/>
      <c r="AK699" s="2440"/>
      <c r="AL699" s="2440"/>
      <c r="AN699" s="597"/>
      <c r="AO699" s="611" t="s">
        <v>510</v>
      </c>
      <c r="AP699" s="550">
        <v>1</v>
      </c>
    </row>
    <row r="700" spans="1:51" s="550" customFormat="1" ht="12" customHeight="1">
      <c r="B700" s="536"/>
      <c r="C700" s="931"/>
      <c r="E700" s="2495"/>
      <c r="F700" s="2495"/>
      <c r="G700" s="2495"/>
      <c r="H700" s="2495"/>
      <c r="I700" s="2495"/>
      <c r="J700" s="2495"/>
      <c r="K700" s="2495"/>
      <c r="L700" s="2495"/>
      <c r="M700" s="2495"/>
      <c r="N700" s="2495"/>
      <c r="O700" s="2495"/>
      <c r="P700" s="2495"/>
      <c r="Q700" s="2495"/>
      <c r="R700" s="2495"/>
      <c r="S700" s="2495"/>
      <c r="T700" s="2495"/>
      <c r="U700" s="2495"/>
      <c r="V700" s="2495"/>
      <c r="W700" s="2495"/>
      <c r="X700" s="2495"/>
      <c r="Y700" s="2495"/>
      <c r="Z700" s="2495"/>
      <c r="AA700" s="2495"/>
      <c r="AB700" s="2495"/>
      <c r="AC700" s="536"/>
      <c r="AD700" s="536"/>
      <c r="AE700" s="616"/>
      <c r="AF700" s="536"/>
      <c r="AG700" s="536"/>
      <c r="AH700" s="536"/>
      <c r="AI700" s="536"/>
      <c r="AJ700" s="536"/>
      <c r="AK700" s="536"/>
      <c r="AL700" s="536"/>
      <c r="AN700" s="597"/>
    </row>
    <row r="701" spans="1:51" s="550" customFormat="1" ht="12" customHeight="1">
      <c r="B701" s="536"/>
      <c r="C701" s="931"/>
      <c r="D701" s="536"/>
      <c r="E701" s="2495"/>
      <c r="F701" s="2495"/>
      <c r="G701" s="2495"/>
      <c r="H701" s="2495"/>
      <c r="I701" s="2495"/>
      <c r="J701" s="2495"/>
      <c r="K701" s="2495"/>
      <c r="L701" s="2495"/>
      <c r="M701" s="2495"/>
      <c r="N701" s="2495"/>
      <c r="O701" s="2495"/>
      <c r="P701" s="2495"/>
      <c r="Q701" s="2495"/>
      <c r="R701" s="2495"/>
      <c r="S701" s="2495"/>
      <c r="T701" s="2495"/>
      <c r="U701" s="2495"/>
      <c r="V701" s="2495"/>
      <c r="W701" s="2495"/>
      <c r="X701" s="2495"/>
      <c r="Y701" s="2495"/>
      <c r="Z701" s="2495"/>
      <c r="AA701" s="2495"/>
      <c r="AB701" s="2495"/>
      <c r="AC701" s="536"/>
      <c r="AD701" s="536"/>
      <c r="AE701" s="616"/>
      <c r="AF701" s="536"/>
      <c r="AG701" s="536"/>
      <c r="AH701" s="536"/>
      <c r="AI701" s="536"/>
      <c r="AJ701" s="536"/>
      <c r="AK701" s="536"/>
      <c r="AL701" s="536"/>
      <c r="AN701" s="597"/>
    </row>
    <row r="702" spans="1:51" s="550" customFormat="1" ht="12" customHeight="1">
      <c r="B702" s="536"/>
      <c r="C702" s="931"/>
      <c r="D702" s="536"/>
      <c r="E702" s="2495"/>
      <c r="F702" s="2495"/>
      <c r="G702" s="2495"/>
      <c r="H702" s="2495"/>
      <c r="I702" s="2495"/>
      <c r="J702" s="2495"/>
      <c r="K702" s="2495"/>
      <c r="L702" s="2495"/>
      <c r="M702" s="2495"/>
      <c r="N702" s="2495"/>
      <c r="O702" s="2495"/>
      <c r="P702" s="2495"/>
      <c r="Q702" s="2495"/>
      <c r="R702" s="2495"/>
      <c r="S702" s="2495"/>
      <c r="T702" s="2495"/>
      <c r="U702" s="2495"/>
      <c r="V702" s="2495"/>
      <c r="W702" s="2495"/>
      <c r="X702" s="2495"/>
      <c r="Y702" s="2495"/>
      <c r="Z702" s="2495"/>
      <c r="AA702" s="2495"/>
      <c r="AB702" s="2495"/>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5"/>
      <c r="F703" s="2495"/>
      <c r="G703" s="2495"/>
      <c r="H703" s="2495"/>
      <c r="I703" s="2495"/>
      <c r="J703" s="2495"/>
      <c r="K703" s="2495"/>
      <c r="L703" s="2495"/>
      <c r="M703" s="2495"/>
      <c r="N703" s="2495"/>
      <c r="O703" s="2495"/>
      <c r="P703" s="2495"/>
      <c r="Q703" s="2495"/>
      <c r="R703" s="2495"/>
      <c r="S703" s="2495"/>
      <c r="T703" s="2495"/>
      <c r="U703" s="2495"/>
      <c r="V703" s="2495"/>
      <c r="W703" s="2495"/>
      <c r="X703" s="2495"/>
      <c r="Y703" s="2495"/>
      <c r="Z703" s="2495"/>
      <c r="AA703" s="2495"/>
      <c r="AB703" s="2495"/>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5" t="s">
        <v>1694</v>
      </c>
      <c r="F705" s="2495"/>
      <c r="G705" s="2495"/>
      <c r="H705" s="2495"/>
      <c r="I705" s="2495"/>
      <c r="J705" s="2495"/>
      <c r="K705" s="2495"/>
      <c r="L705" s="2495"/>
      <c r="M705" s="2495"/>
      <c r="N705" s="2495"/>
      <c r="O705" s="2495"/>
      <c r="P705" s="2495"/>
      <c r="Q705" s="2495"/>
      <c r="R705" s="2495"/>
      <c r="S705" s="2495"/>
      <c r="T705" s="2495"/>
      <c r="U705" s="2495"/>
      <c r="V705" s="2495"/>
      <c r="W705" s="2495"/>
      <c r="X705" s="2495"/>
      <c r="Y705" s="2495"/>
      <c r="Z705" s="2495"/>
      <c r="AA705" s="2495"/>
      <c r="AB705" s="2495"/>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5"/>
      <c r="F706" s="2495"/>
      <c r="G706" s="2495"/>
      <c r="H706" s="2495"/>
      <c r="I706" s="2495"/>
      <c r="J706" s="2495"/>
      <c r="K706" s="2495"/>
      <c r="L706" s="2495"/>
      <c r="M706" s="2495"/>
      <c r="N706" s="2495"/>
      <c r="O706" s="2495"/>
      <c r="P706" s="2495"/>
      <c r="Q706" s="2495"/>
      <c r="R706" s="2495"/>
      <c r="S706" s="2495"/>
      <c r="T706" s="2495"/>
      <c r="U706" s="2495"/>
      <c r="V706" s="2495"/>
      <c r="W706" s="2495"/>
      <c r="X706" s="2495"/>
      <c r="Y706" s="2495"/>
      <c r="Z706" s="2495"/>
      <c r="AA706" s="2495"/>
      <c r="AB706" s="2495"/>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5"/>
      <c r="F707" s="2495"/>
      <c r="G707" s="2495"/>
      <c r="H707" s="2495"/>
      <c r="I707" s="2495"/>
      <c r="J707" s="2495"/>
      <c r="K707" s="2495"/>
      <c r="L707" s="2495"/>
      <c r="M707" s="2495"/>
      <c r="N707" s="2495"/>
      <c r="O707" s="2495"/>
      <c r="P707" s="2495"/>
      <c r="Q707" s="2495"/>
      <c r="R707" s="2495"/>
      <c r="S707" s="2495"/>
      <c r="T707" s="2495"/>
      <c r="U707" s="2495"/>
      <c r="V707" s="2495"/>
      <c r="W707" s="2495"/>
      <c r="X707" s="2495"/>
      <c r="Y707" s="2495"/>
      <c r="Z707" s="2495"/>
      <c r="AA707" s="2495"/>
      <c r="AB707" s="249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4" t="s">
        <v>688</v>
      </c>
      <c r="I709" s="252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5">
        <f>VLOOKUP($H$709,$AO$703:$AP$706,2,FALSE)</f>
        <v>3</v>
      </c>
      <c r="AK711" s="2477"/>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2" t="s">
        <v>1696</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36"/>
      <c r="AD715" s="536"/>
      <c r="AE715" s="536"/>
      <c r="AF715" s="2440" t="s">
        <v>1353</v>
      </c>
      <c r="AG715" s="2440"/>
      <c r="AH715" s="2440"/>
      <c r="AI715" s="2440"/>
      <c r="AJ715" s="2440"/>
      <c r="AK715" s="2440"/>
      <c r="AL715" s="2440"/>
      <c r="AM715" s="550"/>
      <c r="AN715" s="684"/>
      <c r="AP715" s="570" t="s">
        <v>1433</v>
      </c>
    </row>
    <row r="716" spans="1:43" s="570" customFormat="1" ht="11.85" customHeight="1">
      <c r="A716" s="550"/>
      <c r="B716" s="536"/>
      <c r="C716" s="933"/>
      <c r="D716" s="663"/>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3" t="s">
        <v>1436</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536"/>
      <c r="AD719" s="536"/>
      <c r="AE719" s="536"/>
      <c r="AF719" s="2440" t="s">
        <v>1409</v>
      </c>
      <c r="AG719" s="2440"/>
      <c r="AH719" s="2440"/>
      <c r="AI719" s="2440"/>
      <c r="AJ719" s="2440"/>
      <c r="AK719" s="2440"/>
      <c r="AL719" s="2440"/>
      <c r="AM719" s="550"/>
      <c r="AN719" s="685"/>
    </row>
    <row r="720" spans="1:43" s="570" customFormat="1" ht="12.75" customHeight="1">
      <c r="A720" s="550"/>
      <c r="B720" s="536"/>
      <c r="C720" s="933"/>
      <c r="D720" s="536"/>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4" t="s">
        <v>592</v>
      </c>
      <c r="I723" s="252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5">
        <f>VLOOKUP($H$723,$AP$720:$AQ$722,2,FALSE)</f>
        <v>0</v>
      </c>
      <c r="AK725" s="2477"/>
      <c r="AL725" s="595"/>
      <c r="AM725" s="550"/>
      <c r="AN725" s="684"/>
      <c r="AP725" s="2475"/>
      <c r="AQ725" s="2477"/>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5" t="s">
        <v>1697</v>
      </c>
      <c r="F729" s="2495"/>
      <c r="G729" s="2495"/>
      <c r="H729" s="2495"/>
      <c r="I729" s="2495"/>
      <c r="J729" s="2495"/>
      <c r="K729" s="2495"/>
      <c r="L729" s="2495"/>
      <c r="M729" s="2495"/>
      <c r="N729" s="2495"/>
      <c r="O729" s="2495"/>
      <c r="P729" s="2495"/>
      <c r="Q729" s="2495"/>
      <c r="R729" s="2495"/>
      <c r="S729" s="2495"/>
      <c r="T729" s="2495"/>
      <c r="U729" s="2495"/>
      <c r="V729" s="2495"/>
      <c r="W729" s="2495"/>
      <c r="X729" s="2495"/>
      <c r="Y729" s="2495"/>
      <c r="Z729" s="2495"/>
      <c r="AA729" s="2495"/>
      <c r="AB729" s="2495"/>
      <c r="AC729" s="536"/>
      <c r="AD729" s="536"/>
      <c r="AE729" s="536"/>
      <c r="AF729" s="2440" t="s">
        <v>1353</v>
      </c>
      <c r="AG729" s="2440"/>
      <c r="AH729" s="2440"/>
      <c r="AI729" s="2440"/>
      <c r="AJ729" s="2440"/>
      <c r="AK729" s="2440"/>
      <c r="AL729" s="2440"/>
      <c r="AM729" s="550"/>
      <c r="AN729" s="684"/>
      <c r="AT729" s="14"/>
      <c r="AU729" s="14"/>
      <c r="AV729" s="14"/>
      <c r="AW729" s="14"/>
      <c r="AX729" s="14"/>
      <c r="AY729" s="14"/>
      <c r="AZ729" s="14"/>
    </row>
    <row r="730" spans="1:81" s="570" customFormat="1">
      <c r="A730" s="550"/>
      <c r="B730" s="536"/>
      <c r="C730" s="933"/>
      <c r="D730" s="663"/>
      <c r="E730" s="2495"/>
      <c r="F730" s="2495"/>
      <c r="G730" s="2495"/>
      <c r="H730" s="2495"/>
      <c r="I730" s="2495"/>
      <c r="J730" s="2495"/>
      <c r="K730" s="2495"/>
      <c r="L730" s="2495"/>
      <c r="M730" s="2495"/>
      <c r="N730" s="2495"/>
      <c r="O730" s="2495"/>
      <c r="P730" s="2495"/>
      <c r="Q730" s="2495"/>
      <c r="R730" s="2495"/>
      <c r="S730" s="2495"/>
      <c r="T730" s="2495"/>
      <c r="U730" s="2495"/>
      <c r="V730" s="2495"/>
      <c r="W730" s="2495"/>
      <c r="X730" s="2495"/>
      <c r="Y730" s="2495"/>
      <c r="Z730" s="2495"/>
      <c r="AA730" s="2495"/>
      <c r="AB730" s="249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5" t="s">
        <v>1440</v>
      </c>
      <c r="F732" s="2495"/>
      <c r="G732" s="2495"/>
      <c r="H732" s="2495"/>
      <c r="I732" s="2495"/>
      <c r="J732" s="2495"/>
      <c r="K732" s="2495"/>
      <c r="L732" s="2495"/>
      <c r="M732" s="2495"/>
      <c r="N732" s="2495"/>
      <c r="O732" s="2495"/>
      <c r="P732" s="2495"/>
      <c r="Q732" s="2495"/>
      <c r="R732" s="2495"/>
      <c r="S732" s="2495"/>
      <c r="T732" s="2495"/>
      <c r="U732" s="2495"/>
      <c r="V732" s="2495"/>
      <c r="W732" s="2495"/>
      <c r="X732" s="2495"/>
      <c r="Y732" s="2495"/>
      <c r="Z732" s="2495"/>
      <c r="AA732" s="2495"/>
      <c r="AB732" s="2495"/>
      <c r="AC732" s="536"/>
      <c r="AD732" s="536"/>
      <c r="AE732" s="536"/>
      <c r="AF732" s="2440" t="s">
        <v>1409</v>
      </c>
      <c r="AG732" s="2440"/>
      <c r="AH732" s="2440"/>
      <c r="AI732" s="2440"/>
      <c r="AJ732" s="2440"/>
      <c r="AK732" s="2440"/>
      <c r="AL732" s="2440"/>
      <c r="AM732" s="550"/>
      <c r="AN732" s="684"/>
      <c r="AT732" s="14"/>
      <c r="AU732" s="14"/>
      <c r="AV732" s="14"/>
      <c r="AW732" s="14"/>
      <c r="AX732" s="14"/>
      <c r="AY732" s="14"/>
      <c r="AZ732" s="14"/>
    </row>
    <row r="733" spans="1:81" s="570" customFormat="1">
      <c r="A733" s="550"/>
      <c r="B733" s="536"/>
      <c r="C733" s="933"/>
      <c r="D733" s="536"/>
      <c r="E733" s="2495"/>
      <c r="F733" s="2495"/>
      <c r="G733" s="2495"/>
      <c r="H733" s="2495"/>
      <c r="I733" s="2495"/>
      <c r="J733" s="2495"/>
      <c r="K733" s="2495"/>
      <c r="L733" s="2495"/>
      <c r="M733" s="2495"/>
      <c r="N733" s="2495"/>
      <c r="O733" s="2495"/>
      <c r="P733" s="2495"/>
      <c r="Q733" s="2495"/>
      <c r="R733" s="2495"/>
      <c r="S733" s="2495"/>
      <c r="T733" s="2495"/>
      <c r="U733" s="2495"/>
      <c r="V733" s="2495"/>
      <c r="W733" s="2495"/>
      <c r="X733" s="2495"/>
      <c r="Y733" s="2495"/>
      <c r="Z733" s="2495"/>
      <c r="AA733" s="2495"/>
      <c r="AB733" s="249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4" t="s">
        <v>592</v>
      </c>
      <c r="I735" s="252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5">
        <f>VLOOKUP($H$735,$AO$666:$AP$668,2,FALSE)</f>
        <v>0</v>
      </c>
      <c r="AK737" s="2477"/>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5" t="s">
        <v>1443</v>
      </c>
      <c r="F741" s="2495"/>
      <c r="G741" s="2495"/>
      <c r="H741" s="2495"/>
      <c r="I741" s="2495"/>
      <c r="J741" s="2495"/>
      <c r="K741" s="2495"/>
      <c r="L741" s="2495"/>
      <c r="M741" s="2495"/>
      <c r="N741" s="2495"/>
      <c r="O741" s="2495"/>
      <c r="P741" s="2495"/>
      <c r="Q741" s="2495"/>
      <c r="R741" s="2495"/>
      <c r="S741" s="2495"/>
      <c r="T741" s="2495"/>
      <c r="U741" s="2495"/>
      <c r="V741" s="2495"/>
      <c r="W741" s="2495"/>
      <c r="X741" s="2495"/>
      <c r="Y741" s="2495"/>
      <c r="Z741" s="2495"/>
      <c r="AA741" s="2495"/>
      <c r="AB741" s="2495"/>
      <c r="AC741" s="536"/>
      <c r="AD741" s="536"/>
      <c r="AE741" s="536"/>
      <c r="AF741" s="2440" t="s">
        <v>1353</v>
      </c>
      <c r="AG741" s="2440"/>
      <c r="AH741" s="2440"/>
      <c r="AI741" s="2440"/>
      <c r="AJ741" s="2440"/>
      <c r="AK741" s="2440"/>
      <c r="AL741" s="2440"/>
      <c r="AM741" s="550"/>
      <c r="AN741" s="684"/>
      <c r="AT741" s="14"/>
      <c r="AU741" s="14"/>
      <c r="AV741" s="14"/>
      <c r="AW741" s="14"/>
      <c r="AX741" s="14"/>
      <c r="AY741" s="14"/>
      <c r="AZ741" s="14"/>
    </row>
    <row r="742" spans="1:81" s="570" customFormat="1">
      <c r="A742" s="550"/>
      <c r="B742" s="536"/>
      <c r="C742" s="931"/>
      <c r="D742" s="663"/>
      <c r="E742" s="2495"/>
      <c r="F742" s="2495"/>
      <c r="G742" s="2495"/>
      <c r="H742" s="2495"/>
      <c r="I742" s="2495"/>
      <c r="J742" s="2495"/>
      <c r="K742" s="2495"/>
      <c r="L742" s="2495"/>
      <c r="M742" s="2495"/>
      <c r="N742" s="2495"/>
      <c r="O742" s="2495"/>
      <c r="P742" s="2495"/>
      <c r="Q742" s="2495"/>
      <c r="R742" s="2495"/>
      <c r="S742" s="2495"/>
      <c r="T742" s="2495"/>
      <c r="U742" s="2495"/>
      <c r="V742" s="2495"/>
      <c r="W742" s="2495"/>
      <c r="X742" s="2495"/>
      <c r="Y742" s="2495"/>
      <c r="Z742" s="2495"/>
      <c r="AA742" s="2495"/>
      <c r="AB742" s="249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5"/>
      <c r="F743" s="2495"/>
      <c r="G743" s="2495"/>
      <c r="H743" s="2495"/>
      <c r="I743" s="2495"/>
      <c r="J743" s="2495"/>
      <c r="K743" s="2495"/>
      <c r="L743" s="2495"/>
      <c r="M743" s="2495"/>
      <c r="N743" s="2495"/>
      <c r="O743" s="2495"/>
      <c r="P743" s="2495"/>
      <c r="Q743" s="2495"/>
      <c r="R743" s="2495"/>
      <c r="S743" s="2495"/>
      <c r="T743" s="2495"/>
      <c r="U743" s="2495"/>
      <c r="V743" s="2495"/>
      <c r="W743" s="2495"/>
      <c r="X743" s="2495"/>
      <c r="Y743" s="2495"/>
      <c r="Z743" s="2495"/>
      <c r="AA743" s="2495"/>
      <c r="AB743" s="249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5"/>
      <c r="F744" s="2495"/>
      <c r="G744" s="2495"/>
      <c r="H744" s="2495"/>
      <c r="I744" s="2495"/>
      <c r="J744" s="2495"/>
      <c r="K744" s="2495"/>
      <c r="L744" s="2495"/>
      <c r="M744" s="2495"/>
      <c r="N744" s="2495"/>
      <c r="O744" s="2495"/>
      <c r="P744" s="2495"/>
      <c r="Q744" s="2495"/>
      <c r="R744" s="2495"/>
      <c r="S744" s="2495"/>
      <c r="T744" s="2495"/>
      <c r="U744" s="2495"/>
      <c r="V744" s="2495"/>
      <c r="W744" s="2495"/>
      <c r="X744" s="2495"/>
      <c r="Y744" s="2495"/>
      <c r="Z744" s="2495"/>
      <c r="AA744" s="2495"/>
      <c r="AB744" s="249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5" t="s">
        <v>1444</v>
      </c>
      <c r="F746" s="2495"/>
      <c r="G746" s="2495"/>
      <c r="H746" s="2495"/>
      <c r="I746" s="2495"/>
      <c r="J746" s="2495"/>
      <c r="K746" s="2495"/>
      <c r="L746" s="2495"/>
      <c r="M746" s="2495"/>
      <c r="N746" s="2495"/>
      <c r="O746" s="2495"/>
      <c r="P746" s="2495"/>
      <c r="Q746" s="2495"/>
      <c r="R746" s="2495"/>
      <c r="S746" s="2495"/>
      <c r="T746" s="2495"/>
      <c r="U746" s="2495"/>
      <c r="V746" s="2495"/>
      <c r="W746" s="2495"/>
      <c r="X746" s="2495"/>
      <c r="Y746" s="2495"/>
      <c r="Z746" s="2495"/>
      <c r="AA746" s="2495"/>
      <c r="AB746" s="575"/>
      <c r="AC746" s="536"/>
      <c r="AD746" s="536"/>
      <c r="AE746" s="536"/>
      <c r="AF746" s="2440" t="s">
        <v>1409</v>
      </c>
      <c r="AG746" s="2440"/>
      <c r="AH746" s="2440"/>
      <c r="AI746" s="2440"/>
      <c r="AJ746" s="2440"/>
      <c r="AK746" s="2440"/>
      <c r="AL746" s="2440"/>
      <c r="AM746" s="550"/>
      <c r="AN746" s="684"/>
      <c r="AO746" s="30"/>
      <c r="AP746" s="14"/>
    </row>
    <row r="747" spans="1:81" s="570" customFormat="1">
      <c r="A747" s="550"/>
      <c r="B747" s="536"/>
      <c r="C747" s="931"/>
      <c r="D747" s="663"/>
      <c r="E747" s="2495"/>
      <c r="F747" s="2495"/>
      <c r="G747" s="2495"/>
      <c r="H747" s="2495"/>
      <c r="I747" s="2495"/>
      <c r="J747" s="2495"/>
      <c r="K747" s="2495"/>
      <c r="L747" s="2495"/>
      <c r="M747" s="2495"/>
      <c r="N747" s="2495"/>
      <c r="O747" s="2495"/>
      <c r="P747" s="2495"/>
      <c r="Q747" s="2495"/>
      <c r="R747" s="2495"/>
      <c r="S747" s="2495"/>
      <c r="T747" s="2495"/>
      <c r="U747" s="2495"/>
      <c r="V747" s="2495"/>
      <c r="W747" s="2495"/>
      <c r="X747" s="2495"/>
      <c r="Y747" s="2495"/>
      <c r="Z747" s="2495"/>
      <c r="AA747" s="2495"/>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5"/>
      <c r="F748" s="2495"/>
      <c r="G748" s="2495"/>
      <c r="H748" s="2495"/>
      <c r="I748" s="2495"/>
      <c r="J748" s="2495"/>
      <c r="K748" s="2495"/>
      <c r="L748" s="2495"/>
      <c r="M748" s="2495"/>
      <c r="N748" s="2495"/>
      <c r="O748" s="2495"/>
      <c r="P748" s="2495"/>
      <c r="Q748" s="2495"/>
      <c r="R748" s="2495"/>
      <c r="S748" s="2495"/>
      <c r="T748" s="2495"/>
      <c r="U748" s="2495"/>
      <c r="V748" s="2495"/>
      <c r="W748" s="2495"/>
      <c r="X748" s="2495"/>
      <c r="Y748" s="2495"/>
      <c r="Z748" s="2495"/>
      <c r="AA748" s="2495"/>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5"/>
      <c r="F749" s="2495"/>
      <c r="G749" s="2495"/>
      <c r="H749" s="2495"/>
      <c r="I749" s="2495"/>
      <c r="J749" s="2495"/>
      <c r="K749" s="2495"/>
      <c r="L749" s="2495"/>
      <c r="M749" s="2495"/>
      <c r="N749" s="2495"/>
      <c r="O749" s="2495"/>
      <c r="P749" s="2495"/>
      <c r="Q749" s="2495"/>
      <c r="R749" s="2495"/>
      <c r="S749" s="2495"/>
      <c r="T749" s="2495"/>
      <c r="U749" s="2495"/>
      <c r="V749" s="2495"/>
      <c r="W749" s="2495"/>
      <c r="X749" s="2495"/>
      <c r="Y749" s="2495"/>
      <c r="Z749" s="2495"/>
      <c r="AA749" s="2495"/>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4" t="s">
        <v>688</v>
      </c>
      <c r="I751" s="252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5">
        <f>VLOOKUP($H$751,$AO$680:$AP$682,2,FALSE)</f>
        <v>3</v>
      </c>
      <c r="AK753" s="2477"/>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5" t="s">
        <v>1446</v>
      </c>
      <c r="F757" s="2495"/>
      <c r="G757" s="2495"/>
      <c r="H757" s="2495"/>
      <c r="I757" s="2495"/>
      <c r="J757" s="2495"/>
      <c r="K757" s="2495"/>
      <c r="L757" s="2495"/>
      <c r="M757" s="2495"/>
      <c r="N757" s="2495"/>
      <c r="O757" s="2495"/>
      <c r="P757" s="2495"/>
      <c r="Q757" s="2495"/>
      <c r="R757" s="2495"/>
      <c r="S757" s="2495"/>
      <c r="T757" s="2495"/>
      <c r="U757" s="2495"/>
      <c r="V757" s="2495"/>
      <c r="W757" s="2495"/>
      <c r="X757" s="2495"/>
      <c r="Y757" s="2495"/>
      <c r="Z757" s="2495"/>
      <c r="AA757" s="2495"/>
      <c r="AB757" s="2495"/>
      <c r="AC757" s="536"/>
      <c r="AD757" s="536"/>
      <c r="AE757" s="536"/>
      <c r="AF757" s="2440" t="s">
        <v>1409</v>
      </c>
      <c r="AG757" s="2440"/>
      <c r="AH757" s="2440"/>
      <c r="AI757" s="2440"/>
      <c r="AJ757" s="2440"/>
      <c r="AK757" s="2440"/>
      <c r="AL757" s="244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5"/>
      <c r="F758" s="2495"/>
      <c r="G758" s="2495"/>
      <c r="H758" s="2495"/>
      <c r="I758" s="2495"/>
      <c r="J758" s="2495"/>
      <c r="K758" s="2495"/>
      <c r="L758" s="2495"/>
      <c r="M758" s="2495"/>
      <c r="N758" s="2495"/>
      <c r="O758" s="2495"/>
      <c r="P758" s="2495"/>
      <c r="Q758" s="2495"/>
      <c r="R758" s="2495"/>
      <c r="S758" s="2495"/>
      <c r="T758" s="2495"/>
      <c r="U758" s="2495"/>
      <c r="V758" s="2495"/>
      <c r="W758" s="2495"/>
      <c r="X758" s="2495"/>
      <c r="Y758" s="2495"/>
      <c r="Z758" s="2495"/>
      <c r="AA758" s="2495"/>
      <c r="AB758" s="249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5" t="s">
        <v>1447</v>
      </c>
      <c r="F760" s="2495"/>
      <c r="G760" s="2495"/>
      <c r="H760" s="2495"/>
      <c r="I760" s="2495"/>
      <c r="J760" s="2495"/>
      <c r="K760" s="2495"/>
      <c r="L760" s="2495"/>
      <c r="M760" s="2495"/>
      <c r="N760" s="2495"/>
      <c r="O760" s="2495"/>
      <c r="P760" s="2495"/>
      <c r="Q760" s="2495"/>
      <c r="R760" s="2495"/>
      <c r="S760" s="2495"/>
      <c r="T760" s="2495"/>
      <c r="U760" s="2495"/>
      <c r="V760" s="2495"/>
      <c r="W760" s="2495"/>
      <c r="X760" s="2495"/>
      <c r="Y760" s="2495"/>
      <c r="Z760" s="2495"/>
      <c r="AA760" s="2495"/>
      <c r="AB760" s="2495"/>
      <c r="AC760" s="536"/>
      <c r="AD760" s="536"/>
      <c r="AE760" s="536"/>
      <c r="AF760" s="2440" t="s">
        <v>1426</v>
      </c>
      <c r="AG760" s="2440"/>
      <c r="AH760" s="2440"/>
      <c r="AI760" s="2440"/>
      <c r="AJ760" s="2440"/>
      <c r="AK760" s="2440"/>
      <c r="AL760" s="244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5"/>
      <c r="F761" s="2495"/>
      <c r="G761" s="2495"/>
      <c r="H761" s="2495"/>
      <c r="I761" s="2495"/>
      <c r="J761" s="2495"/>
      <c r="K761" s="2495"/>
      <c r="L761" s="2495"/>
      <c r="M761" s="2495"/>
      <c r="N761" s="2495"/>
      <c r="O761" s="2495"/>
      <c r="P761" s="2495"/>
      <c r="Q761" s="2495"/>
      <c r="R761" s="2495"/>
      <c r="S761" s="2495"/>
      <c r="T761" s="2495"/>
      <c r="U761" s="2495"/>
      <c r="V761" s="2495"/>
      <c r="W761" s="2495"/>
      <c r="X761" s="2495"/>
      <c r="Y761" s="2495"/>
      <c r="Z761" s="2495"/>
      <c r="AA761" s="2495"/>
      <c r="AB761" s="249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4" t="s">
        <v>688</v>
      </c>
      <c r="I763" s="252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5">
        <f>VLOOKUP($H$763,$AO$697:$AP$699,2,FALSE)</f>
        <v>2</v>
      </c>
      <c r="AK765" s="2477"/>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5" t="s">
        <v>1693</v>
      </c>
      <c r="F769" s="2495"/>
      <c r="G769" s="2495"/>
      <c r="H769" s="2495"/>
      <c r="I769" s="2495"/>
      <c r="J769" s="2495"/>
      <c r="K769" s="2495"/>
      <c r="L769" s="2495"/>
      <c r="M769" s="2495"/>
      <c r="N769" s="2495"/>
      <c r="O769" s="2495"/>
      <c r="P769" s="2495"/>
      <c r="Q769" s="2495"/>
      <c r="R769" s="2495"/>
      <c r="S769" s="2495"/>
      <c r="T769" s="2495"/>
      <c r="U769" s="2495"/>
      <c r="V769" s="2495"/>
      <c r="W769" s="2495"/>
      <c r="X769" s="2495"/>
      <c r="Y769" s="2495"/>
      <c r="Z769" s="2495"/>
      <c r="AA769" s="2495"/>
      <c r="AB769" s="2495"/>
      <c r="AC769" s="2495"/>
      <c r="AD769" s="2495"/>
      <c r="AE769" s="536"/>
      <c r="AF769" s="2440" t="s">
        <v>1409</v>
      </c>
      <c r="AG769" s="2440"/>
      <c r="AH769" s="2440"/>
      <c r="AI769" s="2440"/>
      <c r="AJ769" s="2440"/>
      <c r="AK769" s="2440"/>
      <c r="AL769" s="2440"/>
      <c r="AM769" s="613"/>
      <c r="AN769" s="684"/>
      <c r="AO769" s="550" t="s">
        <v>592</v>
      </c>
      <c r="AP769" s="673">
        <v>0</v>
      </c>
    </row>
    <row r="770" spans="1:81" s="570" customFormat="1" ht="13.7" customHeight="1">
      <c r="A770" s="550"/>
      <c r="B770" s="616"/>
      <c r="C770" s="940"/>
      <c r="D770" s="663"/>
      <c r="E770" s="2495"/>
      <c r="F770" s="2495"/>
      <c r="G770" s="2495"/>
      <c r="H770" s="2495"/>
      <c r="I770" s="2495"/>
      <c r="J770" s="2495"/>
      <c r="K770" s="2495"/>
      <c r="L770" s="2495"/>
      <c r="M770" s="2495"/>
      <c r="N770" s="2495"/>
      <c r="O770" s="2495"/>
      <c r="P770" s="2495"/>
      <c r="Q770" s="2495"/>
      <c r="R770" s="2495"/>
      <c r="S770" s="2495"/>
      <c r="T770" s="2495"/>
      <c r="U770" s="2495"/>
      <c r="V770" s="2495"/>
      <c r="W770" s="2495"/>
      <c r="X770" s="2495"/>
      <c r="Y770" s="2495"/>
      <c r="Z770" s="2495"/>
      <c r="AA770" s="2495"/>
      <c r="AB770" s="2495"/>
      <c r="AC770" s="2495"/>
      <c r="AD770" s="2495"/>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5"/>
      <c r="F771" s="2495"/>
      <c r="G771" s="2495"/>
      <c r="H771" s="2495"/>
      <c r="I771" s="2495"/>
      <c r="J771" s="2495"/>
      <c r="K771" s="2495"/>
      <c r="L771" s="2495"/>
      <c r="M771" s="2495"/>
      <c r="N771" s="2495"/>
      <c r="O771" s="2495"/>
      <c r="P771" s="2495"/>
      <c r="Q771" s="2495"/>
      <c r="R771" s="2495"/>
      <c r="S771" s="2495"/>
      <c r="T771" s="2495"/>
      <c r="U771" s="2495"/>
      <c r="V771" s="2495"/>
      <c r="W771" s="2495"/>
      <c r="X771" s="2495"/>
      <c r="Y771" s="2495"/>
      <c r="Z771" s="2495"/>
      <c r="AA771" s="2495"/>
      <c r="AB771" s="2495"/>
      <c r="AC771" s="2495"/>
      <c r="AD771" s="2495"/>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5"/>
      <c r="F772" s="2495"/>
      <c r="G772" s="2495"/>
      <c r="H772" s="2495"/>
      <c r="I772" s="2495"/>
      <c r="J772" s="2495"/>
      <c r="K772" s="2495"/>
      <c r="L772" s="2495"/>
      <c r="M772" s="2495"/>
      <c r="N772" s="2495"/>
      <c r="O772" s="2495"/>
      <c r="P772" s="2495"/>
      <c r="Q772" s="2495"/>
      <c r="R772" s="2495"/>
      <c r="S772" s="2495"/>
      <c r="T772" s="2495"/>
      <c r="U772" s="2495"/>
      <c r="V772" s="2495"/>
      <c r="W772" s="2495"/>
      <c r="X772" s="2495"/>
      <c r="Y772" s="2495"/>
      <c r="Z772" s="2495"/>
      <c r="AA772" s="2495"/>
      <c r="AB772" s="2495"/>
      <c r="AC772" s="2495"/>
      <c r="AD772" s="249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4" t="s">
        <v>1698</v>
      </c>
      <c r="F774" s="2534"/>
      <c r="G774" s="2534"/>
      <c r="H774" s="2534"/>
      <c r="I774" s="2534"/>
      <c r="J774" s="2534"/>
      <c r="K774" s="2534"/>
      <c r="L774" s="2534"/>
      <c r="M774" s="2534"/>
      <c r="N774" s="2534"/>
      <c r="O774" s="2534"/>
      <c r="P774" s="2534"/>
      <c r="Q774" s="2534"/>
      <c r="R774" s="2534"/>
      <c r="S774" s="2534"/>
      <c r="T774" s="2534"/>
      <c r="U774" s="2534"/>
      <c r="V774" s="2534"/>
      <c r="W774" s="2534"/>
      <c r="X774" s="2534"/>
      <c r="Y774" s="2534"/>
      <c r="Z774" s="2534"/>
      <c r="AA774" s="2534"/>
      <c r="AB774" s="2534"/>
      <c r="AC774" s="2534"/>
      <c r="AD774" s="2534"/>
      <c r="AE774" s="536"/>
      <c r="AF774" s="2440" t="s">
        <v>1353</v>
      </c>
      <c r="AG774" s="2440"/>
      <c r="AH774" s="2440"/>
      <c r="AI774" s="2440"/>
      <c r="AJ774" s="2440"/>
      <c r="AK774" s="2440"/>
      <c r="AL774" s="2440"/>
      <c r="AM774" s="613"/>
      <c r="AN774" s="597"/>
    </row>
    <row r="775" spans="1:81" s="550" customFormat="1" ht="12.75" customHeight="1">
      <c r="B775" s="616"/>
      <c r="C775" s="940"/>
      <c r="D775" s="663"/>
      <c r="E775" s="2534"/>
      <c r="F775" s="2534"/>
      <c r="G775" s="2534"/>
      <c r="H775" s="2534"/>
      <c r="I775" s="2534"/>
      <c r="J775" s="2534"/>
      <c r="K775" s="2534"/>
      <c r="L775" s="2534"/>
      <c r="M775" s="2534"/>
      <c r="N775" s="2534"/>
      <c r="O775" s="2534"/>
      <c r="P775" s="2534"/>
      <c r="Q775" s="2534"/>
      <c r="R775" s="2534"/>
      <c r="S775" s="2534"/>
      <c r="T775" s="2534"/>
      <c r="U775" s="2534"/>
      <c r="V775" s="2534"/>
      <c r="W775" s="2534"/>
      <c r="X775" s="2534"/>
      <c r="Y775" s="2534"/>
      <c r="Z775" s="2534"/>
      <c r="AA775" s="2534"/>
      <c r="AB775" s="2534"/>
      <c r="AC775" s="2534"/>
      <c r="AD775" s="2534"/>
      <c r="AE775" s="594"/>
      <c r="AF775" s="594"/>
      <c r="AG775" s="594"/>
      <c r="AH775" s="594"/>
      <c r="AI775" s="594"/>
      <c r="AJ775" s="594"/>
      <c r="AK775" s="594"/>
      <c r="AL775" s="594"/>
      <c r="AM775" s="613"/>
      <c r="AN775" s="597"/>
    </row>
    <row r="776" spans="1:81" s="550" customFormat="1" ht="12.75" customHeight="1">
      <c r="B776" s="616"/>
      <c r="C776" s="940"/>
      <c r="D776" s="663"/>
      <c r="E776" s="2534"/>
      <c r="F776" s="2534"/>
      <c r="G776" s="2534"/>
      <c r="H776" s="2534"/>
      <c r="I776" s="2534"/>
      <c r="J776" s="2534"/>
      <c r="K776" s="2534"/>
      <c r="L776" s="2534"/>
      <c r="M776" s="2534"/>
      <c r="N776" s="2534"/>
      <c r="O776" s="2534"/>
      <c r="P776" s="2534"/>
      <c r="Q776" s="2534"/>
      <c r="R776" s="2534"/>
      <c r="S776" s="2534"/>
      <c r="T776" s="2534"/>
      <c r="U776" s="2534"/>
      <c r="V776" s="2534"/>
      <c r="W776" s="2534"/>
      <c r="X776" s="2534"/>
      <c r="Y776" s="2534"/>
      <c r="Z776" s="2534"/>
      <c r="AA776" s="2534"/>
      <c r="AB776" s="2534"/>
      <c r="AC776" s="2534"/>
      <c r="AD776" s="2534"/>
      <c r="AE776" s="594"/>
      <c r="AF776" s="594"/>
      <c r="AG776" s="594"/>
      <c r="AH776" s="594"/>
      <c r="AI776" s="594"/>
      <c r="AJ776" s="594"/>
      <c r="AK776" s="594"/>
      <c r="AL776" s="594"/>
      <c r="AM776" s="613"/>
      <c r="AN776" s="597"/>
    </row>
    <row r="777" spans="1:81" s="550" customFormat="1" ht="12.75" customHeight="1">
      <c r="B777" s="616"/>
      <c r="C777" s="940"/>
      <c r="D777" s="663"/>
      <c r="E777" s="2534"/>
      <c r="F777" s="2534"/>
      <c r="G777" s="2534"/>
      <c r="H777" s="2534"/>
      <c r="I777" s="2534"/>
      <c r="J777" s="2534"/>
      <c r="K777" s="2534"/>
      <c r="L777" s="2534"/>
      <c r="M777" s="2534"/>
      <c r="N777" s="2534"/>
      <c r="O777" s="2534"/>
      <c r="P777" s="2534"/>
      <c r="Q777" s="2534"/>
      <c r="R777" s="2534"/>
      <c r="S777" s="2534"/>
      <c r="T777" s="2534"/>
      <c r="U777" s="2534"/>
      <c r="V777" s="2534"/>
      <c r="W777" s="2534"/>
      <c r="X777" s="2534"/>
      <c r="Y777" s="2534"/>
      <c r="Z777" s="2534"/>
      <c r="AA777" s="2534"/>
      <c r="AB777" s="2534"/>
      <c r="AC777" s="2534"/>
      <c r="AD777" s="2534"/>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4" t="s">
        <v>592</v>
      </c>
      <c r="I779" s="252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5">
        <f>VLOOKUP($H$779,$AO$769:$AP$771,2,FALSE)</f>
        <v>0</v>
      </c>
      <c r="AK781" s="2477"/>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5" t="s">
        <v>2033</v>
      </c>
      <c r="F785" s="2495"/>
      <c r="G785" s="2495"/>
      <c r="H785" s="2495"/>
      <c r="I785" s="2495"/>
      <c r="J785" s="2495"/>
      <c r="K785" s="2495"/>
      <c r="L785" s="2495"/>
      <c r="M785" s="2495"/>
      <c r="N785" s="2495"/>
      <c r="O785" s="2495"/>
      <c r="P785" s="2495"/>
      <c r="Q785" s="2495"/>
      <c r="R785" s="2495"/>
      <c r="S785" s="2495"/>
      <c r="T785" s="2495"/>
      <c r="U785" s="2495"/>
      <c r="V785" s="2495"/>
      <c r="W785" s="2495"/>
      <c r="X785" s="2495"/>
      <c r="Y785" s="2495"/>
      <c r="Z785" s="2495"/>
      <c r="AA785" s="2495"/>
      <c r="AB785" s="2495"/>
      <c r="AC785" s="2495"/>
      <c r="AD785" s="2495"/>
      <c r="AE785" s="536"/>
      <c r="AF785" s="2440" t="s">
        <v>1353</v>
      </c>
      <c r="AG785" s="2440"/>
      <c r="AH785" s="2440"/>
      <c r="AI785" s="2440"/>
      <c r="AJ785" s="2440"/>
      <c r="AK785" s="2440"/>
      <c r="AL785" s="2440"/>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5"/>
      <c r="F786" s="2495"/>
      <c r="G786" s="2495"/>
      <c r="H786" s="2495"/>
      <c r="I786" s="2495"/>
      <c r="J786" s="2495"/>
      <c r="K786" s="2495"/>
      <c r="L786" s="2495"/>
      <c r="M786" s="2495"/>
      <c r="N786" s="2495"/>
      <c r="O786" s="2495"/>
      <c r="P786" s="2495"/>
      <c r="Q786" s="2495"/>
      <c r="R786" s="2495"/>
      <c r="S786" s="2495"/>
      <c r="T786" s="2495"/>
      <c r="U786" s="2495"/>
      <c r="V786" s="2495"/>
      <c r="W786" s="2495"/>
      <c r="X786" s="2495"/>
      <c r="Y786" s="2495"/>
      <c r="Z786" s="2495"/>
      <c r="AA786" s="2495"/>
      <c r="AB786" s="2495"/>
      <c r="AC786" s="2495"/>
      <c r="AD786" s="249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5"/>
      <c r="F787" s="2495"/>
      <c r="G787" s="2495"/>
      <c r="H787" s="2495"/>
      <c r="I787" s="2495"/>
      <c r="J787" s="2495"/>
      <c r="K787" s="2495"/>
      <c r="L787" s="2495"/>
      <c r="M787" s="2495"/>
      <c r="N787" s="2495"/>
      <c r="O787" s="2495"/>
      <c r="P787" s="2495"/>
      <c r="Q787" s="2495"/>
      <c r="R787" s="2495"/>
      <c r="S787" s="2495"/>
      <c r="T787" s="2495"/>
      <c r="U787" s="2495"/>
      <c r="V787" s="2495"/>
      <c r="W787" s="2495"/>
      <c r="X787" s="2495"/>
      <c r="Y787" s="2495"/>
      <c r="Z787" s="2495"/>
      <c r="AA787" s="2495"/>
      <c r="AB787" s="2495"/>
      <c r="AC787" s="2495"/>
      <c r="AD787" s="249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5"/>
      <c r="F788" s="2495"/>
      <c r="G788" s="2495"/>
      <c r="H788" s="2495"/>
      <c r="I788" s="2495"/>
      <c r="J788" s="2495"/>
      <c r="K788" s="2495"/>
      <c r="L788" s="2495"/>
      <c r="M788" s="2495"/>
      <c r="N788" s="2495"/>
      <c r="O788" s="2495"/>
      <c r="P788" s="2495"/>
      <c r="Q788" s="2495"/>
      <c r="R788" s="2495"/>
      <c r="S788" s="2495"/>
      <c r="T788" s="2495"/>
      <c r="U788" s="2495"/>
      <c r="V788" s="2495"/>
      <c r="W788" s="2495"/>
      <c r="X788" s="2495"/>
      <c r="Y788" s="2495"/>
      <c r="Z788" s="2495"/>
      <c r="AA788" s="2495"/>
      <c r="AB788" s="2495"/>
      <c r="AC788" s="2495"/>
      <c r="AD788" s="249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4" t="s">
        <v>546</v>
      </c>
      <c r="I790" s="252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5">
        <f>VLOOKUP($H$790,$AO$784:$AP$785,2,FALSE)</f>
        <v>3</v>
      </c>
      <c r="AK792" s="2477"/>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5">
        <f>IF(($AJ$621+$AJ$640+$AJ$652+$AJ$687+$AJ$711+$AJ$725+$AJ$737+$AJ$753+$AJ$765+$AJ$781+AJ792)&gt;10,10,($AJ$621+$AJ$640+$AJ$652+$AJ$687+$AJ$711+$AJ$725+$AJ$737+$AJ$753+$AJ$765+$AJ$781+AJ792))</f>
        <v>10</v>
      </c>
      <c r="AL794" s="2476"/>
      <c r="AM794" s="2477"/>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8" t="s">
        <v>1569</v>
      </c>
      <c r="B797" s="2569"/>
      <c r="C797" s="2569"/>
      <c r="D797" s="2569"/>
      <c r="E797" s="2569"/>
      <c r="F797" s="2569"/>
      <c r="G797" s="2569"/>
      <c r="H797" s="2569"/>
      <c r="I797" s="2569"/>
      <c r="J797" s="2569"/>
      <c r="K797" s="2569"/>
      <c r="L797" s="2569"/>
      <c r="M797" s="2569"/>
      <c r="N797" s="2569"/>
      <c r="O797" s="2569"/>
      <c r="P797" s="2569"/>
      <c r="Q797" s="2569"/>
      <c r="R797" s="2569"/>
      <c r="S797" s="2569"/>
      <c r="T797" s="2569"/>
      <c r="U797" s="2569"/>
      <c r="V797" s="2569"/>
      <c r="W797" s="2569"/>
      <c r="X797" s="2569"/>
      <c r="Y797" s="2569"/>
      <c r="Z797" s="2569"/>
      <c r="AA797" s="2569"/>
      <c r="AB797" s="2569"/>
      <c r="AC797" s="2569"/>
      <c r="AD797" s="2569"/>
      <c r="AE797" s="2569"/>
      <c r="AF797" s="2569"/>
      <c r="AG797" s="2569"/>
      <c r="AH797" s="2569"/>
      <c r="AI797" s="2569"/>
      <c r="AJ797" s="2569"/>
      <c r="AK797" s="2569"/>
      <c r="AL797" s="2569"/>
      <c r="AM797" s="2569"/>
    </row>
    <row r="798" spans="1:81">
      <c r="A798" s="2570"/>
      <c r="B798" s="2570"/>
      <c r="C798" s="2570"/>
      <c r="D798" s="2570"/>
      <c r="E798" s="2570"/>
      <c r="F798" s="2570"/>
      <c r="G798" s="2570"/>
      <c r="H798" s="2570"/>
      <c r="I798" s="2570"/>
      <c r="J798" s="2570"/>
      <c r="K798" s="2570"/>
      <c r="L798" s="2570"/>
      <c r="M798" s="2570"/>
      <c r="N798" s="2570"/>
      <c r="O798" s="2570"/>
      <c r="P798" s="2570"/>
      <c r="Q798" s="2570"/>
      <c r="R798" s="2570"/>
      <c r="S798" s="2570"/>
      <c r="T798" s="2570"/>
      <c r="U798" s="2570"/>
      <c r="V798" s="2570"/>
      <c r="W798" s="2570"/>
      <c r="X798" s="2570"/>
      <c r="Y798" s="2570"/>
      <c r="Z798" s="2570"/>
      <c r="AA798" s="2570"/>
      <c r="AB798" s="2570"/>
      <c r="AC798" s="2570"/>
      <c r="AD798" s="2570"/>
      <c r="AE798" s="2570"/>
      <c r="AF798" s="2570"/>
      <c r="AG798" s="2570"/>
      <c r="AH798" s="2570"/>
      <c r="AI798" s="2570"/>
      <c r="AJ798" s="2570"/>
      <c r="AK798" s="2570"/>
      <c r="AL798" s="2570"/>
      <c r="AM798" s="2570"/>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6"/>
      <c r="B800" s="2516"/>
      <c r="C800" s="2516"/>
      <c r="D800" s="2516"/>
      <c r="E800" s="2516"/>
      <c r="F800" s="2516"/>
      <c r="G800" s="2516"/>
      <c r="H800" s="2516"/>
      <c r="I800" s="2516"/>
      <c r="J800" s="2516"/>
      <c r="K800" s="2516"/>
      <c r="L800" s="2516"/>
      <c r="M800" s="2516"/>
      <c r="N800" s="2516"/>
      <c r="O800" s="2516"/>
      <c r="P800" s="2516"/>
      <c r="Q800" s="2516"/>
      <c r="R800" s="2516"/>
      <c r="S800" s="2516"/>
      <c r="T800" s="2516"/>
      <c r="U800" s="2516"/>
      <c r="V800" s="2516"/>
      <c r="W800" s="2516"/>
      <c r="X800" s="2516"/>
      <c r="Y800" s="2516"/>
      <c r="Z800" s="2516"/>
      <c r="AA800" s="2516"/>
      <c r="AB800" s="2516"/>
      <c r="AC800" s="2516"/>
      <c r="AD800" s="2516"/>
      <c r="AE800" s="2516"/>
      <c r="AF800" s="2516"/>
      <c r="AG800" s="2516"/>
      <c r="AH800" s="2516"/>
      <c r="AI800" s="2516"/>
      <c r="AJ800" s="2516"/>
      <c r="AK800" s="2516"/>
      <c r="AL800" s="2516"/>
      <c r="AM800" s="2516"/>
      <c r="AP800" s="816"/>
      <c r="AQ800" s="816"/>
    </row>
    <row r="801" spans="1:81">
      <c r="A801" s="2516"/>
      <c r="B801" s="2516"/>
      <c r="C801" s="2516"/>
      <c r="D801" s="2516"/>
      <c r="E801" s="2516"/>
      <c r="F801" s="2516"/>
      <c r="G801" s="2516"/>
      <c r="H801" s="2516"/>
      <c r="I801" s="2516"/>
      <c r="J801" s="2516"/>
      <c r="K801" s="2516"/>
      <c r="L801" s="2516"/>
      <c r="M801" s="2516"/>
      <c r="N801" s="2516"/>
      <c r="O801" s="2516"/>
      <c r="P801" s="2516"/>
      <c r="Q801" s="2516"/>
      <c r="R801" s="2516"/>
      <c r="S801" s="2516"/>
      <c r="T801" s="2516"/>
      <c r="U801" s="2516"/>
      <c r="V801" s="2516"/>
      <c r="W801" s="2516"/>
      <c r="X801" s="2516"/>
      <c r="Y801" s="2516"/>
      <c r="Z801" s="2516"/>
      <c r="AA801" s="2516"/>
      <c r="AB801" s="2516"/>
      <c r="AC801" s="2516"/>
      <c r="AD801" s="2516"/>
      <c r="AE801" s="2516"/>
      <c r="AF801" s="2516"/>
      <c r="AG801" s="2516"/>
      <c r="AH801" s="2516"/>
      <c r="AI801" s="2516"/>
      <c r="AJ801" s="2516"/>
      <c r="AK801" s="2516"/>
      <c r="AL801" s="2516"/>
      <c r="AM801" s="2516"/>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1" t="s">
        <v>1570</v>
      </c>
      <c r="U802" s="2572"/>
      <c r="V802" s="2572"/>
      <c r="W802" s="2572"/>
      <c r="X802" s="2572"/>
      <c r="Y802" s="2573"/>
      <c r="Z802" s="2571" t="s">
        <v>1571</v>
      </c>
      <c r="AA802" s="2572"/>
      <c r="AB802" s="2572"/>
      <c r="AC802" s="2572"/>
      <c r="AD802" s="2572"/>
      <c r="AE802" s="2573"/>
      <c r="AF802" s="2571" t="s">
        <v>1572</v>
      </c>
      <c r="AG802" s="2572"/>
      <c r="AH802" s="2572"/>
      <c r="AI802" s="2572"/>
      <c r="AJ802" s="2572"/>
      <c r="AK802" s="2573"/>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4"/>
      <c r="U803" s="2575"/>
      <c r="V803" s="2575"/>
      <c r="W803" s="2575"/>
      <c r="X803" s="2575"/>
      <c r="Y803" s="2576"/>
      <c r="Z803" s="2574"/>
      <c r="AA803" s="2575"/>
      <c r="AB803" s="2575"/>
      <c r="AC803" s="2575"/>
      <c r="AD803" s="2575"/>
      <c r="AE803" s="2576"/>
      <c r="AF803" s="2574"/>
      <c r="AG803" s="2575"/>
      <c r="AH803" s="2575"/>
      <c r="AI803" s="2575"/>
      <c r="AJ803" s="2575"/>
      <c r="AK803" s="2576"/>
      <c r="AL803" s="818"/>
      <c r="AM803" s="596"/>
      <c r="AO803" s="816"/>
      <c r="AP803" s="816"/>
      <c r="AQ803" s="816"/>
    </row>
    <row r="804" spans="1:81">
      <c r="A804" s="819" t="s">
        <v>758</v>
      </c>
      <c r="B804" s="2551" t="s">
        <v>1305</v>
      </c>
      <c r="C804" s="2551"/>
      <c r="D804" s="2551"/>
      <c r="E804" s="2551"/>
      <c r="F804" s="2551"/>
      <c r="G804" s="2551"/>
      <c r="H804" s="2551"/>
      <c r="I804" s="2551"/>
      <c r="J804" s="2551"/>
      <c r="K804" s="2551"/>
      <c r="L804" s="2551"/>
      <c r="M804" s="2551"/>
      <c r="N804" s="2551"/>
      <c r="O804" s="2551"/>
      <c r="P804" s="2551"/>
      <c r="Q804" s="2551"/>
      <c r="R804" s="2551"/>
      <c r="S804" s="2552"/>
      <c r="T804" s="2553">
        <f>AK62</f>
        <v>0</v>
      </c>
      <c r="U804" s="2554"/>
      <c r="V804" s="2554"/>
      <c r="W804" s="2554"/>
      <c r="X804" s="2554"/>
      <c r="Y804" s="2555"/>
      <c r="Z804" s="2556">
        <v>20</v>
      </c>
      <c r="AA804" s="2554"/>
      <c r="AB804" s="2554"/>
      <c r="AC804" s="2554"/>
      <c r="AD804" s="2554"/>
      <c r="AE804" s="2555"/>
      <c r="AF804" s="2537">
        <f>IF(T804&gt;Z804,Z804,T804)</f>
        <v>0</v>
      </c>
      <c r="AG804" s="2537"/>
      <c r="AH804" s="2537"/>
      <c r="AI804" s="2537"/>
      <c r="AJ804" s="2537"/>
      <c r="AK804" s="2537"/>
      <c r="AL804" s="818"/>
      <c r="AM804" s="596"/>
      <c r="AO804" s="816"/>
      <c r="AP804" s="816"/>
      <c r="AQ804" s="816"/>
    </row>
    <row r="805" spans="1:81">
      <c r="A805" s="819" t="s">
        <v>1542</v>
      </c>
      <c r="B805" s="2551" t="s">
        <v>1314</v>
      </c>
      <c r="C805" s="2551"/>
      <c r="D805" s="2551"/>
      <c r="E805" s="2551"/>
      <c r="F805" s="2551"/>
      <c r="G805" s="2551"/>
      <c r="H805" s="2551"/>
      <c r="I805" s="2551"/>
      <c r="J805" s="2551"/>
      <c r="K805" s="2551"/>
      <c r="L805" s="2551"/>
      <c r="M805" s="2551"/>
      <c r="N805" s="2551"/>
      <c r="O805" s="2551"/>
      <c r="P805" s="2551"/>
      <c r="Q805" s="2551"/>
      <c r="R805" s="2551"/>
      <c r="S805" s="2552"/>
      <c r="T805" s="2553">
        <f>AK84</f>
        <v>10</v>
      </c>
      <c r="U805" s="2554"/>
      <c r="V805" s="2554"/>
      <c r="W805" s="2554"/>
      <c r="X805" s="2554"/>
      <c r="Y805" s="2555"/>
      <c r="Z805" s="2556">
        <v>10</v>
      </c>
      <c r="AA805" s="2554"/>
      <c r="AB805" s="2554"/>
      <c r="AC805" s="2554"/>
      <c r="AD805" s="2554"/>
      <c r="AE805" s="2555"/>
      <c r="AF805" s="2537">
        <f>IF(T805&gt;Z805,Z805,T805)</f>
        <v>10</v>
      </c>
      <c r="AG805" s="2537"/>
      <c r="AH805" s="2537"/>
      <c r="AI805" s="2537"/>
      <c r="AJ805" s="2537"/>
      <c r="AK805" s="2537"/>
      <c r="AL805" s="818"/>
      <c r="AM805" s="596"/>
      <c r="AO805" s="816"/>
      <c r="AP805" s="816"/>
      <c r="AQ805" s="816"/>
    </row>
    <row r="806" spans="1:81">
      <c r="A806" s="819" t="s">
        <v>1551</v>
      </c>
      <c r="B806" s="2551" t="s">
        <v>1324</v>
      </c>
      <c r="C806" s="2551"/>
      <c r="D806" s="2551"/>
      <c r="E806" s="2551"/>
      <c r="F806" s="2551"/>
      <c r="G806" s="2551"/>
      <c r="H806" s="2551"/>
      <c r="I806" s="2551"/>
      <c r="J806" s="2551"/>
      <c r="K806" s="2551"/>
      <c r="L806" s="2551"/>
      <c r="M806" s="2551"/>
      <c r="N806" s="2551"/>
      <c r="O806" s="2551"/>
      <c r="P806" s="2551"/>
      <c r="Q806" s="2551"/>
      <c r="R806" s="2551"/>
      <c r="S806" s="2552"/>
      <c r="T806" s="2553">
        <f ca="1">AK109</f>
        <v>20</v>
      </c>
      <c r="U806" s="2554"/>
      <c r="V806" s="2554"/>
      <c r="W806" s="2554"/>
      <c r="X806" s="2554"/>
      <c r="Y806" s="2555"/>
      <c r="Z806" s="2556">
        <v>20</v>
      </c>
      <c r="AA806" s="2554"/>
      <c r="AB806" s="2554"/>
      <c r="AC806" s="2554"/>
      <c r="AD806" s="2554"/>
      <c r="AE806" s="2555"/>
      <c r="AF806" s="2537">
        <f ca="1">IF(T806&gt;Z806,Z806,T806)</f>
        <v>20</v>
      </c>
      <c r="AG806" s="2537"/>
      <c r="AH806" s="2537"/>
      <c r="AI806" s="2537"/>
      <c r="AJ806" s="2537"/>
      <c r="AK806" s="2537"/>
      <c r="AL806" s="818"/>
      <c r="AM806" s="596"/>
      <c r="AO806" s="816"/>
      <c r="AP806" s="816"/>
      <c r="AQ806" s="816"/>
    </row>
    <row r="807" spans="1:81">
      <c r="A807" s="819" t="s">
        <v>1573</v>
      </c>
      <c r="B807" s="2551" t="s">
        <v>1334</v>
      </c>
      <c r="C807" s="2551"/>
      <c r="D807" s="2551"/>
      <c r="E807" s="2551"/>
      <c r="F807" s="2551"/>
      <c r="G807" s="2551"/>
      <c r="H807" s="2551"/>
      <c r="I807" s="2551"/>
      <c r="J807" s="2551"/>
      <c r="K807" s="2551"/>
      <c r="L807" s="2551"/>
      <c r="M807" s="2551"/>
      <c r="N807" s="2551"/>
      <c r="O807" s="2551"/>
      <c r="P807" s="2551"/>
      <c r="Q807" s="2551"/>
      <c r="R807" s="2551"/>
      <c r="S807" s="2552"/>
      <c r="T807" s="2553">
        <f>AK143</f>
        <v>10</v>
      </c>
      <c r="U807" s="2554"/>
      <c r="V807" s="2554"/>
      <c r="W807" s="2554"/>
      <c r="X807" s="2554"/>
      <c r="Y807" s="2555"/>
      <c r="Z807" s="2556">
        <v>10</v>
      </c>
      <c r="AA807" s="2554"/>
      <c r="AB807" s="2554"/>
      <c r="AC807" s="2554"/>
      <c r="AD807" s="2554"/>
      <c r="AE807" s="2555"/>
      <c r="AF807" s="2537">
        <f>IF(T807&gt;Z807,Z807,T807)</f>
        <v>10</v>
      </c>
      <c r="AG807" s="2537"/>
      <c r="AH807" s="2537"/>
      <c r="AI807" s="2537"/>
      <c r="AJ807" s="2537"/>
      <c r="AK807" s="2537"/>
      <c r="AL807" s="818"/>
      <c r="AM807" s="596"/>
      <c r="AO807" s="816"/>
      <c r="AP807" s="816"/>
      <c r="AQ807" s="816"/>
    </row>
    <row r="808" spans="1:81">
      <c r="A808" s="820" t="s">
        <v>1574</v>
      </c>
      <c r="B808" s="2551" t="s">
        <v>1575</v>
      </c>
      <c r="C808" s="2551"/>
      <c r="D808" s="2551"/>
      <c r="E808" s="2551"/>
      <c r="F808" s="2551"/>
      <c r="G808" s="2551"/>
      <c r="H808" s="2551"/>
      <c r="I808" s="2551"/>
      <c r="J808" s="2551"/>
      <c r="K808" s="2551"/>
      <c r="L808" s="2551"/>
      <c r="M808" s="2551"/>
      <c r="N808" s="2551"/>
      <c r="O808" s="2551"/>
      <c r="P808" s="2551"/>
      <c r="Q808" s="2551"/>
      <c r="R808" s="2551"/>
      <c r="S808" s="2552"/>
      <c r="T808" s="2577">
        <f>SUM(T809:Y810)</f>
        <v>10</v>
      </c>
      <c r="U808" s="2577"/>
      <c r="V808" s="2577"/>
      <c r="W808" s="2577"/>
      <c r="X808" s="2577"/>
      <c r="Y808" s="2577"/>
      <c r="Z808" s="2537">
        <v>10</v>
      </c>
      <c r="AA808" s="2537"/>
      <c r="AB808" s="2537"/>
      <c r="AC808" s="2537"/>
      <c r="AD808" s="2537"/>
      <c r="AE808" s="2537"/>
      <c r="AF808" s="2537">
        <f>IF(T808&gt;Z808,Z808,T808)</f>
        <v>10</v>
      </c>
      <c r="AG808" s="2537"/>
      <c r="AH808" s="2537"/>
      <c r="AI808" s="2537"/>
      <c r="AJ808" s="2537"/>
      <c r="AK808" s="2537"/>
      <c r="AL808" s="818"/>
      <c r="AM808" s="596"/>
    </row>
    <row r="809" spans="1:81">
      <c r="A809" s="535"/>
      <c r="B809" s="601"/>
      <c r="C809" s="2578" t="s">
        <v>1576</v>
      </c>
      <c r="D809" s="2578"/>
      <c r="E809" s="2578"/>
      <c r="F809" s="2578"/>
      <c r="G809" s="2578"/>
      <c r="H809" s="2578"/>
      <c r="I809" s="2578"/>
      <c r="J809" s="2578"/>
      <c r="K809" s="2578"/>
      <c r="L809" s="2578"/>
      <c r="M809" s="2578"/>
      <c r="N809" s="2578"/>
      <c r="O809" s="2578"/>
      <c r="P809" s="2578"/>
      <c r="Q809" s="2578"/>
      <c r="R809" s="2578"/>
      <c r="S809" s="2579"/>
      <c r="T809" s="2470">
        <f>AJ166</f>
        <v>7</v>
      </c>
      <c r="U809" s="2470"/>
      <c r="V809" s="2470"/>
      <c r="W809" s="2470"/>
      <c r="X809" s="2470"/>
      <c r="Y809" s="2470"/>
      <c r="Z809" s="2471">
        <v>7</v>
      </c>
      <c r="AA809" s="2471"/>
      <c r="AB809" s="2471"/>
      <c r="AC809" s="2471"/>
      <c r="AD809" s="2471"/>
      <c r="AE809" s="2471"/>
      <c r="AF809" s="2580"/>
      <c r="AG809" s="2580"/>
      <c r="AH809" s="2580"/>
      <c r="AI809" s="2580"/>
      <c r="AJ809" s="2580"/>
      <c r="AK809" s="2580"/>
      <c r="AL809" s="818"/>
      <c r="AM809" s="596"/>
    </row>
    <row r="810" spans="1:81">
      <c r="A810" s="600"/>
      <c r="B810" s="601"/>
      <c r="C810" s="2578" t="s">
        <v>1577</v>
      </c>
      <c r="D810" s="2578"/>
      <c r="E810" s="2578"/>
      <c r="F810" s="2578"/>
      <c r="G810" s="2578"/>
      <c r="H810" s="2578"/>
      <c r="I810" s="2578"/>
      <c r="J810" s="2578"/>
      <c r="K810" s="2578"/>
      <c r="L810" s="2578"/>
      <c r="M810" s="2578"/>
      <c r="N810" s="2578"/>
      <c r="O810" s="2578"/>
      <c r="P810" s="2578"/>
      <c r="Q810" s="2578"/>
      <c r="R810" s="2578"/>
      <c r="S810" s="2579"/>
      <c r="T810" s="2470">
        <f>AJ180</f>
        <v>3</v>
      </c>
      <c r="U810" s="2470"/>
      <c r="V810" s="2470"/>
      <c r="W810" s="2470"/>
      <c r="X810" s="2470"/>
      <c r="Y810" s="2470"/>
      <c r="Z810" s="2471">
        <v>3</v>
      </c>
      <c r="AA810" s="2471"/>
      <c r="AB810" s="2471"/>
      <c r="AC810" s="2471"/>
      <c r="AD810" s="2471"/>
      <c r="AE810" s="2471"/>
      <c r="AF810" s="2580"/>
      <c r="AG810" s="2580"/>
      <c r="AH810" s="2580"/>
      <c r="AI810" s="2580"/>
      <c r="AJ810" s="2580"/>
      <c r="AK810" s="2580"/>
      <c r="AL810" s="818"/>
      <c r="AM810" s="596"/>
      <c r="AO810" s="550"/>
    </row>
    <row r="811" spans="1:81">
      <c r="A811" s="820" t="s">
        <v>1362</v>
      </c>
      <c r="B811" s="2551" t="s">
        <v>1578</v>
      </c>
      <c r="C811" s="2551"/>
      <c r="D811" s="2551"/>
      <c r="E811" s="2551"/>
      <c r="F811" s="2551"/>
      <c r="G811" s="2551"/>
      <c r="H811" s="2551"/>
      <c r="I811" s="2551"/>
      <c r="J811" s="2551"/>
      <c r="K811" s="2551"/>
      <c r="L811" s="2551"/>
      <c r="M811" s="2551"/>
      <c r="N811" s="2551"/>
      <c r="O811" s="2551"/>
      <c r="P811" s="2551"/>
      <c r="Q811" s="2551"/>
      <c r="R811" s="2551"/>
      <c r="S811" s="2552"/>
      <c r="T811" s="2577">
        <f>AK191</f>
        <v>10</v>
      </c>
      <c r="U811" s="2577"/>
      <c r="V811" s="2577"/>
      <c r="W811" s="2577"/>
      <c r="X811" s="2577"/>
      <c r="Y811" s="2577"/>
      <c r="Z811" s="2537">
        <v>10</v>
      </c>
      <c r="AA811" s="2537"/>
      <c r="AB811" s="2537"/>
      <c r="AC811" s="2537"/>
      <c r="AD811" s="2537"/>
      <c r="AE811" s="2537"/>
      <c r="AF811" s="2537">
        <f>IF(T811&gt;Z811,Z811,T811)</f>
        <v>10</v>
      </c>
      <c r="AG811" s="2537"/>
      <c r="AH811" s="2537"/>
      <c r="AI811" s="2537"/>
      <c r="AJ811" s="2537"/>
      <c r="AK811" s="2537"/>
      <c r="AL811" s="818"/>
      <c r="AM811" s="596"/>
    </row>
    <row r="812" spans="1:81">
      <c r="A812" s="819" t="s">
        <v>1371</v>
      </c>
      <c r="B812" s="2551" t="s">
        <v>1372</v>
      </c>
      <c r="C812" s="2551"/>
      <c r="D812" s="2551"/>
      <c r="E812" s="2551"/>
      <c r="F812" s="2551"/>
      <c r="G812" s="2551"/>
      <c r="H812" s="2551"/>
      <c r="I812" s="2551"/>
      <c r="J812" s="2551"/>
      <c r="K812" s="2551"/>
      <c r="L812" s="2551"/>
      <c r="M812" s="2551"/>
      <c r="N812" s="2551"/>
      <c r="O812" s="2551"/>
      <c r="P812" s="2551"/>
      <c r="Q812" s="2551"/>
      <c r="R812" s="2551"/>
      <c r="S812" s="2552"/>
      <c r="T812" s="2577">
        <f>AK273</f>
        <v>8</v>
      </c>
      <c r="U812" s="2577"/>
      <c r="V812" s="2577"/>
      <c r="W812" s="2577"/>
      <c r="X812" s="2577"/>
      <c r="Y812" s="2577"/>
      <c r="Z812" s="2556">
        <v>8</v>
      </c>
      <c r="AA812" s="2554"/>
      <c r="AB812" s="2554"/>
      <c r="AC812" s="2554"/>
      <c r="AD812" s="2554"/>
      <c r="AE812" s="2555"/>
      <c r="AF812" s="2537">
        <f>IF(T812&gt;Z812,Z812,T812)</f>
        <v>8</v>
      </c>
      <c r="AG812" s="2537"/>
      <c r="AH812" s="2537"/>
      <c r="AI812" s="2537"/>
      <c r="AJ812" s="2537"/>
      <c r="AK812" s="2537"/>
      <c r="AL812" s="818"/>
      <c r="AM812" s="596"/>
    </row>
    <row r="813" spans="1:81" s="534" customFormat="1" hidden="1">
      <c r="A813" s="820" t="s">
        <v>590</v>
      </c>
      <c r="B813" s="2551" t="s">
        <v>1579</v>
      </c>
      <c r="C813" s="2551"/>
      <c r="D813" s="2551"/>
      <c r="E813" s="2551"/>
      <c r="F813" s="2551"/>
      <c r="G813" s="2551"/>
      <c r="H813" s="2551"/>
      <c r="I813" s="2551"/>
      <c r="J813" s="2551"/>
      <c r="K813" s="2551"/>
      <c r="L813" s="2551"/>
      <c r="M813" s="2551"/>
      <c r="N813" s="2551"/>
      <c r="O813" s="2551"/>
      <c r="P813" s="2551"/>
      <c r="Q813" s="2551"/>
      <c r="R813" s="2551"/>
      <c r="S813" s="2552"/>
      <c r="T813" s="2577">
        <f>IF(AK535&gt;5,5,AK535)</f>
        <v>0</v>
      </c>
      <c r="U813" s="2577"/>
      <c r="V813" s="2577"/>
      <c r="W813" s="2577"/>
      <c r="X813" s="2577"/>
      <c r="Y813" s="2577"/>
      <c r="Z813" s="2537">
        <v>5</v>
      </c>
      <c r="AA813" s="2537"/>
      <c r="AB813" s="2537"/>
      <c r="AC813" s="2537"/>
      <c r="AD813" s="2537"/>
      <c r="AE813" s="2537"/>
      <c r="AF813" s="2537">
        <f>IF(T813&gt;Z813,5,T813)</f>
        <v>0</v>
      </c>
      <c r="AG813" s="2537"/>
      <c r="AH813" s="2537"/>
      <c r="AI813" s="2537"/>
      <c r="AJ813" s="2537"/>
      <c r="AK813" s="2537"/>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1" t="s">
        <v>1580</v>
      </c>
      <c r="C814" s="2551"/>
      <c r="D814" s="2551"/>
      <c r="E814" s="2551"/>
      <c r="F814" s="2551"/>
      <c r="G814" s="2551"/>
      <c r="H814" s="2551"/>
      <c r="I814" s="2551"/>
      <c r="J814" s="2551"/>
      <c r="K814" s="2551"/>
      <c r="L814" s="2551"/>
      <c r="M814" s="2551"/>
      <c r="N814" s="2551"/>
      <c r="O814" s="2551"/>
      <c r="P814" s="2551"/>
      <c r="Q814" s="2551"/>
      <c r="R814" s="2551"/>
      <c r="S814" s="2552"/>
      <c r="T814" s="2577">
        <f>AK285</f>
        <v>10</v>
      </c>
      <c r="U814" s="2577"/>
      <c r="V814" s="2577"/>
      <c r="W814" s="2577"/>
      <c r="X814" s="2577"/>
      <c r="Y814" s="2577"/>
      <c r="Z814" s="2537">
        <v>10</v>
      </c>
      <c r="AA814" s="2537"/>
      <c r="AB814" s="2537"/>
      <c r="AC814" s="2537"/>
      <c r="AD814" s="2537"/>
      <c r="AE814" s="2537"/>
      <c r="AF814" s="2583">
        <f>IF(T814&gt;Z814,Z814,T814)</f>
        <v>10</v>
      </c>
      <c r="AG814" s="2584"/>
      <c r="AH814" s="2584"/>
      <c r="AI814" s="2584"/>
      <c r="AJ814" s="2584"/>
      <c r="AK814" s="258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1" t="s">
        <v>1382</v>
      </c>
      <c r="C815" s="2551"/>
      <c r="D815" s="2551"/>
      <c r="E815" s="2551"/>
      <c r="F815" s="2551"/>
      <c r="G815" s="2551"/>
      <c r="H815" s="2551"/>
      <c r="I815" s="2551"/>
      <c r="J815" s="2551"/>
      <c r="K815" s="2551"/>
      <c r="L815" s="2551"/>
      <c r="M815" s="2551"/>
      <c r="N815" s="2551"/>
      <c r="O815" s="2551"/>
      <c r="P815" s="2551"/>
      <c r="Q815" s="2551"/>
      <c r="R815" s="2551"/>
      <c r="S815" s="2552"/>
      <c r="T815" s="2577">
        <f>AK338</f>
        <v>10</v>
      </c>
      <c r="U815" s="2577"/>
      <c r="V815" s="2577"/>
      <c r="W815" s="2577"/>
      <c r="X815" s="2577"/>
      <c r="Y815" s="2577"/>
      <c r="Z815" s="2583">
        <v>10</v>
      </c>
      <c r="AA815" s="2584"/>
      <c r="AB815" s="2584"/>
      <c r="AC815" s="2584"/>
      <c r="AD815" s="2584"/>
      <c r="AE815" s="2585"/>
      <c r="AF815" s="2583">
        <f>IF(T815&gt;Z815,Z815,T815)</f>
        <v>10</v>
      </c>
      <c r="AG815" s="2584"/>
      <c r="AH815" s="2584"/>
      <c r="AI815" s="2584"/>
      <c r="AJ815" s="2584"/>
      <c r="AK815" s="258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0">
        <f>AK338</f>
        <v>10</v>
      </c>
      <c r="U816" s="2470"/>
      <c r="V816" s="2470"/>
      <c r="W816" s="2470"/>
      <c r="X816" s="2470"/>
      <c r="Y816" s="2470"/>
      <c r="Z816" s="2475">
        <v>20</v>
      </c>
      <c r="AA816" s="2476"/>
      <c r="AB816" s="2476"/>
      <c r="AC816" s="2476"/>
      <c r="AD816" s="2476"/>
      <c r="AE816" s="2477"/>
      <c r="AF816" s="2580"/>
      <c r="AG816" s="2580"/>
      <c r="AH816" s="2580"/>
      <c r="AI816" s="2580"/>
      <c r="AJ816" s="2580"/>
      <c r="AK816" s="25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1" t="s">
        <v>846</v>
      </c>
      <c r="C817" s="2551"/>
      <c r="D817" s="2551"/>
      <c r="E817" s="2551"/>
      <c r="F817" s="2551"/>
      <c r="G817" s="2551"/>
      <c r="H817" s="2551"/>
      <c r="I817" s="2551"/>
      <c r="J817" s="2551"/>
      <c r="K817" s="2551"/>
      <c r="L817" s="2551"/>
      <c r="M817" s="2551"/>
      <c r="N817" s="2551"/>
      <c r="O817" s="2551"/>
      <c r="P817" s="2551"/>
      <c r="Q817" s="2551"/>
      <c r="R817" s="2551"/>
      <c r="S817" s="2552"/>
      <c r="T817" s="2577">
        <f>AK469</f>
        <v>10</v>
      </c>
      <c r="U817" s="2577"/>
      <c r="V817" s="2577"/>
      <c r="W817" s="2577"/>
      <c r="X817" s="2577"/>
      <c r="Y817" s="2577"/>
      <c r="Z817" s="2583">
        <v>10</v>
      </c>
      <c r="AA817" s="2584"/>
      <c r="AB817" s="2584"/>
      <c r="AC817" s="2584"/>
      <c r="AD817" s="2584"/>
      <c r="AE817" s="2585"/>
      <c r="AF817" s="2537">
        <f>IF(T817&gt;Z817,Z817,T817)</f>
        <v>10</v>
      </c>
      <c r="AG817" s="2537"/>
      <c r="AH817" s="2537"/>
      <c r="AI817" s="2537"/>
      <c r="AJ817" s="2537"/>
      <c r="AK817" s="2537"/>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1" t="s">
        <v>1560</v>
      </c>
      <c r="C818" s="2551"/>
      <c r="D818" s="2551"/>
      <c r="E818" s="2551"/>
      <c r="F818" s="2551"/>
      <c r="G818" s="2551"/>
      <c r="H818" s="2551"/>
      <c r="I818" s="2551"/>
      <c r="J818" s="2551"/>
      <c r="K818" s="2551"/>
      <c r="L818" s="2551"/>
      <c r="M818" s="2551"/>
      <c r="N818" s="2551"/>
      <c r="O818" s="2551"/>
      <c r="P818" s="2551"/>
      <c r="Q818" s="2551"/>
      <c r="R818" s="2551"/>
      <c r="S818" s="2552"/>
      <c r="T818" s="2577">
        <f>AK559</f>
        <v>12</v>
      </c>
      <c r="U818" s="2577"/>
      <c r="V818" s="2577"/>
      <c r="W818" s="2577"/>
      <c r="X818" s="2577"/>
      <c r="Y818" s="2577"/>
      <c r="Z818" s="2583">
        <v>12</v>
      </c>
      <c r="AA818" s="2584"/>
      <c r="AB818" s="2584"/>
      <c r="AC818" s="2584"/>
      <c r="AD818" s="2584"/>
      <c r="AE818" s="2585"/>
      <c r="AF818" s="2537">
        <f>IF(T818&gt;Z818,Z818,T818)</f>
        <v>12</v>
      </c>
      <c r="AG818" s="2537"/>
      <c r="AH818" s="2537"/>
      <c r="AI818" s="2537"/>
      <c r="AJ818" s="2537"/>
      <c r="AK818" s="2537"/>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1" t="s">
        <v>1582</v>
      </c>
      <c r="C819" s="2551"/>
      <c r="D819" s="2551"/>
      <c r="E819" s="2551"/>
      <c r="F819" s="2551"/>
      <c r="G819" s="2551"/>
      <c r="H819" s="2551"/>
      <c r="I819" s="2551"/>
      <c r="J819" s="2551"/>
      <c r="K819" s="2551"/>
      <c r="L819" s="2551"/>
      <c r="M819" s="2551"/>
      <c r="N819" s="2551"/>
      <c r="O819" s="2551"/>
      <c r="P819" s="2551"/>
      <c r="Q819" s="2551"/>
      <c r="R819" s="2551"/>
      <c r="S819" s="2552"/>
      <c r="T819" s="2577">
        <f>AK794</f>
        <v>10</v>
      </c>
      <c r="U819" s="2577"/>
      <c r="V819" s="2577"/>
      <c r="W819" s="2577"/>
      <c r="X819" s="2577"/>
      <c r="Y819" s="2577"/>
      <c r="Z819" s="2583">
        <v>10</v>
      </c>
      <c r="AA819" s="2584"/>
      <c r="AB819" s="2584"/>
      <c r="AC819" s="2584"/>
      <c r="AD819" s="2584"/>
      <c r="AE819" s="2585"/>
      <c r="AF819" s="2537">
        <f>IF(T819&gt;Z819,Z819,T819)</f>
        <v>10</v>
      </c>
      <c r="AG819" s="2537"/>
      <c r="AH819" s="2537"/>
      <c r="AI819" s="2537"/>
      <c r="AJ819" s="2537"/>
      <c r="AK819" s="2537"/>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1" t="s">
        <v>1583</v>
      </c>
      <c r="B820" s="2551"/>
      <c r="C820" s="2551"/>
      <c r="D820" s="2551"/>
      <c r="E820" s="2551"/>
      <c r="F820" s="2551"/>
      <c r="G820" s="2551"/>
      <c r="H820" s="2551"/>
      <c r="I820" s="2551"/>
      <c r="J820" s="2551"/>
      <c r="K820" s="2551"/>
      <c r="L820" s="2551"/>
      <c r="M820" s="2551"/>
      <c r="N820" s="2551"/>
      <c r="O820" s="2551"/>
      <c r="P820" s="2551"/>
      <c r="Q820" s="2551"/>
      <c r="R820" s="2551"/>
      <c r="S820" s="2552"/>
      <c r="T820" s="2582"/>
      <c r="U820" s="2582"/>
      <c r="V820" s="2582"/>
      <c r="W820" s="2582"/>
      <c r="X820" s="2582"/>
      <c r="Y820" s="2582"/>
      <c r="Z820" s="2471" t="s">
        <v>1584</v>
      </c>
      <c r="AA820" s="2471"/>
      <c r="AB820" s="2471"/>
      <c r="AC820" s="2471"/>
      <c r="AD820" s="2471"/>
      <c r="AE820" s="2471"/>
      <c r="AF820" s="2583">
        <f>IF(T820&gt;0,T820,0)</f>
        <v>0</v>
      </c>
      <c r="AG820" s="2584"/>
      <c r="AH820" s="2584"/>
      <c r="AI820" s="2584"/>
      <c r="AJ820" s="2584"/>
      <c r="AK820" s="258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6" t="s">
        <v>1585</v>
      </c>
      <c r="B821" s="2587"/>
      <c r="C821" s="2587"/>
      <c r="D821" s="2587"/>
      <c r="E821" s="2587"/>
      <c r="F821" s="2587"/>
      <c r="G821" s="2587"/>
      <c r="H821" s="2587"/>
      <c r="I821" s="2587"/>
      <c r="J821" s="2587"/>
      <c r="K821" s="2587"/>
      <c r="L821" s="2587"/>
      <c r="M821" s="2587"/>
      <c r="N821" s="2587"/>
      <c r="O821" s="2587"/>
      <c r="P821" s="2587"/>
      <c r="Q821" s="2587"/>
      <c r="R821" s="2587"/>
      <c r="S821" s="2587"/>
      <c r="T821" s="2587"/>
      <c r="U821" s="2587"/>
      <c r="V821" s="2587"/>
      <c r="W821" s="2587"/>
      <c r="X821" s="2587"/>
      <c r="Y821" s="2587"/>
      <c r="Z821" s="2587"/>
      <c r="AA821" s="2587"/>
      <c r="AB821" s="2587"/>
      <c r="AC821" s="2587"/>
      <c r="AD821" s="2587"/>
      <c r="AE821" s="2588"/>
      <c r="AF821" s="2592">
        <f ca="1">SUM(AF804:AK819)-AF820</f>
        <v>120</v>
      </c>
      <c r="AG821" s="2593"/>
      <c r="AH821" s="2593"/>
      <c r="AI821" s="2593"/>
      <c r="AJ821" s="2593"/>
      <c r="AK821" s="25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9"/>
      <c r="B822" s="2590"/>
      <c r="C822" s="2590"/>
      <c r="D822" s="2590"/>
      <c r="E822" s="2590"/>
      <c r="F822" s="2590"/>
      <c r="G822" s="2590"/>
      <c r="H822" s="2590"/>
      <c r="I822" s="2590"/>
      <c r="J822" s="2590"/>
      <c r="K822" s="2590"/>
      <c r="L822" s="2590"/>
      <c r="M822" s="2590"/>
      <c r="N822" s="2590"/>
      <c r="O822" s="2590"/>
      <c r="P822" s="2590"/>
      <c r="Q822" s="2590"/>
      <c r="R822" s="2590"/>
      <c r="S822" s="2590"/>
      <c r="T822" s="2590"/>
      <c r="U822" s="2590"/>
      <c r="V822" s="2590"/>
      <c r="W822" s="2590"/>
      <c r="X822" s="2590"/>
      <c r="Y822" s="2590"/>
      <c r="Z822" s="2590"/>
      <c r="AA822" s="2590"/>
      <c r="AB822" s="2590"/>
      <c r="AC822" s="2590"/>
      <c r="AD822" s="2590"/>
      <c r="AE822" s="2591"/>
      <c r="AF822" s="2595"/>
      <c r="AG822" s="2596"/>
      <c r="AH822" s="2596"/>
      <c r="AI822" s="2596"/>
      <c r="AJ822" s="2596"/>
      <c r="AK822" s="25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Saenz, Chris</cp:lastModifiedBy>
  <cp:lastPrinted>2024-12-09T20:28:29Z</cp:lastPrinted>
  <dcterms:created xsi:type="dcterms:W3CDTF">2007-12-27T18:26:28Z</dcterms:created>
  <dcterms:modified xsi:type="dcterms:W3CDTF">2025-09-22T21:53:28Z</dcterms:modified>
</cp:coreProperties>
</file>