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Asteria Flats - Rancho Cordova, CA/05. Financing/Bonds-Tax Credits (CDLAC-CTCAC)/Tax Credit Application 2025.09.09/Asteria Draft App 09.09.25 - CDLAC LABELS/"/>
    </mc:Choice>
  </mc:AlternateContent>
  <xr:revisionPtr revIDLastSave="3" documentId="8_{6273EA87-F6DF-4BA7-9B77-68A96840AD26}" xr6:coauthVersionLast="47" xr6:coauthVersionMax="47" xr10:uidLastSave="{CC235BD9-E4B6-4234-AF6D-0E03AC591748}"/>
  <bookViews>
    <workbookView xWindow="28680" yWindow="-120"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6" i="3" l="1"/>
  <c r="A41" i="7" l="1"/>
  <c r="AD199" i="20" l="1"/>
  <c r="AD67" i="15" l="1"/>
  <c r="Y67" i="15"/>
  <c r="BE103" i="3" l="1"/>
  <c r="AC216" i="23"/>
  <c r="Y216" i="23"/>
  <c r="U216" i="23"/>
  <c r="BQ102" i="23"/>
  <c r="BQ101" i="23"/>
  <c r="N11" i="23"/>
  <c r="W879"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5" i="21"/>
  <c r="R53" i="21" a="1"/>
  <c r="R53" i="21" s="1"/>
  <c r="S47" i="2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1" i="11"/>
  <c r="C92" i="11"/>
  <c r="C93" i="11"/>
  <c r="C94" i="11"/>
  <c r="C95" i="11"/>
  <c r="C96" i="11"/>
  <c r="B85" i="11"/>
  <c r="B86" i="11"/>
  <c r="B87" i="11"/>
  <c r="B88" i="11"/>
  <c r="B89"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E84" i="13" s="1"/>
  <c r="B59" i="4"/>
  <c r="C80" i="11"/>
  <c r="C81" i="11"/>
  <c r="B80" i="11"/>
  <c r="B81" i="11"/>
  <c r="I96" i="13"/>
  <c r="J96" i="13"/>
  <c r="J81" i="13"/>
  <c r="I81" i="13"/>
  <c r="G81" i="13"/>
  <c r="D81" i="13"/>
  <c r="H80" i="13"/>
  <c r="B80" i="13"/>
  <c r="R80" i="4"/>
  <c r="E80" i="13" s="1"/>
  <c r="R79" i="4"/>
  <c r="S70" i="4"/>
  <c r="E70" i="13"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65" i="13"/>
  <c r="F70" i="13" s="1"/>
  <c r="E52" i="13"/>
  <c r="E51" i="13"/>
  <c r="E50" i="13"/>
  <c r="E49" i="13"/>
  <c r="E48" i="13"/>
  <c r="E47" i="13"/>
  <c r="E34" i="13"/>
  <c r="E30" i="13"/>
  <c r="E29" i="13"/>
  <c r="E27" i="13"/>
  <c r="E25" i="13"/>
  <c r="E23" i="13"/>
  <c r="E22" i="13"/>
  <c r="E21" i="13"/>
  <c r="E20" i="13"/>
  <c r="E19" i="13"/>
  <c r="E18" i="13"/>
  <c r="E17" i="13"/>
  <c r="E15" i="13"/>
  <c r="E14" i="13"/>
  <c r="E10" i="13"/>
  <c r="B95" i="13"/>
  <c r="B94" i="13"/>
  <c r="B93" i="13"/>
  <c r="B92" i="13"/>
  <c r="B91" i="13"/>
  <c r="B90" i="13"/>
  <c r="B88" i="13"/>
  <c r="B87" i="13"/>
  <c r="B86" i="13"/>
  <c r="B85" i="13"/>
  <c r="B84" i="13"/>
  <c r="B79" i="13"/>
  <c r="B76" i="13"/>
  <c r="B75" i="13"/>
  <c r="B74" i="13"/>
  <c r="B73" i="13"/>
  <c r="B72" i="13"/>
  <c r="B65" i="13"/>
  <c r="B61" i="13"/>
  <c r="B60" i="13"/>
  <c r="B59" i="13"/>
  <c r="B58" i="13"/>
  <c r="B57" i="13"/>
  <c r="B56" i="13"/>
  <c r="B53" i="13"/>
  <c r="B52" i="13"/>
  <c r="B51" i="13"/>
  <c r="B50" i="13"/>
  <c r="B49" i="13"/>
  <c r="B48" i="13"/>
  <c r="B47" i="13"/>
  <c r="B43" i="13"/>
  <c r="C42" i="4"/>
  <c r="B42" i="13" s="1"/>
  <c r="B41" i="13"/>
  <c r="B40" i="13"/>
  <c r="C42"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C8"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E102" i="13" s="1"/>
  <c r="R101" i="4"/>
  <c r="R95" i="4"/>
  <c r="R94" i="4"/>
  <c r="R93" i="4"/>
  <c r="R92" i="4"/>
  <c r="E92" i="13" s="1"/>
  <c r="R90" i="4"/>
  <c r="E90" i="13" s="1"/>
  <c r="R89" i="4"/>
  <c r="R88" i="4"/>
  <c r="R87" i="4"/>
  <c r="R86" i="4"/>
  <c r="E86" i="13" s="1"/>
  <c r="R85" i="4"/>
  <c r="R76" i="4"/>
  <c r="R75" i="4"/>
  <c r="R72" i="4"/>
  <c r="R73" i="4"/>
  <c r="R74" i="4"/>
  <c r="R69" i="4"/>
  <c r="R65" i="4"/>
  <c r="R61" i="4"/>
  <c r="R60" i="4"/>
  <c r="R59" i="4"/>
  <c r="R58" i="4"/>
  <c r="R57" i="4"/>
  <c r="R56" i="4"/>
  <c r="R53" i="4"/>
  <c r="E53" i="13" s="1"/>
  <c r="R52" i="4"/>
  <c r="R51" i="4"/>
  <c r="R50" i="4"/>
  <c r="R49" i="4"/>
  <c r="R48" i="4"/>
  <c r="R47" i="4"/>
  <c r="R43" i="4"/>
  <c r="E43" i="13" s="1"/>
  <c r="R41" i="4"/>
  <c r="E41" i="13" s="1"/>
  <c r="R40" i="4"/>
  <c r="E40" i="13" s="1"/>
  <c r="F42" i="13" s="1"/>
  <c r="R37" i="4"/>
  <c r="E37" i="13" s="1"/>
  <c r="R35" i="4"/>
  <c r="E35" i="13" s="1"/>
  <c r="R34" i="4"/>
  <c r="R33" i="4"/>
  <c r="E33" i="13" s="1"/>
  <c r="R32" i="4"/>
  <c r="E32" i="13" s="1"/>
  <c r="R31" i="4"/>
  <c r="E31" i="13" s="1"/>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62" i="4"/>
  <c r="B62" i="13" s="1"/>
  <c r="C77" i="4"/>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90" i="4"/>
  <c r="B91" i="4"/>
  <c r="B92" i="4"/>
  <c r="B93" i="4"/>
  <c r="B94" i="4"/>
  <c r="B95" i="4"/>
  <c r="F96" i="4"/>
  <c r="G96" i="4"/>
  <c r="H96" i="4"/>
  <c r="I96" i="4"/>
  <c r="K96" i="4"/>
  <c r="L96" i="4"/>
  <c r="Q96" i="4"/>
  <c r="B101" i="4"/>
  <c r="B102" i="4"/>
  <c r="B103" i="4"/>
  <c r="F104" i="4"/>
  <c r="G104" i="4"/>
  <c r="H104" i="4"/>
  <c r="I104" i="4"/>
  <c r="K104" i="4"/>
  <c r="L104" i="4"/>
  <c r="Q104" i="4"/>
  <c r="H108" i="4"/>
  <c r="J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C38" i="13" l="1"/>
  <c r="C77" i="13"/>
  <c r="F38" i="13"/>
  <c r="C62" i="13"/>
  <c r="E85" i="13"/>
  <c r="B81" i="13"/>
  <c r="E79" i="13"/>
  <c r="F81" i="13" s="1"/>
  <c r="C81" i="13"/>
  <c r="B77" i="13"/>
  <c r="E13" i="13"/>
  <c r="F13" i="13" s="1"/>
  <c r="E89" i="13"/>
  <c r="E87" i="13"/>
  <c r="D35" i="11"/>
  <c r="S38" i="4"/>
  <c r="E38" i="13" s="1"/>
  <c r="S96" i="4"/>
  <c r="S42" i="4"/>
  <c r="E42" i="13" s="1"/>
  <c r="S81" i="4"/>
  <c r="AO18" i="20"/>
  <c r="D36" i="11"/>
  <c r="D94" i="11"/>
  <c r="D86" i="11"/>
  <c r="D87" i="11"/>
  <c r="D103" i="11"/>
  <c r="D34" i="11"/>
  <c r="D6" i="11"/>
  <c r="D25" i="11"/>
  <c r="D91" i="11"/>
  <c r="D54" i="11"/>
  <c r="D70" i="11"/>
  <c r="D93" i="11"/>
  <c r="D85" i="11"/>
  <c r="D89" i="11"/>
  <c r="D101" i="11"/>
  <c r="D32" i="11"/>
  <c r="D33" i="11"/>
  <c r="D92" i="11"/>
  <c r="D96" i="11"/>
  <c r="D88" i="11"/>
  <c r="D104" i="11"/>
  <c r="C82" i="11"/>
  <c r="B8" i="4"/>
  <c r="N189" i="23" s="1"/>
  <c r="G144" i="21"/>
  <c r="G143" i="21"/>
  <c r="D95" i="11"/>
  <c r="C12" i="4"/>
  <c r="B12" i="13" s="1"/>
  <c r="D75" i="11"/>
  <c r="D62" i="11"/>
  <c r="D58" i="11"/>
  <c r="L12" i="4"/>
  <c r="D38" i="11"/>
  <c r="B42" i="4"/>
  <c r="H12" i="4"/>
  <c r="D51" i="11"/>
  <c r="D49" i="11"/>
  <c r="B78" i="11"/>
  <c r="D48" i="11"/>
  <c r="D20" i="11"/>
  <c r="D15" i="11"/>
  <c r="D8"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D24" i="11"/>
  <c r="B39" i="11"/>
  <c r="B71" i="11"/>
  <c r="O12" i="4"/>
  <c r="D10" i="11"/>
  <c r="B43" i="11"/>
  <c r="Q12" i="4"/>
  <c r="K12" i="4"/>
  <c r="D61" i="11"/>
  <c r="D57" i="11"/>
  <c r="B9" i="11"/>
  <c r="J12" i="4"/>
  <c r="D30" i="11"/>
  <c r="D22" i="11"/>
  <c r="R77" i="4"/>
  <c r="D80" i="11"/>
  <c r="D31" i="11"/>
  <c r="B62" i="4"/>
  <c r="O63" i="4"/>
  <c r="O97" i="4" s="1"/>
  <c r="O105" i="4" s="1"/>
  <c r="N12" i="4"/>
  <c r="I12" i="4"/>
  <c r="B70" i="4"/>
  <c r="D102" i="1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J63" i="13"/>
  <c r="J97" i="13" s="1"/>
  <c r="J105" i="13" s="1"/>
  <c r="J107" i="13" s="1"/>
  <c r="D81" i="11"/>
  <c r="B77" i="4"/>
  <c r="C78" i="11"/>
  <c r="D60" i="11"/>
  <c r="M12" i="4"/>
  <c r="D63" i="4"/>
  <c r="D97" i="4" s="1"/>
  <c r="D105" i="4" s="1"/>
  <c r="BE68" i="3" s="1"/>
  <c r="R26" i="4"/>
  <c r="R42" i="4"/>
  <c r="R62" i="4"/>
  <c r="D63" i="13"/>
  <c r="D97" i="13" s="1"/>
  <c r="D105" i="13" s="1"/>
  <c r="D23" i="11"/>
  <c r="D19" i="11"/>
  <c r="D14" i="11"/>
  <c r="D7" i="11"/>
  <c r="R8" i="4"/>
  <c r="G63" i="13"/>
  <c r="G97" i="13" s="1"/>
  <c r="G105" i="13" s="1"/>
  <c r="G107" i="13" s="1"/>
  <c r="R81" i="4"/>
  <c r="M53" i="7"/>
  <c r="K58" i="7"/>
  <c r="N188" i="23"/>
  <c r="C27" i="11"/>
  <c r="B82" i="11"/>
  <c r="H63" i="4"/>
  <c r="H97" i="4" s="1"/>
  <c r="H105" i="4" s="1"/>
  <c r="G63" i="4"/>
  <c r="G97" i="4" s="1"/>
  <c r="G105" i="4" s="1"/>
  <c r="I58" i="7"/>
  <c r="C9" i="11"/>
  <c r="B63" i="11"/>
  <c r="T63" i="4"/>
  <c r="B38" i="4"/>
  <c r="K63" i="4"/>
  <c r="K97" i="4" s="1"/>
  <c r="K105" i="4" s="1"/>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C7" i="7"/>
  <c r="G12" i="4"/>
  <c r="AF1014" i="3"/>
  <c r="G99" i="21"/>
  <c r="AA29" i="7"/>
  <c r="O29" i="7"/>
  <c r="AY1003" i="3"/>
  <c r="I1048"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K29" i="7"/>
  <c r="S29"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96" i="13" l="1"/>
  <c r="E96" i="13"/>
  <c r="E81" i="13"/>
  <c r="D43" i="11"/>
  <c r="D71" i="11"/>
  <c r="B12" i="4"/>
  <c r="N195" i="23"/>
  <c r="D82" i="11"/>
  <c r="D39" i="11"/>
  <c r="D78" i="11"/>
  <c r="R12" i="4"/>
  <c r="D12" i="11"/>
  <c r="D63"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8"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O31" i="21" l="1"/>
  <c r="P31" i="21" s="1" a="1"/>
  <c r="P31" i="21" s="1"/>
  <c r="S31" i="21" s="1"/>
  <c r="O35" i="21"/>
  <c r="P35" i="21" s="1" a="1"/>
  <c r="P35" i="21" s="1"/>
  <c r="S35" i="21" s="1"/>
  <c r="O29" i="21"/>
  <c r="P29" i="21" s="1" a="1"/>
  <c r="P29" i="21" s="1"/>
  <c r="S29" i="21" s="1"/>
  <c r="O33" i="21"/>
  <c r="P33" i="21" s="1" a="1"/>
  <c r="P33" i="21" s="1"/>
  <c r="S33" i="21" s="1"/>
  <c r="O32" i="21"/>
  <c r="P32" i="21" s="1" a="1"/>
  <c r="P32" i="21" s="1"/>
  <c r="S32" i="21" s="1"/>
  <c r="O20" i="21"/>
  <c r="P20" i="21" s="1" a="1"/>
  <c r="P20" i="21" s="1"/>
  <c r="S20" i="21" s="1"/>
  <c r="O34" i="21"/>
  <c r="P34" i="21" s="1" a="1"/>
  <c r="P34" i="21" s="1"/>
  <c r="S34" i="21" s="1"/>
  <c r="O26" i="21"/>
  <c r="P26" i="21" s="1" a="1"/>
  <c r="P26" i="21" s="1"/>
  <c r="S26" i="21" s="1"/>
  <c r="O22" i="21"/>
  <c r="P22" i="21" s="1" a="1"/>
  <c r="P22" i="21" s="1"/>
  <c r="S22" i="21" s="1"/>
  <c r="O30" i="21"/>
  <c r="P30" i="21" s="1" a="1"/>
  <c r="P30" i="21" s="1"/>
  <c r="S30" i="21" s="1"/>
  <c r="O23" i="21"/>
  <c r="P23" i="21" s="1" a="1"/>
  <c r="P23" i="21" s="1"/>
  <c r="S23" i="21" s="1"/>
  <c r="O21" i="21"/>
  <c r="P21" i="21" s="1" a="1"/>
  <c r="P21" i="21" s="1"/>
  <c r="S21" i="21" s="1"/>
  <c r="O24" i="21"/>
  <c r="P24" i="21" s="1" a="1"/>
  <c r="P24" i="21" s="1"/>
  <c r="S24" i="21" s="1"/>
  <c r="O27" i="21"/>
  <c r="P27" i="21" s="1" a="1"/>
  <c r="P27" i="21" s="1"/>
  <c r="S27" i="21" s="1"/>
  <c r="O25" i="21"/>
  <c r="P25" i="21" s="1" a="1"/>
  <c r="P25" i="21" s="1"/>
  <c r="S25" i="21" s="1"/>
  <c r="AK84" i="20"/>
  <c r="AK191" i="20" s="1"/>
  <c r="T811" i="20" s="1"/>
  <c r="AF811" i="20" s="1"/>
  <c r="BE76" i="3" s="1"/>
  <c r="D13" i="11"/>
  <c r="O58" i="7"/>
  <c r="Q53" i="7"/>
  <c r="T105" i="4"/>
  <c r="H97" i="13"/>
  <c r="P28" i="21" a="1"/>
  <c r="P28" i="21" s="1"/>
  <c r="S28"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AJ711" i="20" s="1"/>
  <c r="AK794" i="20" s="1"/>
  <c r="T819" i="20" s="1"/>
  <c r="AF819" i="20" s="1"/>
  <c r="BE82" i="3" s="1"/>
  <c r="I4" i="7"/>
  <c r="I5" i="7" s="1"/>
  <c r="K9" i="7"/>
  <c r="E11" i="7"/>
  <c r="AJ992" i="3"/>
  <c r="E138" i="20"/>
  <c r="E139" i="20" s="1"/>
  <c r="AK143" i="20" s="1"/>
  <c r="T807" i="20" s="1"/>
  <c r="AF807" i="20" s="1"/>
  <c r="BE74" i="3" s="1"/>
  <c r="AB991" i="3"/>
  <c r="DU802" i="3"/>
  <c r="U373" i="20" s="1"/>
  <c r="P421" i="3"/>
  <c r="I6" i="7"/>
  <c r="G7" i="7"/>
  <c r="G11" i="7" s="1"/>
  <c r="O15" i="7"/>
  <c r="M9" i="7"/>
  <c r="O8" i="7"/>
  <c r="G27" i="21"/>
  <c r="F26" i="21"/>
  <c r="AD11" i="15" l="1"/>
  <c r="AD23" i="15" s="1"/>
  <c r="AD26" i="15" s="1"/>
  <c r="AD28" i="15" s="1"/>
  <c r="AI11" i="15"/>
  <c r="AI23" i="15" s="1"/>
  <c r="AI26" i="15" s="1"/>
  <c r="AI28" i="15" s="1"/>
  <c r="S58" i="7"/>
  <c r="U53" i="7"/>
  <c r="AJ1045" i="3"/>
  <c r="AJ1049" i="3"/>
  <c r="AP553" i="20" s="1"/>
  <c r="AP550" i="20"/>
  <c r="K4" i="7"/>
  <c r="M4" i="7" s="1"/>
  <c r="K6" i="7"/>
  <c r="I7" i="7"/>
  <c r="I11" i="7" s="1"/>
  <c r="G26" i="21"/>
  <c r="F29" i="21"/>
  <c r="G29" i="21"/>
  <c r="Q15" i="7"/>
  <c r="O9" i="7"/>
  <c r="Q8" i="7"/>
  <c r="U58" i="7" l="1"/>
  <c r="W53" i="7"/>
  <c r="AJ1053" i="3"/>
  <c r="AP552" i="20"/>
  <c r="AP554" i="20" s="1"/>
  <c r="K5" i="7"/>
  <c r="O4" i="7"/>
  <c r="M5" i="7"/>
  <c r="M6" i="7"/>
  <c r="K7"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U15" i="7"/>
  <c r="U8" i="7"/>
  <c r="S9" i="7"/>
  <c r="AA53" i="7" l="1"/>
  <c r="Y58" i="7"/>
  <c r="G115" i="21"/>
  <c r="E17" i="21" s="1"/>
  <c r="E14" i="21" s="1"/>
  <c r="E18" i="21" s="1"/>
  <c r="S4" i="7"/>
  <c r="Q5" i="7"/>
  <c r="O7" i="7"/>
  <c r="O11" i="7" s="1"/>
  <c r="Q6" i="7"/>
  <c r="W15" i="7"/>
  <c r="U9" i="7"/>
  <c r="W8" i="7"/>
  <c r="AC53" i="7" l="1"/>
  <c r="AA58" i="7"/>
  <c r="U4" i="7"/>
  <c r="S5" i="7"/>
  <c r="Q7" i="7"/>
  <c r="Q11" i="7" s="1"/>
  <c r="S6" i="7"/>
  <c r="Y15" i="7"/>
  <c r="W9" i="7"/>
  <c r="Y8" i="7"/>
  <c r="AE53" i="7" l="1"/>
  <c r="AC58" i="7"/>
  <c r="U5" i="7"/>
  <c r="W4" i="7"/>
  <c r="S7" i="7"/>
  <c r="S11" i="7" s="1"/>
  <c r="U6" i="7"/>
  <c r="AA15" i="7"/>
  <c r="Y9" i="7"/>
  <c r="AA8" i="7"/>
  <c r="AG53" i="7" l="1"/>
  <c r="AG58" i="7" s="1"/>
  <c r="AE58" i="7"/>
  <c r="W5" i="7"/>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E103" i="20"/>
  <c r="E106" i="20" s="1"/>
  <c r="AP106" i="20" s="1"/>
  <c r="AK109" i="20" s="1"/>
  <c r="T806" i="20" s="1"/>
  <c r="AF806" i="20" s="1"/>
  <c r="BE73" i="3" s="1"/>
  <c r="H3" i="21" l="1"/>
  <c r="E28" i="7" l="1"/>
  <c r="W855" i="3"/>
  <c r="E17" i="7" l="1"/>
  <c r="AC883" i="3"/>
  <c r="AC885" i="3" s="1"/>
  <c r="U28" i="7"/>
  <c r="M28" i="7"/>
  <c r="S28" i="7"/>
  <c r="K28" i="7"/>
  <c r="Q28" i="7"/>
  <c r="AC28" i="7"/>
  <c r="W28" i="7"/>
  <c r="AE28" i="7"/>
  <c r="I28" i="7"/>
  <c r="O28" i="7"/>
  <c r="AG28" i="7"/>
  <c r="AA28" i="7"/>
  <c r="Y28" i="7"/>
  <c r="G28" i="7"/>
  <c r="B90" i="11" l="1"/>
  <c r="B89" i="13"/>
  <c r="B89" i="4"/>
  <c r="C90" i="11"/>
  <c r="G17" i="7"/>
  <c r="E22" i="7"/>
  <c r="E35" i="7" s="1"/>
  <c r="E37" i="7" s="1"/>
  <c r="D90" i="11" l="1"/>
  <c r="I17" i="7"/>
  <c r="G22" i="7"/>
  <c r="G35" i="7" s="1"/>
  <c r="G37" i="7" s="1"/>
  <c r="K17" i="7" l="1"/>
  <c r="I22" i="7"/>
  <c r="I35" i="7" s="1"/>
  <c r="I37" i="7" s="1"/>
  <c r="M17" i="7" l="1"/>
  <c r="K22" i="7"/>
  <c r="K35" i="7" s="1"/>
  <c r="K37" i="7" s="1"/>
  <c r="O17" i="7" l="1"/>
  <c r="M22" i="7"/>
  <c r="M35" i="7" s="1"/>
  <c r="M37" i="7" s="1"/>
  <c r="Q17" i="7" l="1"/>
  <c r="O22" i="7"/>
  <c r="O35" i="7" s="1"/>
  <c r="O37" i="7" s="1"/>
  <c r="S17" i="7" l="1"/>
  <c r="Q22" i="7"/>
  <c r="Q35" i="7" s="1"/>
  <c r="Q37" i="7" s="1"/>
  <c r="U17" i="7" l="1"/>
  <c r="S22" i="7"/>
  <c r="S35" i="7" s="1"/>
  <c r="S37" i="7" s="1"/>
  <c r="W17" i="7" l="1"/>
  <c r="U22" i="7"/>
  <c r="U35" i="7" s="1"/>
  <c r="U37" i="7" s="1"/>
  <c r="Y17" i="7" l="1"/>
  <c r="W22" i="7"/>
  <c r="W35" i="7" s="1"/>
  <c r="W37" i="7" s="1"/>
  <c r="AA17" i="7" l="1"/>
  <c r="Y22" i="7"/>
  <c r="Y35" i="7" s="1"/>
  <c r="Y37" i="7" s="1"/>
  <c r="AC17" i="7" l="1"/>
  <c r="AA22" i="7"/>
  <c r="AA35" i="7" s="1"/>
  <c r="AA37" i="7" s="1"/>
  <c r="AE17" i="7" l="1"/>
  <c r="AC22" i="7"/>
  <c r="AC35" i="7" s="1"/>
  <c r="AC37" i="7" s="1"/>
  <c r="AG17" i="7" l="1"/>
  <c r="AG22" i="7" s="1"/>
  <c r="AG35" i="7" s="1"/>
  <c r="AG37" i="7" s="1"/>
  <c r="AE22" i="7"/>
  <c r="AE35" i="7" s="1"/>
  <c r="AE37" i="7" s="1"/>
  <c r="M108" i="4" l="1"/>
  <c r="M54" i="4" s="1"/>
  <c r="M63" i="4" s="1"/>
  <c r="M97" i="4" s="1"/>
  <c r="M105" i="4" s="1"/>
  <c r="N10" i="23" l="1"/>
  <c r="F108" i="4"/>
  <c r="G108" i="4" l="1"/>
  <c r="E40" i="7" l="1"/>
  <c r="K40" i="7" l="1"/>
  <c r="U40" i="7"/>
  <c r="M40" i="7"/>
  <c r="AE40" i="7"/>
  <c r="I40" i="7"/>
  <c r="O40" i="7"/>
  <c r="AG40" i="7"/>
  <c r="W40" i="7"/>
  <c r="G40" i="7"/>
  <c r="S40" i="7"/>
  <c r="AA40" i="7"/>
  <c r="AC40" i="7"/>
  <c r="Y40" i="7"/>
  <c r="Q40" i="7"/>
  <c r="E41" i="7" l="1"/>
  <c r="G41" i="7" l="1"/>
  <c r="G43" i="7" s="1"/>
  <c r="W41" i="7"/>
  <c r="W43" i="7" s="1"/>
  <c r="I41" i="7"/>
  <c r="I43" i="7" s="1"/>
  <c r="Y41" i="7"/>
  <c r="Y43" i="7" s="1"/>
  <c r="U41" i="7"/>
  <c r="U43" i="7" s="1"/>
  <c r="K41" i="7"/>
  <c r="K43" i="7" s="1"/>
  <c r="AA41" i="7"/>
  <c r="AA43" i="7" s="1"/>
  <c r="M41" i="7"/>
  <c r="M43" i="7" s="1"/>
  <c r="AC41" i="7"/>
  <c r="AC43" i="7" s="1"/>
  <c r="O41" i="7"/>
  <c r="O43" i="7" s="1"/>
  <c r="AE41" i="7"/>
  <c r="AE43" i="7" s="1"/>
  <c r="S41" i="7"/>
  <c r="S43" i="7" s="1"/>
  <c r="Q41" i="7"/>
  <c r="Q43" i="7" s="1"/>
  <c r="AG41" i="7"/>
  <c r="AG43" i="7" s="1"/>
  <c r="E43" i="7"/>
  <c r="K108" i="4"/>
  <c r="AG49" i="7" l="1"/>
  <c r="AG45" i="7"/>
  <c r="AA45" i="7"/>
  <c r="AA49" i="7"/>
  <c r="S45" i="7"/>
  <c r="S49" i="7"/>
  <c r="M45" i="7"/>
  <c r="M49" i="7"/>
  <c r="E49" i="7"/>
  <c r="E45" i="7"/>
  <c r="K45" i="7"/>
  <c r="K49" i="7"/>
  <c r="Q49" i="7"/>
  <c r="Q45" i="7"/>
  <c r="U45" i="7"/>
  <c r="U49" i="7"/>
  <c r="Y45" i="7"/>
  <c r="Y49" i="7"/>
  <c r="AE45" i="7"/>
  <c r="AE49" i="7"/>
  <c r="I45" i="7"/>
  <c r="I49" i="7"/>
  <c r="O45" i="7"/>
  <c r="O49" i="7"/>
  <c r="W45" i="7"/>
  <c r="W49" i="7"/>
  <c r="AC45" i="7"/>
  <c r="AC49" i="7"/>
  <c r="G45" i="7"/>
  <c r="G49" i="7"/>
  <c r="M60" i="7" l="1"/>
  <c r="M66" i="7" s="1"/>
  <c r="M70" i="7" s="1"/>
  <c r="M48" i="7"/>
  <c r="M47" i="7"/>
  <c r="I60" i="7"/>
  <c r="I66" i="7" s="1"/>
  <c r="I70" i="7" s="1"/>
  <c r="I47" i="7"/>
  <c r="I48" i="7"/>
  <c r="O47" i="7"/>
  <c r="O48" i="7"/>
  <c r="O60" i="7"/>
  <c r="O66" i="7" s="1"/>
  <c r="O70" i="7" s="1"/>
  <c r="AG48" i="7"/>
  <c r="AG47" i="7"/>
  <c r="AG60" i="7"/>
  <c r="U60" i="7"/>
  <c r="U66" i="7" s="1"/>
  <c r="U70" i="7" s="1"/>
  <c r="U47" i="7"/>
  <c r="U48" i="7"/>
  <c r="Q47" i="7"/>
  <c r="Q48" i="7"/>
  <c r="Q60" i="7"/>
  <c r="Q66" i="7" s="1"/>
  <c r="Q70" i="7" s="1"/>
  <c r="G47" i="7"/>
  <c r="G48" i="7"/>
  <c r="G60" i="7"/>
  <c r="G66" i="7" s="1"/>
  <c r="G70" i="7" s="1"/>
  <c r="S48" i="7"/>
  <c r="S47" i="7"/>
  <c r="S60" i="7"/>
  <c r="S66" i="7" s="1"/>
  <c r="S70" i="7" s="1"/>
  <c r="AC47" i="7"/>
  <c r="AC48" i="7"/>
  <c r="AC60" i="7"/>
  <c r="AE48" i="7"/>
  <c r="AE47" i="7"/>
  <c r="AE60" i="7"/>
  <c r="K47" i="7"/>
  <c r="K60" i="7"/>
  <c r="K66" i="7" s="1"/>
  <c r="K70" i="7" s="1"/>
  <c r="K48" i="7"/>
  <c r="AA60" i="7"/>
  <c r="AA66" i="7" s="1"/>
  <c r="AA70" i="7" s="1"/>
  <c r="AA47" i="7"/>
  <c r="AA48" i="7"/>
  <c r="E47" i="7"/>
  <c r="E60" i="7"/>
  <c r="E48" i="7"/>
  <c r="W48" i="7"/>
  <c r="W47" i="7"/>
  <c r="W60" i="7"/>
  <c r="W66" i="7" s="1"/>
  <c r="W70" i="7" s="1"/>
  <c r="Y47" i="7"/>
  <c r="Y48" i="7"/>
  <c r="Y60" i="7"/>
  <c r="Y66" i="7" s="1"/>
  <c r="Y70" i="7" s="1"/>
  <c r="E62" i="7" l="1"/>
  <c r="E66" i="7"/>
  <c r="E70" i="7" s="1"/>
  <c r="E72" i="7" s="1"/>
  <c r="Y64" i="15" l="1"/>
  <c r="Y68" i="15" s="1"/>
  <c r="Y69" i="15" s="1"/>
  <c r="AM566" i="3" l="1"/>
  <c r="G62" i="7" a="1"/>
  <c r="G62" i="7" s="1"/>
  <c r="AO639" i="3"/>
  <c r="AB48" i="15" s="1"/>
  <c r="I108" i="4"/>
  <c r="L108" i="4"/>
  <c r="I62" i="7" l="1" a="1"/>
  <c r="I62" i="7" s="1"/>
  <c r="I72" i="7" s="1"/>
  <c r="G72" i="7"/>
  <c r="K62" i="7" l="1" a="1"/>
  <c r="K62" i="7" s="1"/>
  <c r="M62" i="7" l="1" a="1"/>
  <c r="M62" i="7" s="1"/>
  <c r="M72" i="7" s="1"/>
  <c r="K72" i="7"/>
  <c r="O62" i="7" l="1" a="1"/>
  <c r="O62" i="7" s="1"/>
  <c r="Q62" i="7" l="1" a="1"/>
  <c r="Q62" i="7" s="1"/>
  <c r="O72" i="7"/>
  <c r="Q72" i="7" l="1"/>
  <c r="S62" i="7" a="1"/>
  <c r="S62" i="7" s="1"/>
  <c r="S72" i="7" l="1"/>
  <c r="U62" i="7" a="1"/>
  <c r="U62" i="7" s="1"/>
  <c r="U72" i="7" l="1"/>
  <c r="W62" i="7" a="1"/>
  <c r="W62" i="7" s="1"/>
  <c r="W72" i="7" l="1"/>
  <c r="Y62" i="7" a="1"/>
  <c r="Y62" i="7" s="1"/>
  <c r="Y72" i="7" l="1"/>
  <c r="AA62" i="7" a="1"/>
  <c r="AA62" i="7" s="1"/>
  <c r="AA72" i="7" l="1"/>
  <c r="AC62" i="7"/>
  <c r="AC66" i="7" l="1"/>
  <c r="AC70" i="7" s="1"/>
  <c r="AC72" i="7"/>
  <c r="AE62" i="7"/>
  <c r="AE66" i="7" l="1"/>
  <c r="AE70" i="7" s="1"/>
  <c r="AE72" i="7" s="1"/>
  <c r="AG62" i="7"/>
  <c r="AG66" i="7" l="1"/>
  <c r="AG70" i="7" s="1"/>
  <c r="AG72" i="7"/>
  <c r="AO641" i="3"/>
  <c r="E108" i="4"/>
  <c r="B46" i="11"/>
  <c r="C46" i="11"/>
  <c r="B47" i="11"/>
  <c r="C47" i="11"/>
  <c r="D47" i="11" s="1"/>
  <c r="B45" i="13"/>
  <c r="B46" i="13"/>
  <c r="C54" i="13" s="1"/>
  <c r="C63" i="13" s="1"/>
  <c r="B45" i="4"/>
  <c r="R45" i="4"/>
  <c r="B46" i="4"/>
  <c r="R46" i="4"/>
  <c r="R54" i="4" s="1"/>
  <c r="R63" i="4" s="1"/>
  <c r="C54" i="4"/>
  <c r="B54" i="13" s="1"/>
  <c r="E54" i="4"/>
  <c r="E63" i="4" s="1"/>
  <c r="C55" i="11" l="1"/>
  <c r="B55" i="11"/>
  <c r="B64" i="11" s="1"/>
  <c r="C63" i="4"/>
  <c r="B54" i="4"/>
  <c r="B63" i="4" s="1"/>
  <c r="D55" i="11"/>
  <c r="C64" i="11"/>
  <c r="B63" i="13"/>
  <c r="D46" i="11"/>
  <c r="E46" i="13"/>
  <c r="D64" i="11" l="1"/>
  <c r="E45" i="13"/>
  <c r="F54" i="13" s="1"/>
  <c r="F63" i="13" s="1"/>
  <c r="F97" i="13" s="1"/>
  <c r="S54" i="4"/>
  <c r="E54" i="13" s="1"/>
  <c r="S63" i="4" l="1"/>
  <c r="E63" i="13" l="1"/>
  <c r="S97" i="4"/>
  <c r="E97" i="13" l="1"/>
  <c r="AZ1046" i="3"/>
  <c r="BA1056" i="3" l="1"/>
  <c r="AZ1051" i="3"/>
  <c r="BA1055" i="3" s="1"/>
  <c r="E99" i="13"/>
  <c r="F104" i="13" s="1"/>
  <c r="F105" i="13" s="1"/>
  <c r="F107" i="13" s="1"/>
  <c r="S104" i="4"/>
  <c r="BA1058" i="3" s="1"/>
  <c r="S105" i="4"/>
  <c r="S107" i="4" s="1"/>
  <c r="E104" i="13" l="1"/>
  <c r="BA1059" i="3"/>
  <c r="AF551" i="20"/>
  <c r="AF553" i="20" s="1"/>
  <c r="AK559" i="20" s="1"/>
  <c r="T818" i="20" s="1"/>
  <c r="AF818" i="20" s="1"/>
  <c r="BE81" i="3" s="1"/>
  <c r="AA1056" i="3"/>
  <c r="AA1057" i="3" s="1"/>
  <c r="G1058" i="3" s="1"/>
  <c r="E107" i="13"/>
  <c r="AC456" i="3"/>
  <c r="Y11" i="15"/>
  <c r="Y23" i="15" s="1"/>
  <c r="Y26" i="15" s="1"/>
  <c r="Y28" i="15" s="1"/>
  <c r="T11" i="15"/>
  <c r="T23" i="15" s="1"/>
  <c r="E105" i="13"/>
  <c r="AD38" i="15" l="1"/>
  <c r="AD40" i="15" s="1"/>
  <c r="T26" i="15"/>
  <c r="T28" i="15" s="1"/>
  <c r="T29" i="15" s="1"/>
  <c r="Y38" i="15" l="1"/>
  <c r="Y40" i="15" s="1"/>
  <c r="Y41" i="15" s="1"/>
  <c r="B84" i="11"/>
  <c r="C84" i="11"/>
  <c r="C97" i="11" s="1"/>
  <c r="C98" i="11" s="1"/>
  <c r="B83" i="13"/>
  <c r="B96" i="13"/>
  <c r="C96" i="13"/>
  <c r="C97" i="13" s="1"/>
  <c r="B83" i="4"/>
  <c r="R83" i="4"/>
  <c r="R96" i="4" s="1"/>
  <c r="R97" i="4" s="1"/>
  <c r="C96" i="4"/>
  <c r="B96" i="4" s="1"/>
  <c r="E96" i="4"/>
  <c r="C97" i="4"/>
  <c r="E97" i="4"/>
  <c r="D84" i="11" l="1"/>
  <c r="B97" i="13"/>
  <c r="B97" i="4"/>
  <c r="B97" i="11"/>
  <c r="D97" i="11" l="1"/>
  <c r="B98" i="11"/>
  <c r="D98" i="11" l="1"/>
  <c r="B100" i="11"/>
  <c r="B105" i="11" s="1"/>
  <c r="B106" i="11" s="1"/>
  <c r="C100" i="11"/>
  <c r="C105" i="11" s="1"/>
  <c r="B99" i="13"/>
  <c r="C104" i="13"/>
  <c r="C105" i="13" s="1"/>
  <c r="B99" i="4"/>
  <c r="R99" i="4"/>
  <c r="R104" i="4" s="1"/>
  <c r="R105" i="4" s="1"/>
  <c r="C104" i="4"/>
  <c r="C105" i="4" s="1"/>
  <c r="E104" i="4"/>
  <c r="E105" i="4" s="1"/>
  <c r="D100" i="11" l="1"/>
  <c r="D105" i="11"/>
  <c r="C106" i="11"/>
  <c r="D106" i="11" s="1"/>
  <c r="AG269" i="20"/>
  <c r="B105" i="13"/>
  <c r="B105" i="4"/>
  <c r="BE101" i="3"/>
  <c r="AC455" i="3"/>
  <c r="B104" i="13"/>
  <c r="B104" i="4"/>
  <c r="N185" i="23" l="1"/>
  <c r="AC454" i="3"/>
  <c r="AB47" i="15"/>
  <c r="AB49" i="15" s="1"/>
  <c r="BE22" i="3"/>
  <c r="AB266" i="20"/>
  <c r="AG268" i="20" s="1"/>
  <c r="AG270" i="20" s="1"/>
  <c r="AK273" i="20" s="1"/>
  <c r="T812" i="20" s="1"/>
  <c r="AF812" i="20" s="1"/>
  <c r="BE77" i="3" l="1"/>
  <c r="AF821" i="20"/>
  <c r="BE70" i="3" s="1"/>
  <c r="AB54" i="15"/>
  <c r="AB55" i="15" s="1"/>
  <c r="AB56" i="15" s="1"/>
  <c r="F457" i="3"/>
  <c r="BE44" i="3"/>
  <c r="N186" i="23"/>
  <c r="N196" i="23"/>
  <c r="M26" i="3" l="1"/>
  <c r="AB57" i="15"/>
  <c r="AB59" i="15" l="1"/>
  <c r="AB77" i="15" s="1"/>
  <c r="AB78" i="15" s="1"/>
  <c r="BE19" i="3"/>
  <c r="P204" i="3"/>
  <c r="M27" i="3" l="1"/>
  <c r="AB79" i="15"/>
  <c r="AB81" i="15" s="1"/>
  <c r="J82" i="15" s="1"/>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35415C89-956C-4DFC-BAFE-BA341C9C452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A00DA81C-07E2-40DE-966E-541C92EB29B5}">
      <text>
        <r>
          <rPr>
            <sz val="9"/>
            <color indexed="81"/>
            <rFont val="Tahoma"/>
            <family val="2"/>
          </rPr>
          <t>Input tax-exempt bond amount.  This cell is linked to the tie breaker.  Do not include any taxable bond amount.</t>
        </r>
      </text>
    </comment>
    <comment ref="C555" authorId="0" shapeId="0" xr:uid="{40BCD7EF-5470-4B45-AEDB-8824A4FD6CFD}">
      <text>
        <r>
          <rPr>
            <sz val="9"/>
            <color indexed="81"/>
            <rFont val="Tahoma"/>
            <family val="2"/>
          </rPr>
          <t>Input tax-exempt bond amount.  This cell is linked to the tie breaker.  Do not include any taxable bond amount.</t>
        </r>
      </text>
    </comment>
    <comment ref="C556" authorId="0" shapeId="0" xr:uid="{989555FF-9F58-48D9-BFE4-F447362F7D71}">
      <text>
        <r>
          <rPr>
            <sz val="9"/>
            <color indexed="81"/>
            <rFont val="Tahoma"/>
            <family val="2"/>
          </rPr>
          <t>Input tax-exempt bond amount.  This cell is linked to the tie breaker.  Do not include any taxable bond amount.</t>
        </r>
      </text>
    </comment>
    <comment ref="C627" authorId="0" shapeId="0" xr:uid="{9833E123-E0F6-4A6B-9D14-912FFF654C7D}">
      <text>
        <r>
          <rPr>
            <sz val="9"/>
            <color indexed="81"/>
            <rFont val="Tahoma"/>
            <family val="2"/>
          </rPr>
          <t>Input tax-exempt bond amount.  This cell is linked to the tie breaker.  Do not include any taxable bond amount.</t>
        </r>
      </text>
    </comment>
    <comment ref="C628" authorId="0" shapeId="0" xr:uid="{135793FF-1CE0-428B-851E-3B86EEED662D}">
      <text>
        <r>
          <rPr>
            <sz val="9"/>
            <color indexed="81"/>
            <rFont val="Tahoma"/>
            <family val="2"/>
          </rPr>
          <t>Input tax-exempt bond amount.  This cell is linked to the tie breaker.  Do not include any taxable bond amount.</t>
        </r>
      </text>
    </comment>
    <comment ref="C629" authorId="0" shapeId="0" xr:uid="{C2A7902A-3112-406E-A2B7-4B02D0C45CC1}">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<sst xmlns="http://schemas.openxmlformats.org/spreadsheetml/2006/main" count="5060" uniqueCount="2751">
  <si>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</si>
  <si>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</si>
  <si>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</si>
  <si>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</si>
  <si>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</si>
  <si>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</si>
  <si>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</si>
  <si>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</si>
  <si>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</si>
  <si>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</si>
  <si>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</si>
  <si>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</si>
  <si>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</si>
  <si>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</si>
  <si>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</si>
  <si>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</si>
  <si>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</si>
  <si>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</si>
  <si>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</si>
  <si>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</si>
  <si>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</si>
  <si>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</si>
  <si>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</si>
  <si>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</si>
  <si>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</si>
  <si>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</si>
  <si>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</si>
  <si>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</si>
  <si>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</si>
  <si>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</si>
  <si>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</si>
  <si>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</si>
  <si>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</si>
  <si>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</si>
  <si>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</si>
  <si>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</si>
  <si>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</si>
  <si>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</si>
  <si>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</si>
  <si>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</si>
  <si>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</si>
  <si>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</si>
  <si>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</si>
  <si>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</si>
  <si>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</si>
  <si>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</si>
  <si>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</si>
  <si>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</si>
  <si>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</si>
  <si>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</si>
  <si>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</si>
  <si>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</si>
  <si>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</si>
  <si>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</si>
  <si>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</si>
  <si>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</si>
  <si>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</si>
  <si>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</si>
  <si>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</si>
  <si>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</si>
  <si>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</si>
  <si>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</si>
  <si>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</si>
  <si>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</si>
  <si>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</si>
  <si>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</si>
  <si>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</si>
  <si>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</si>
  <si>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</si>
  <si>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</si>
  <si>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</si>
  <si>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</si>
  <si>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</si>
  <si>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</si>
  <si>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</si>
  <si>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</si>
  <si>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</si>
  <si>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</si>
  <si>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</si>
  <si>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</si>
  <si>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</si>
  <si>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</si>
  <si>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</si>
  <si>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</si>
  <si>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</si>
  <si>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</si>
  <si>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</si>
  <si>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</si>
  <si>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</si>
  <si>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</si>
  <si>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</si>
  <si>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</si>
  <si>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</si>
  <si>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</si>
  <si>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</si>
  <si>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</si>
  <si>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</si>
  <si>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</si>
  <si>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</si>
  <si>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</si>
  <si>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</si>
  <si>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</si>
  <si>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</si>
  <si>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</si>
  <si>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</si>
  <si>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</si>
  <si>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</si>
  <si>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</si>
  <si>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</si>
  <si>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</si>
  <si>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</si>
  <si>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</si>
  <si>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</si>
  <si>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</si>
  <si>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</si>
  <si>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</si>
  <si>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</si>
  <si>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</si>
  <si>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</si>
  <si>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</si>
  <si>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</si>
  <si>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</si>
  <si>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</si>
  <si>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</si>
  <si>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</si>
  <si>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</si>
  <si>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</si>
  <si>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</si>
  <si>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</si>
  <si>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</si>
  <si>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</si>
  <si>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</si>
  <si>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</si>
  <si>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</si>
  <si>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</si>
  <si>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</si>
  <si>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</si>
  <si>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</si>
  <si>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</si>
  <si>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</si>
  <si>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</si>
  <si>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</si>
  <si>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</si>
  <si>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</si>
  <si>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</si>
  <si>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</si>
  <si>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</si>
  <si>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</si>
  <si>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</si>
  <si>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</si>
  <si>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</si>
  <si>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</si>
  <si>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</si>
  <si>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</si>
  <si>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</si>
  <si>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</si>
  <si>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</si>
  <si>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</si>
  <si>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</si>
  <si>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</si>
  <si>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</si>
  <si>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</si>
  <si>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</si>
  <si>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</si>
  <si>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</si>
  <si>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</si>
  <si>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</si>
  <si>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</si>
  <si>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</si>
  <si>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</si>
  <si>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</si>
  <si>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</si>
  <si>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</si>
  <si>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</si>
  <si>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</si>
  <si>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</si>
  <si>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</si>
  <si>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</si>
  <si>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</si>
  <si>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</si>
  <si>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</si>
  <si>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</si>
  <si>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</si>
  <si>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</si>
  <si>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</si>
  <si>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</si>
  <si>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</si>
  <si>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</si>
  <si>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</si>
  <si>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</si>
  <si>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</si>
  <si>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</si>
  <si>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</si>
  <si>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</si>
  <si>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</si>
  <si>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</si>
  <si>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</si>
  <si>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</si>
  <si>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</si>
  <si>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</si>
  <si>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</si>
  <si>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</si>
  <si>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</si>
  <si>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</si>
  <si>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</si>
  <si>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</si>
  <si>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</si>
  <si>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</si>
  <si>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</si>
  <si>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</si>
  <si>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</si>
  <si>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</si>
  <si>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</si>
  <si>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</si>
  <si>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</si>
  <si>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</si>
  <si>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</si>
  <si>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</si>
  <si>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</si>
  <si>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</si>
  <si>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</si>
  <si>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</si>
  <si>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</si>
  <si>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</si>
  <si>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</si>
  <si>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</si>
  <si>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</si>
  <si>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</si>
  <si>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</si>
  <si>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</si>
  <si>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</si>
  <si>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</si>
  <si>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</si>
  <si>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</si>
  <si>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</si>
  <si>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</si>
  <si>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</si>
  <si>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</si>
  <si>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</si>
  <si>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</si>
  <si>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</si>
  <si>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</si>
  <si>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</si>
  <si>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</si>
  <si>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</si>
  <si>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</si>
  <si>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</si>
  <si>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</si>
  <si>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</si>
  <si>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</si>
  <si>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</si>
  <si>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</si>
  <si>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</si>
  <si>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</si>
  <si>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</si>
  <si>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</si>
  <si>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</si>
  <si>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</si>
  <si>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</si>
  <si>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</si>
  <si>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</si>
  <si>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</si>
  <si>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</si>
  <si>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</si>
  <si>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</si>
  <si>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</si>
  <si>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</si>
  <si>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</si>
  <si>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</si>
  <si>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</si>
  <si>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</si>
  <si>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</si>
  <si>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</si>
  <si>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</si>
  <si>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</si>
  <si>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</si>
  <si>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</si>
  <si>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</si>
  <si>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</si>
  <si>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</si>
  <si>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</si>
  <si>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</si>
  <si>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</si>
  <si>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</si>
  <si>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</si>
  <si>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</si>
  <si>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</si>
  <si>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</si>
  <si>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</si>
  <si>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</si>
  <si>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</si>
  <si>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</si>
  <si>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</si>
  <si>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</si>
  <si>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</si>
  <si>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</si>
  <si>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</si>
  <si>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</si>
  <si>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</si>
  <si>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</si>
  <si>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</si>
  <si>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</si>
  <si>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</si>
  <si>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</si>
  <si>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</si>
  <si>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</si>
  <si>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</si>
  <si>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</si>
  <si>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</si>
  <si>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</si>
  <si>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</si>
  <si>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</si>
  <si>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</si>
  <si>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</si>
  <si>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</si>
  <si>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</si>
  <si>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</si>
  <si>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</si>
  <si>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</si>
  <si>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</si>
  <si>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</si>
  <si>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</si>
  <si>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</si>
  <si>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</si>
  <si>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</si>
  <si>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</si>
  <si>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</si>
  <si>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</si>
  <si>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</si>
  <si>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</si>
  <si>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</si>
  <si>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</si>
  <si>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</si>
  <si>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</si>
  <si>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</si>
  <si>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</si>
  <si>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</si>
  <si>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</si>
  <si>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</si>
  <si>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</si>
  <si>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</si>
  <si>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</si>
  <si>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</si>
  <si>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</si>
  <si>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</si>
  <si>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</si>
  <si>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</si>
  <si>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</si>
  <si>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</si>
  <si>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</si>
  <si>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</si>
  <si>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</si>
  <si>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</si>
  <si>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</si>
  <si>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</si>
  <si>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</si>
  <si>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</si>
  <si>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</si>
  <si>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</si>
  <si>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</si>
  <si>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</si>
  <si>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</si>
  <si>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</si>
  <si>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</si>
  <si>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</si>
  <si>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</si>
  <si>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</si>
  <si>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</si>
  <si>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</si>
  <si>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</si>
  <si>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</si>
  <si>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</si>
  <si>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</si>
  <si>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</si>
  <si>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</si>
  <si>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</si>
  <si>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</si>
  <si>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</si>
  <si>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</si>
  <si>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</si>
  <si>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</si>
  <si>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</si>
  <si>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</si>
  <si>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</si>
  <si>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</si>
  <si>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</si>
  <si>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</si>
  <si>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</si>
  <si>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</si>
  <si>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</si>
  <si>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</si>
  <si>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</si>
  <si>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</si>
  <si>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</si>
  <si>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</si>
  <si>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</si>
  <si>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</si>
  <si>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</si>
  <si>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</si>
  <si>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</si>
  <si>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</si>
  <si>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</si>
  <si>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</si>
  <si>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</si>
  <si>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</si>
  <si>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</si>
  <si>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</si>
  <si>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</si>
  <si>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</si>
  <si>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</si>
  <si>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</si>
  <si>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</si>
  <si>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</si>
  <si>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</si>
  <si>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</si>
  <si>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</si>
  <si>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</si>
  <si>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</si>
  <si>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</si>
  <si>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</si>
  <si>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</si>
  <si>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</si>
  <si>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</si>
  <si>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</si>
  <si>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</si>
  <si>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</si>
  <si>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</si>
  <si>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</si>
  <si>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</si>
  <si>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</si>
  <si>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</si>
  <si>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</si>
  <si>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</si>
  <si>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</si>
  <si>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</si>
  <si>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</si>
  <si>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</si>
  <si>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</si>
  <si>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</si>
  <si>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</si>
  <si>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</si>
  <si>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</si>
  <si>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</si>
  <si>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</si>
  <si>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</si>
  <si>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</si>
  <si>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</si>
  <si>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</si>
  <si>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</si>
  <si>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</si>
  <si>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</si>
  <si>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</si>
  <si>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</si>
  <si>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</si>
  <si>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</si>
  <si>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</si>
  <si>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</si>
  <si>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</si>
  <si>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</si>
  <si>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</si>
  <si>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</si>
  <si>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</si>
  <si>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</si>
  <si>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</si>
  <si>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</si>
  <si>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</si>
  <si>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</si>
  <si>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</si>
  <si>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</si>
  <si>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</si>
  <si>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</si>
  <si>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</si>
  <si>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</si>
  <si>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</si>
  <si>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</si>
  <si>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</si>
  <si>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</si>
  <si>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</si>
  <si>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</si>
  <si>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</si>
  <si>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</si>
  <si>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</si>
  <si>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</si>
  <si>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</si>
  <si>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</si>
  <si>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</si>
  <si>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</si>
  <si>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</si>
  <si>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</si>
  <si>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</si>
  <si>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</si>
  <si>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</si>
  <si>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</si>
  <si>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</si>
  <si>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</si>
  <si>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</si>
  <si>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</si>
  <si>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</si>
  <si>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</si>
  <si>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</si>
  <si>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</si>
  <si>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</si>
  <si>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</si>
  <si>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</si>
  <si>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</si>
  <si>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</si>
  <si>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</si>
  <si>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</si>
  <si>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</si>
  <si>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</si>
  <si>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</si>
  <si>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</si>
  <si>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</si>
  <si>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</si>
  <si>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</si>
  <si>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</si>
  <si>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</si>
  <si>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</si>
  <si>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</si>
  <si>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</si>
  <si>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</si>
  <si>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</si>
  <si>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</si>
  <si>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</si>
  <si>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</si>
  <si>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</si>
  <si>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</si>
  <si>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</si>
  <si>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</si>
  <si>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</si>
  <si>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</si>
  <si>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</si>
  <si>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</si>
  <si>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</si>
  <si>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</si>
  <si>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</si>
  <si>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</si>
  <si>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</si>
  <si>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</si>
  <si>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</si>
  <si>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</si>
  <si>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</si>
  <si>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</si>
  <si>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</si>
  <si>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</si>
  <si>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</si>
  <si>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</si>
  <si>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</si>
  <si>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</si>
  <si>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</si>
  <si>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</si>
  <si>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</si>
  <si>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</si>
  <si>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</si>
  <si>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</si>
  <si>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</si>
  <si>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</si>
  <si>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</si>
  <si>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</si>
  <si>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</si>
  <si>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</si>
  <si>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</si>
  <si>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</si>
  <si>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</si>
  <si>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</si>
  <si>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</si>
  <si>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</si>
  <si>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</si>
  <si>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</si>
  <si>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</si>
  <si>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</si>
  <si>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</si>
  <si>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</si>
  <si>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</si>
  <si>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</si>
  <si>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</si>
  <si>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</si>
  <si>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</si>
  <si>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</si>
  <si>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</si>
  <si>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</si>
  <si>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</si>
  <si>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</si>
  <si>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</si>
  <si>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</si>
  <si>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</si>
  <si>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</si>
  <si>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</si>
  <si>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</si>
  <si>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</si>
  <si>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</si>
  <si>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</si>
  <si>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</si>
  <si>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</si>
  <si>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</si>
  <si>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</si>
  <si>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</si>
  <si>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</si>
  <si>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</si>
  <si>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</si>
  <si>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</si>
  <si>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</si>
  <si>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</si>
  <si>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</si>
  <si>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</si>
  <si>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</si>
  <si>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</si>
  <si>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</si>
  <si>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</si>
  <si>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</si>
  <si>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</si>
  <si>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</si>
  <si>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</si>
  <si>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</si>
  <si>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</si>
  <si>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</si>
  <si>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</si>
  <si>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</si>
  <si>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</si>
  <si>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</si>
  <si>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</si>
  <si>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</si>
  <si>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</si>
  <si>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</si>
  <si>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</si>
  <si>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</si>
  <si>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</si>
  <si>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</si>
  <si>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</si>
  <si>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</si>
  <si>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</si>
  <si>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</si>
  <si>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</si>
  <si>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</si>
  <si>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</si>
  <si>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</si>
  <si>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</si>
  <si>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</si>
  <si>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</si>
  <si>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</si>
  <si>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</si>
  <si>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</si>
  <si>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</si>
  <si>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</si>
  <si>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</si>
  <si>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</si>
  <si>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</si>
  <si>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</si>
  <si>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</si>
  <si>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</si>
  <si>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</si>
  <si>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</si>
  <si>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</si>
  <si>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</si>
  <si>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</si>
  <si>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</si>
  <si>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</si>
  <si>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</si>
  <si>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</si>
  <si>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</si>
  <si>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</si>
  <si>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</si>
  <si>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</si>
  <si>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</si>
  <si>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</si>
  <si>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</si>
  <si>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</si>
  <si>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</si>
  <si>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</si>
  <si>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</si>
  <si>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</si>
  <si>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</si>
  <si>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</si>
  <si>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</si>
  <si>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</si>
  <si>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</si>
  <si>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</si>
  <si>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</si>
  <si>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</si>
  <si>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</si>
  <si>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</si>
  <si>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</si>
  <si>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</si>
  <si>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</si>
  <si>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</si>
  <si>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</si>
  <si>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</si>
  <si>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</si>
  <si>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</si>
  <si>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</si>
  <si>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</si>
  <si>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</si>
  <si>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</si>
  <si>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</si>
  <si>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</si>
  <si>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</si>
  <si>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</si>
  <si>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</si>
  <si>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</si>
  <si>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</si>
  <si>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</si>
  <si>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</si>
  <si>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</si>
  <si>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</si>
  <si>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</si>
  <si>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</si>
  <si>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</si>
  <si>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</si>
  <si>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</si>
  <si>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</si>
  <si>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</si>
  <si>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</si>
  <si>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</si>
  <si>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</si>
  <si>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</si>
  <si>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</si>
  <si>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</si>
  <si>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</si>
  <si>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</si>
  <si>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</si>
  <si>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</si>
  <si>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</si>
  <si>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</si>
  <si>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</si>
  <si>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</si>
  <si>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</si>
  <si>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</si>
  <si>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</si>
  <si>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</si>
  <si>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</si>
  <si>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</si>
  <si>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</si>
  <si>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</si>
  <si>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</si>
  <si>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</si>
  <si>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</si>
  <si>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</si>
  <si>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</si>
  <si>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</si>
  <si>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</si>
  <si>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</si>
  <si>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</si>
  <si>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</si>
  <si>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</si>
  <si>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</si>
  <si>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</si>
  <si>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</si>
  <si>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</si>
  <si>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</si>
  <si>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</si>
  <si>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</si>
  <si>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</si>
  <si>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</si>
  <si>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</si>
  <si>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</si>
  <si>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</si>
  <si>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</si>
  <si>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</si>
  <si>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</si>
  <si>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</si>
  <si>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</si>
  <si>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</si>
  <si>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</si>
  <si>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</si>
  <si>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</si>
  <si>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</si>
  <si>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</si>
  <si>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</si>
  <si>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</si>
  <si>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</si>
  <si>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</si>
  <si>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</si>
  <si>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</si>
  <si>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</si>
  <si>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</si>
  <si>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</si>
  <si>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</si>
  <si>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</si>
  <si>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</si>
  <si>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</si>
  <si>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</si>
  <si>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</si>
  <si>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</si>
  <si>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</si>
  <si>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</si>
  <si>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</si>
  <si>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</si>
  <si>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</si>
  <si>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</si>
  <si>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</si>
  <si>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</si>
  <si>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</si>
  <si>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</si>
  <si>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</si>
  <si>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</si>
  <si>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</si>
  <si>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</si>
  <si>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</si>
  <si>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</si>
  <si>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</si>
  <si>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</si>
  <si>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</si>
  <si>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</si>
  <si>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</si>
  <si>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</si>
  <si>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</si>
  <si>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</si>
  <si>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</si>
  <si>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</si>
  <si>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</si>
  <si>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</si>
  <si>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</si>
  <si>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</si>
  <si>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</si>
  <si>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</si>
  <si>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</si>
  <si>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</si>
  <si>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</si>
  <si>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</si>
  <si>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</si>
  <si>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</si>
  <si>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</si>
  <si>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</si>
  <si>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</si>
  <si>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</si>
  <si>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</si>
  <si>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</si>
  <si>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</si>
  <si>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</si>
  <si>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</si>
  <si>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</si>
  <si>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</si>
  <si>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</si>
  <si>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</si>
  <si>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</si>
  <si>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</si>
  <si>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</si>
  <si>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</si>
  <si>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</si>
  <si>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</si>
  <si>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</si>
  <si>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</si>
  <si>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</si>
  <si>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</si>
  <si>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</si>
  <si>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</si>
  <si>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</si>
  <si>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</si>
  <si>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</si>
  <si>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</si>
  <si>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</si>
  <si>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</si>
  <si>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</si>
  <si>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</si>
  <si>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</si>
  <si>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</si>
  <si>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</si>
  <si>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</si>
  <si>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</si>
  <si>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</si>
  <si>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</si>
  <si>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</si>
  <si>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</si>
  <si>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</si>
  <si>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</si>
  <si>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</si>
  <si>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</si>
  <si>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</si>
  <si>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</si>
  <si>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</si>
  <si>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</si>
  <si>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</si>
  <si>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</si>
  <si>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</si>
  <si>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</si>
  <si>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</si>
  <si>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</si>
  <si>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</si>
  <si>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</si>
  <si>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</si>
  <si>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</si>
  <si>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</si>
  <si>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</si>
  <si>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</si>
  <si>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</si>
  <si>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</si>
  <si>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</si>
  <si>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</si>
  <si>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</si>
  <si>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</si>
  <si>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</si>
  <si>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</si>
  <si>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</si>
  <si>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</si>
  <si>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</si>
  <si>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</si>
  <si>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</si>
  <si>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</si>
  <si>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</si>
  <si>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</si>
  <si>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</si>
  <si>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</si>
  <si>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</si>
  <si>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</si>
  <si>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</si>
  <si>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</si>
  <si>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</si>
  <si>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</si>
  <si>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</si>
  <si>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</si>
  <si>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</si>
  <si>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</si>
  <si>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</si>
  <si>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</si>
  <si>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</si>
  <si>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</si>
  <si>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</si>
  <si>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</si>
  <si>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</si>
  <si>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</si>
  <si>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</si>
  <si>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</si>
  <si>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</si>
  <si>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</si>
  <si>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</si>
  <si>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</si>
  <si>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</si>
  <si>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</si>
  <si>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</si>
  <si>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</si>
  <si>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</si>
  <si>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</si>
  <si>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</si>
  <si>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</si>
  <si>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</si>
  <si>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</si>
  <si>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</si>
  <si>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</si>
  <si>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</si>
  <si>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</si>
  <si>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</si>
  <si>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</si>
  <si>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</si>
  <si>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</si>
  <si>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</si>
  <si>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</si>
  <si>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</si>
  <si>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</si>
  <si>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</si>
  <si>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</si>
  <si>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</si>
  <si>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</si>
  <si>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</si>
  <si>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</si>
  <si>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</si>
  <si>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</si>
  <si>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</si>
  <si>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</si>
  <si>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</si>
  <si>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</si>
  <si>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</si>
  <si>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</si>
  <si>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</si>
  <si>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</si>
  <si>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</si>
  <si>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</si>
  <si>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</si>
  <si>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</si>
  <si>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</si>
  <si>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</si>
  <si>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</si>
  <si>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</si>
  <si>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</si>
  <si>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</si>
  <si>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</si>
  <si>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</si>
  <si>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</si>
  <si>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</si>
  <si>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</si>
  <si>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</si>
  <si>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</si>
  <si>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</si>
  <si>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</si>
  <si>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</si>
  <si>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</si>
  <si>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</si>
  <si>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</si>
  <si>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</si>
  <si>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</si>
  <si>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</si>
  <si>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</si>
  <si>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</si>
  <si>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</si>
  <si>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</si>
  <si>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</si>
  <si>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</si>
  <si>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</si>
  <si>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</si>
  <si>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</si>
  <si>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</si>
  <si>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</si>
  <si>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</si>
  <si>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</si>
  <si>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</si>
  <si>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</si>
  <si>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</si>
  <si>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</si>
  <si>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</si>
  <si>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</si>
  <si>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</si>
  <si>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</si>
  <si>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</si>
  <si>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</si>
  <si>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</si>
  <si>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</si>
  <si>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</si>
  <si>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</si>
  <si>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</si>
  <si>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</si>
  <si>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</si>
  <si>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</si>
  <si>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</si>
  <si>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</si>
  <si>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</si>
  <si>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</si>
  <si>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</si>
  <si>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</si>
  <si>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</si>
  <si>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</si>
  <si>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</si>
  <si>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</si>
  <si>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</si>
  <si>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</si>
  <si>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</si>
  <si>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</si>
  <si>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</si>
  <si>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</si>
  <si>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</si>
  <si>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</si>
  <si>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</si>
  <si>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</si>
  <si>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</si>
  <si>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</si>
  <si>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</si>
  <si>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</si>
  <si>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</si>
  <si>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</si>
  <si>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</si>
  <si>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</si>
  <si>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</si>
  <si>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</si>
  <si>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</si>
  <si>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</si>
  <si>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</si>
  <si>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</si>
  <si>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</si>
  <si>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</si>
  <si>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</si>
  <si>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</si>
  <si>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</si>
  <si>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</si>
  <si>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</si>
  <si>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</si>
  <si>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</si>
  <si>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</si>
  <si>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</si>
  <si>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</si>
  <si>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</si>
  <si>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</si>
  <si>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</si>
  <si>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</si>
  <si>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</si>
  <si>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</si>
  <si>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</si>
  <si>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</si>
  <si>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</si>
  <si>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</si>
  <si>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</si>
  <si>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</si>
  <si>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</si>
  <si>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</si>
  <si>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</si>
  <si>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</si>
  <si>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</si>
  <si>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</si>
  <si>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</si>
  <si>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</si>
  <si>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</si>
  <si>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</si>
  <si>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</si>
  <si>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</si>
  <si>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</si>
  <si>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</si>
  <si>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</si>
  <si>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</si>
  <si>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</si>
  <si>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</si>
  <si>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</si>
  <si>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</si>
  <si>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</si>
  <si>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</si>
  <si>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</si>
  <si>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</si>
  <si>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</si>
  <si>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</si>
  <si>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</si>
  <si>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</si>
  <si>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</si>
  <si>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</si>
  <si>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</si>
  <si>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</si>
  <si>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</si>
  <si>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</si>
  <si>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</si>
  <si>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</si>
  <si>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</si>
  <si>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</si>
  <si>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</si>
  <si>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</si>
  <si>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</si>
  <si>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</si>
  <si>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</si>
  <si>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</si>
  <si>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</si>
  <si>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</si>
  <si>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</si>
  <si>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</si>
  <si>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</si>
  <si>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</si>
  <si>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</si>
  <si>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</si>
  <si>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</si>
  <si>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</si>
  <si>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</si>
  <si>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</si>
  <si>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</si>
  <si>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</si>
  <si>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</si>
  <si>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</si>
  <si>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</si>
  <si>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</si>
  <si>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</si>
  <si>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</si>
  <si>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</si>
  <si>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</si>
  <si>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</si>
  <si>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</si>
  <si>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</si>
  <si>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</si>
  <si>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</si>
  <si>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</si>
  <si>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</si>
  <si>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</si>
  <si>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</si>
  <si>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</si>
  <si>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</si>
  <si>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</si>
  <si>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</si>
  <si>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</si>
  <si>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</si>
  <si>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</si>
  <si>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</si>
  <si>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</si>
  <si>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</si>
  <si>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</si>
  <si>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</si>
  <si>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</si>
  <si>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</si>
  <si>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</si>
  <si>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</si>
  <si>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</si>
  <si>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</si>
  <si>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</si>
  <si>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</si>
  <si>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</si>
  <si>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</si>
  <si>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</si>
  <si>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</si>
  <si>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</si>
  <si>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</si>
  <si>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</si>
  <si>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</si>
  <si>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</si>
  <si>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</si>
  <si>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</si>
  <si>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</si>
  <si>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</si>
  <si>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</si>
  <si>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</si>
  <si>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</si>
  <si>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</si>
  <si>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</si>
  <si>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</si>
  <si>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</si>
  <si>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</si>
  <si>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</si>
  <si>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</si>
  <si>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</si>
  <si>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</si>
  <si>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</si>
  <si>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</si>
  <si>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</si>
  <si>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</si>
  <si>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</si>
  <si>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</si>
  <si>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</si>
  <si>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</si>
  <si>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</si>
  <si>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</si>
  <si>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</si>
  <si>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</si>
  <si>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</si>
  <si>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</si>
  <si>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</si>
  <si>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</si>
  <si>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</si>
  <si>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</si>
  <si>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</si>
  <si>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</si>
  <si>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</si>
  <si>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</si>
  <si>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</si>
  <si>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</si>
  <si>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</si>
  <si>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</si>
  <si>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</si>
  <si>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</si>
  <si>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</si>
  <si>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</si>
  <si>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</si>
  <si>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</si>
  <si>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</si>
  <si>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</si>
  <si>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</si>
  <si>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</si>
  <si>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</si>
  <si>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</si>
  <si>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</si>
  <si>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</si>
  <si>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</si>
  <si>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</si>
  <si>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</si>
  <si>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</si>
  <si>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</si>
  <si>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</si>
  <si>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</si>
  <si>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</si>
  <si>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</si>
  <si>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</si>
  <si>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</si>
  <si>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</si>
  <si>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</si>
  <si>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</si>
  <si>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</si>
  <si>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</si>
  <si>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</si>
  <si>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</si>
  <si>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</si>
  <si>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</si>
  <si>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</si>
  <si>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</si>
  <si>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</si>
  <si>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</si>
  <si>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</si>
  <si>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</si>
  <si>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</si>
  <si>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</si>
  <si>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</si>
  <si>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</si>
  <si>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</si>
  <si>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</si>
  <si>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</si>
  <si>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</si>
  <si>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</si>
  <si>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</si>
  <si>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</si>
  <si>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</si>
  <si>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</si>
  <si>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</si>
  <si>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</si>
  <si>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</si>
  <si>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</si>
  <si>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</si>
  <si>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</si>
  <si>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</si>
  <si>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</si>
  <si>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</si>
  <si>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</si>
  <si>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</si>
  <si>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</si>
  <si>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</si>
  <si>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</si>
  <si>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</si>
  <si>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</si>
  <si>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</si>
  <si>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</si>
  <si>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</si>
  <si>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</si>
  <si>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</si>
  <si>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</si>
  <si>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</si>
  <si>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</si>
  <si>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</si>
  <si>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</si>
  <si>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</si>
  <si>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</si>
  <si>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</si>
  <si>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</si>
  <si>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</si>
  <si>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</si>
  <si>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</si>
  <si>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</si>
  <si>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</si>
  <si>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</si>
  <si>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</si>
  <si>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</si>
  <si>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</si>
  <si>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</si>
  <si>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</si>
  <si>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</si>
  <si>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</si>
  <si>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</si>
  <si>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</si>
  <si>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</si>
  <si>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</si>
  <si>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</si>
  <si>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</si>
  <si>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</si>
  <si>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</si>
  <si>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</si>
  <si>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</si>
  <si>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</si>
  <si>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</si>
  <si>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</si>
  <si>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</si>
  <si>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</si>
  <si>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</si>
  <si>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</si>
  <si>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</si>
  <si>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</si>
  <si>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</si>
  <si>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</si>
  <si>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</si>
  <si>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</si>
  <si>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</si>
  <si>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</si>
  <si>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</si>
  <si>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</si>
  <si>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</si>
  <si>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</si>
  <si>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</si>
  <si>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</si>
  <si>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</si>
  <si>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</si>
  <si>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</si>
  <si>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</si>
  <si>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</si>
  <si>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</si>
  <si>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</si>
  <si>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</si>
  <si>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</si>
  <si>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</si>
  <si>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</si>
  <si>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</si>
  <si>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</si>
  <si>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</si>
  <si>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</si>
  <si>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</si>
  <si>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</si>
  <si>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</si>
  <si>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</si>
  <si>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</si>
  <si>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</si>
  <si>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</si>
  <si>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</si>
  <si>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</si>
  <si>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</si>
  <si>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</si>
  <si>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</si>
  <si>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</si>
  <si>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</si>
  <si>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</si>
  <si>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</si>
  <si>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</si>
  <si>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</si>
  <si>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</si>
  <si>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</si>
  <si>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</si>
  <si>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</si>
  <si>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</si>
  <si>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</si>
  <si>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</si>
  <si>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</si>
  <si>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</si>
  <si>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</si>
  <si>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</si>
  <si>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</si>
  <si>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</si>
  <si>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</si>
  <si>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</si>
  <si>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</si>
  <si>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</si>
  <si>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</si>
  <si>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</si>
  <si>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</si>
  <si>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</si>
  <si>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</si>
  <si>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</si>
  <si>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</si>
  <si>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</si>
  <si>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</si>
  <si>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</si>
  <si>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</si>
  <si>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</si>
  <si>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</si>
  <si>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</si>
  <si>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</si>
  <si>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</si>
  <si>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</si>
  <si>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</si>
  <si>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</si>
  <si>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</si>
  <si>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</si>
  <si>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</si>
  <si>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</si>
  <si>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</si>
  <si>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</si>
  <si>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</si>
  <si>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</si>
  <si>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</si>
  <si>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</si>
  <si>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</si>
  <si>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</si>
  <si>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</si>
  <si>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</si>
  <si>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</si>
  <si>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</si>
  <si>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</si>
  <si>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</si>
  <si>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</si>
  <si>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</si>
  <si>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</si>
  <si>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</si>
  <si>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</si>
  <si>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</si>
  <si>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</si>
  <si>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</si>
  <si>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</si>
  <si>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</si>
  <si>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</si>
  <si>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</si>
  <si>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</si>
  <si>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</si>
  <si>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</si>
  <si>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</si>
  <si>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</si>
  <si>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</si>
  <si>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</si>
  <si>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</si>
  <si>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</si>
  <si>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</si>
  <si>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</si>
  <si>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</si>
  <si>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</si>
  <si>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</si>
  <si>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</si>
  <si>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</si>
  <si>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</si>
  <si>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</si>
  <si>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</si>
  <si>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</si>
  <si>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</si>
  <si>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</si>
  <si>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</si>
  <si>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</si>
  <si>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</si>
  <si>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</si>
  <si>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</si>
  <si>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</si>
  <si>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</si>
  <si>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</si>
  <si>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</si>
  <si>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</si>
  <si>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</si>
  <si>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</si>
  <si>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</si>
  <si>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</si>
  <si>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</si>
  <si>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</si>
  <si>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</si>
  <si>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</si>
  <si>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</si>
  <si>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</si>
  <si>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</si>
  <si>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</si>
  <si>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</si>
  <si>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</si>
  <si>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</si>
  <si>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</si>
  <si>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</si>
  <si>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</si>
  <si>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</si>
  <si>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</si>
  <si>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</si>
  <si>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</si>
  <si>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</si>
  <si>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</si>
  <si>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</si>
  <si>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</si>
  <si>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</si>
  <si>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</si>
  <si>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</si>
  <si>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</si>
  <si>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</si>
  <si>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</si>
  <si>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</si>
  <si>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</si>
  <si>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</si>
  <si>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</si>
  <si>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</si>
  <si>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</si>
  <si>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</si>
  <si>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</si>
  <si>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</si>
  <si>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</si>
  <si>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</si>
  <si>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</si>
  <si>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</si>
  <si>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</si>
  <si>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</si>
  <si>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</si>
  <si>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</si>
  <si>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</si>
  <si>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</si>
  <si>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</si>
  <si>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</si>
  <si>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</si>
  <si>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</si>
  <si>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</si>
  <si>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</si>
  <si>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</si>
  <si>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</si>
  <si>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</si>
  <si>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</si>
  <si>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</si>
  <si>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</si>
  <si>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</si>
  <si>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</si>
  <si>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</si>
  <si>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</si>
  <si>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</si>
  <si>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</si>
  <si>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</si>
  <si>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</si>
  <si>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</si>
  <si>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</si>
  <si>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</si>
  <si>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</si>
  <si>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</si>
  <si>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</si>
  <si>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</si>
  <si>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</si>
  <si>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</si>
  <si>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</si>
  <si>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</si>
  <si>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</si>
  <si>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</si>
  <si>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</si>
  <si>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</si>
  <si>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</si>
  <si>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</si>
  <si>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</si>
  <si>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</si>
  <si>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</si>
  <si>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</si>
  <si>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</si>
  <si>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</si>
  <si>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</si>
  <si>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</si>
  <si>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</si>
  <si>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</si>
  <si>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</si>
  <si>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</si>
  <si>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</si>
  <si>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</si>
  <si>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</si>
  <si>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</si>
  <si>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</si>
  <si>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</si>
  <si>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</si>
  <si>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</si>
  <si>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</si>
  <si>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</si>
  <si>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</si>
  <si>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</si>
  <si>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</si>
  <si>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</si>
  <si>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</si>
  <si>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</si>
  <si>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</si>
  <si>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</si>
  <si>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</si>
  <si>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</si>
  <si>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</si>
  <si>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</si>
  <si>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</si>
  <si>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</si>
  <si>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</si>
  <si>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</si>
  <si>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</si>
  <si>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</si>
  <si>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</si>
  <si>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</si>
  <si>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</si>
  <si>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</si>
  <si>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</si>
  <si>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</si>
  <si>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</si>
  <si>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</si>
  <si>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</si>
  <si>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</si>
  <si>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</si>
  <si>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</si>
  <si>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</si>
  <si>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</si>
  <si>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</si>
  <si>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</si>
  <si>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</si>
  <si>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</si>
  <si>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</si>
  <si>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</si>
  <si>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</si>
  <si>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</si>
  <si>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</si>
  <si>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</si>
  <si>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</si>
  <si>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</si>
  <si>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</si>
  <si>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</si>
  <si>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</si>
  <si>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</si>
  <si>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</si>
  <si>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</si>
  <si>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</si>
  <si>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</si>
  <si>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</si>
  <si>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</si>
  <si>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</si>
  <si>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</si>
  <si>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</si>
  <si>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</si>
  <si>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</si>
  <si>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</si>
  <si>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</si>
  <si>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</si>
  <si>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</si>
  <si>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</si>
  <si>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</si>
  <si>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</si>
  <si>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</si>
  <si>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</si>
  <si>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</si>
  <si>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</si>
  <si>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</si>
  <si>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</si>
  <si>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</si>
  <si>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</si>
  <si>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</si>
  <si>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</si>
  <si>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</si>
  <si>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</si>
  <si>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</si>
  <si>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</si>
  <si>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</si>
  <si>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</si>
  <si>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</si>
  <si>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</si>
  <si>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</si>
  <si>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</si>
  <si>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</si>
  <si>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</si>
  <si>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</si>
  <si>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</si>
  <si>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</si>
  <si>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</si>
  <si>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</si>
  <si>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</si>
  <si>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</si>
  <si>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</si>
  <si>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</si>
  <si>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</si>
  <si>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</si>
  <si>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</si>
  <si>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</si>
  <si>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</si>
  <si>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</si>
  <si>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</si>
  <si>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</si>
  <si>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</si>
  <si>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</si>
  <si>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</si>
  <si>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</si>
  <si>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</si>
  <si>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</si>
  <si>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</si>
  <si>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</si>
  <si>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</si>
  <si>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</si>
  <si>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</si>
  <si>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</si>
  <si>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</si>
  <si>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</si>
  <si>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</si>
  <si>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</si>
  <si>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</si>
  <si>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</si>
  <si>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</si>
  <si>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</si>
  <si>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</si>
  <si>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</si>
  <si>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</si>
  <si>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</si>
  <si>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</si>
  <si>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</si>
  <si>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</si>
  <si>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</si>
  <si>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</si>
  <si>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</si>
  <si>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</si>
  <si>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</si>
  <si>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</si>
  <si>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</si>
  <si>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</si>
  <si>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</si>
  <si>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</si>
  <si>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</si>
  <si>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</si>
  <si>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</si>
  <si>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</si>
  <si>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</si>
  <si>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</si>
  <si>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</si>
  <si>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</si>
  <si>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</si>
  <si>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</si>
  <si>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</si>
  <si>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</si>
  <si>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</si>
  <si>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</si>
  <si>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</si>
  <si>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</si>
  <si>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</si>
  <si>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</si>
  <si>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</si>
  <si>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</si>
  <si>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</si>
  <si>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</si>
  <si>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</si>
  <si>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</si>
  <si>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</si>
  <si>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</si>
  <si>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</si>
  <si>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</si>
  <si>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</si>
  <si>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</si>
  <si>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</si>
  <si>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</si>
  <si>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</si>
  <si>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</si>
  <si>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</si>
  <si>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</si>
  <si>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</si>
  <si>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</si>
  <si>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</si>
  <si>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</si>
  <si>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</si>
  <si>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</si>
  <si>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</si>
  <si>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</si>
  <si>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</si>
  <si>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</si>
  <si>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</si>
  <si>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</si>
  <si>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</si>
  <si>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</si>
  <si>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</si>
  <si>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</si>
  <si>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</si>
  <si>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</si>
  <si>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</si>
  <si>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</si>
  <si>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</si>
  <si>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</si>
  <si>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</si>
  <si>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</si>
  <si>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</si>
  <si>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</si>
  <si>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</si>
  <si>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</si>
  <si>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</si>
  <si>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</si>
  <si>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</si>
  <si>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</si>
  <si>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</si>
  <si>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</si>
  <si>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</si>
  <si>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</si>
  <si>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</si>
  <si>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</si>
  <si>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</si>
  <si>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</si>
  <si>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</si>
  <si>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</si>
  <si>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</si>
  <si>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</si>
  <si>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</si>
  <si>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</si>
  <si>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</si>
  <si>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</si>
  <si>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</si>
  <si>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</si>
  <si>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</si>
  <si>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</si>
  <si>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</si>
  <si>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</si>
  <si>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</si>
  <si>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</si>
  <si>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</si>
  <si>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</si>
  <si>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</si>
  <si>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</si>
  <si>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</si>
  <si>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</si>
  <si>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</si>
  <si>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</si>
  <si>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</si>
  <si>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</si>
  <si>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</si>
  <si>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</si>
  <si>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</si>
  <si>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</si>
  <si>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</si>
  <si>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</si>
  <si>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</si>
  <si>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</si>
  <si>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</si>
  <si>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</si>
  <si>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</si>
  <si>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</si>
  <si>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</si>
  <si>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</si>
  <si>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</si>
  <si>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</si>
  <si>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</si>
  <si>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</si>
  <si>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</si>
  <si>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</si>
  <si>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</si>
  <si>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</si>
  <si>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</si>
  <si>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</si>
  <si>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</si>
  <si>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</si>
  <si>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</si>
  <si>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</si>
  <si>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</si>
  <si>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</si>
  <si>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</si>
  <si>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</si>
  <si>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</si>
  <si>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</si>
  <si>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</si>
  <si>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</si>
  <si>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</si>
  <si>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</si>
  <si>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</si>
  <si>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</si>
  <si>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</si>
  <si>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</si>
  <si>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</si>
  <si>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</si>
  <si>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</si>
  <si>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</si>
  <si>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</si>
  <si>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</si>
  <si>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</si>
  <si>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</si>
  <si>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</si>
  <si>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</si>
  <si>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</si>
  <si>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</si>
  <si>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</si>
  <si>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</si>
  <si>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</si>
  <si>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</si>
  <si>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</si>
  <si>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</si>
  <si>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</si>
  <si>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</si>
  <si>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</si>
  <si>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</si>
  <si>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</si>
  <si>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</si>
  <si>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</si>
  <si>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</si>
  <si>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</si>
  <si>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</si>
  <si>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</si>
  <si>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</si>
  <si>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</si>
  <si>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</si>
  <si>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</si>
  <si>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</si>
  <si>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</si>
  <si>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</si>
  <si>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</si>
  <si>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</si>
  <si>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</si>
  <si>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</si>
  <si>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</si>
  <si>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</si>
  <si>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</si>
  <si>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</si>
  <si>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</si>
  <si>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</si>
  <si>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</si>
  <si>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</si>
  <si>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</si>
  <si>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</si>
  <si>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</si>
  <si>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</si>
  <si>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</si>
  <si>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</si>
  <si>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</si>
  <si>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</si>
  <si>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</si>
  <si>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</si>
  <si>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</si>
  <si>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</si>
  <si>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</si>
  <si>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</si>
  <si>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</si>
  <si>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</si>
  <si>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</si>
  <si>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</si>
  <si>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</si>
  <si>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</si>
  <si>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</si>
  <si>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</si>
  <si>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</si>
  <si>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</si>
  <si>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</si>
  <si>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</si>
  <si>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</si>
  <si>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</si>
  <si>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</si>
  <si>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</si>
  <si>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</si>
  <si>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</si>
  <si>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</si>
  <si>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</si>
  <si>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</si>
  <si>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</si>
  <si>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</si>
  <si>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</si>
  <si>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</si>
  <si>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</si>
  <si>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</si>
  <si>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</si>
  <si>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</si>
  <si>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</si>
  <si>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</si>
  <si>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</si>
  <si>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</si>
  <si>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</si>
  <si>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</si>
  <si>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</si>
  <si>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</si>
  <si>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</si>
  <si>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</si>
  <si>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</si>
  <si>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</si>
  <si>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</si>
  <si>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</si>
  <si>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</si>
  <si>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</si>
  <si>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</si>
  <si>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</si>
  <si>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</si>
  <si>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</si>
  <si>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</si>
  <si>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</si>
  <si>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</si>
  <si>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</si>
  <si>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</si>
  <si>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</si>
  <si>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</si>
  <si>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</si>
  <si>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</si>
  <si>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</si>
  <si>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</si>
  <si>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</si>
  <si>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</si>
  <si>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</si>
  <si>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</si>
  <si>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</si>
  <si>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</si>
  <si>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</si>
  <si>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</si>
  <si>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</si>
  <si>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</si>
  <si>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</si>
  <si>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</si>
  <si>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</si>
  <si>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</si>
  <si>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</si>
  <si>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</si>
  <si>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</si>
  <si>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</si>
  <si>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</si>
  <si>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</si>
  <si>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</si>
  <si>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</si>
  <si>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</si>
  <si>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</si>
  <si>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</si>
  <si>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</si>
  <si>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</si>
  <si>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</si>
  <si>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</si>
  <si>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</si>
  <si>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</si>
  <si>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</si>
  <si>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</si>
  <si>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</si>
  <si>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</si>
  <si>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</si>
  <si>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</si>
  <si>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</si>
  <si>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</si>
  <si>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</si>
  <si>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</si>
  <si>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</si>
  <si>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</si>
  <si>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</si>
  <si>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</si>
  <si>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</si>
  <si>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</si>
  <si>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</si>
  <si>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</si>
  <si>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</si>
  <si>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</si>
  <si>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</si>
  <si>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</si>
  <si>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</si>
  <si>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</si>
  <si>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</si>
  <si>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</si>
  <si>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</si>
  <si>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</si>
  <si>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</si>
  <si>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</si>
  <si>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</si>
  <si>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</si>
  <si>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</si>
  <si>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</si>
  <si>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</si>
  <si>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</si>
  <si>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</si>
  <si>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</si>
  <si>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</si>
  <si>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</si>
  <si>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</si>
  <si>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</si>
  <si>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</si>
  <si>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</si>
  <si>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</si>
  <si>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</si>
  <si>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</si>
  <si>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</si>
  <si>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</si>
  <si>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</si>
  <si>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</si>
  <si>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</si>
  <si>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</si>
  <si>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</si>
  <si>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</si>
  <si>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</si>
  <si>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</si>
  <si>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</si>
  <si>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</si>
  <si>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</si>
  <si>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</si>
  <si>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</si>
  <si>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</si>
  <si>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</si>
  <si>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</si>
  <si>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</si>
  <si>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</si>
  <si>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</si>
  <si>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</si>
  <si>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</si>
  <si>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</si>
  <si>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</si>
  <si>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</si>
  <si>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</si>
  <si>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</si>
  <si>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</si>
  <si>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</si>
  <si>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</si>
  <si>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</si>
  <si>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</si>
  <si>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</si>
  <si>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</si>
  <si>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</si>
  <si>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</si>
  <si>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</si>
  <si>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</si>
  <si>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</si>
  <si>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</si>
  <si>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</si>
  <si>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</si>
  <si>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</si>
  <si>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</si>
  <si>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</si>
  <si>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</si>
  <si>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</si>
  <si>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</si>
  <si>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</si>
  <si>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</si>
  <si>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</si>
  <si>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</si>
  <si>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</si>
  <si>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</si>
  <si>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</si>
  <si>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</si>
  <si>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</si>
  <si>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</si>
  <si>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</si>
  <si>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</si>
  <si>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</si>
  <si>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</si>
  <si>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</si>
  <si>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</si>
  <si>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</si>
  <si>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</si>
  <si>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</si>
  <si>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</si>
  <si>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</si>
  <si>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</si>
  <si>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</si>
  <si>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</si>
  <si>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</si>
  <si>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</si>
  <si>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</si>
  <si>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</si>
  <si>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</si>
  <si>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</si>
  <si>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</si>
  <si>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</si>
  <si>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</si>
  <si>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</si>
  <si>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</si>
  <si>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</si>
  <si>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</si>
  <si>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</si>
  <si>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</si>
  <si>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</si>
  <si>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</si>
  <si>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</si>
  <si>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</si>
  <si>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</si>
  <si>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</si>
  <si>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</si>
  <si>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</si>
  <si>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</si>
  <si>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</si>
  <si>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</si>
  <si>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</si>
  <si>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</si>
  <si>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</si>
  <si>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</si>
  <si>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</si>
  <si>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</si>
  <si>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</si>
  <si>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</si>
  <si>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</si>
  <si>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</si>
  <si>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</si>
  <si>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</si>
  <si>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</si>
  <si>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</si>
  <si>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</si>
  <si>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</si>
  <si>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</si>
  <si>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</si>
  <si>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</si>
  <si>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</si>
  <si>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</si>
  <si>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</si>
  <si>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</si>
  <si>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</si>
  <si>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</si>
  <si>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</si>
  <si>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</si>
  <si>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</si>
  <si>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</si>
  <si>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</si>
  <si>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</si>
  <si>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</si>
  <si>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</si>
  <si>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</si>
  <si>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</si>
  <si>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</si>
  <si>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</si>
  <si>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</si>
  <si>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</si>
  <si>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</si>
  <si>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</si>
  <si>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</si>
  <si>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</si>
  <si>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</si>
  <si>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</si>
  <si>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</si>
  <si>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</si>
  <si>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</si>
  <si>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</si>
  <si>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</si>
  <si>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</si>
  <si>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</si>
  <si>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</si>
  <si>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</si>
  <si>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</si>
  <si>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</si>
  <si>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</si>
  <si>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</si>
  <si>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</si>
  <si>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</si>
  <si>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</si>
  <si>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</si>
  <si>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</si>
  <si>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</si>
  <si>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</si>
  <si>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</si>
  <si>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</si>
  <si>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</si>
  <si>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</si>
  <si>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</si>
  <si>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</si>
  <si>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</si>
  <si>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</si>
  <si>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</si>
  <si>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</si>
  <si>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</si>
  <si>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</si>
  <si>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</si>
  <si>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</si>
  <si>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</si>
  <si>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</si>
  <si>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</si>
  <si>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</si>
  <si>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</si>
  <si>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</si>
  <si>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</si>
  <si>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</si>
  <si>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</si>
  <si>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</si>
  <si>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</si>
  <si>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</si>
  <si>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</si>
  <si>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</si>
  <si>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</si>
  <si>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</si>
  <si>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</si>
  <si>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</si>
  <si>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</si>
  <si>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</si>
  <si>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</si>
  <si>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</si>
  <si>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</si>
  <si>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</si>
  <si>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</si>
  <si>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</si>
  <si>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</si>
  <si>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</si>
  <si>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</si>
  <si>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</si>
  <si>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</si>
  <si>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</si>
  <si>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</si>
  <si>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</si>
  <si>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</si>
  <si>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</si>
  <si>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</si>
  <si>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</si>
  <si>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</si>
  <si>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</si>
  <si>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</si>
  <si>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</si>
  <si>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</si>
  <si>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</si>
  <si>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</si>
  <si>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</si>
  <si>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</si>
  <si>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</si>
  <si>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</si>
  <si>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</si>
  <si>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</si>
  <si>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</si>
  <si>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</si>
  <si>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</si>
  <si>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</si>
  <si>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</si>
  <si>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</si>
  <si>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</si>
  <si>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</si>
  <si>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</si>
  <si>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</si>
  <si>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</si>
  <si>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</si>
  <si>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</si>
  <si>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</si>
  <si>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</si>
  <si>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</si>
  <si>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</si>
  <si>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</si>
  <si>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</si>
  <si>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</si>
  <si>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</si>
  <si>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</si>
  <si>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</si>
  <si>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</si>
  <si>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</si>
  <si>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</si>
  <si>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</si>
  <si>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</si>
  <si>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</si>
  <si>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</si>
  <si>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</si>
  <si>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</si>
  <si>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</si>
  <si>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</si>
  <si>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</si>
  <si>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</si>
  <si>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</si>
  <si>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</si>
  <si>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</si>
  <si>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</si>
  <si>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</si>
  <si>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</si>
  <si>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</si>
  <si>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</si>
  <si>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</si>
  <si>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</si>
  <si>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</si>
  <si>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</si>
  <si>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</si>
  <si>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</si>
  <si>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</si>
  <si>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</si>
  <si>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</si>
  <si>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</si>
  <si>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</si>
  <si>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</si>
  <si>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</si>
  <si>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</si>
  <si>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</si>
  <si>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</si>
  <si>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</si>
  <si>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</si>
  <si>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</si>
  <si>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</si>
  <si>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</si>
  <si>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</si>
  <si>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</si>
  <si>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</si>
  <si>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</si>
  <si>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</si>
  <si>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</si>
  <si>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</si>
  <si>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</si>
  <si>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</si>
  <si>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</si>
  <si>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</si>
  <si>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</si>
  <si>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</si>
  <si>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</si>
  <si>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</si>
  <si>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</si>
  <si>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</si>
  <si>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</si>
  <si>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</si>
  <si>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</si>
  <si>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</si>
  <si>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</si>
  <si>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</si>
  <si>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</si>
  <si>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</si>
  <si>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</si>
  <si>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</si>
  <si>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</si>
  <si>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</si>
  <si>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</si>
  <si>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</si>
  <si>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</si>
  <si>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</si>
  <si>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</si>
  <si>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</si>
  <si>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</si>
  <si>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</si>
  <si>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</si>
  <si>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</si>
  <si>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</si>
  <si>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</si>
  <si>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</si>
  <si>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</si>
  <si>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</si>
  <si>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</si>
  <si>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</si>
  <si>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</si>
  <si>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</si>
  <si>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</si>
  <si>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</si>
  <si>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</si>
  <si>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</si>
  <si>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</si>
  <si>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</si>
  <si>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</si>
  <si>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</si>
  <si>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</si>
  <si>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</si>
  <si>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</si>
  <si>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</si>
  <si>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</si>
  <si>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</si>
  <si>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</si>
  <si>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</si>
  <si>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</si>
  <si>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</si>
  <si>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</si>
  <si>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</si>
  <si>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</si>
  <si>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</si>
  <si>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</si>
  <si>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</si>
  <si>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</si>
  <si>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</si>
  <si>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</si>
  <si>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</si>
  <si>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</si>
  <si>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</si>
  <si>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</si>
  <si>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</si>
  <si>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</si>
  <si>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</si>
  <si>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</si>
  <si>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</si>
  <si>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</si>
  <si>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</si>
  <si>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</si>
  <si>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</si>
  <si>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</si>
  <si>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</si>
  <si>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</si>
  <si>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</si>
  <si>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</si>
  <si>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</si>
  <si>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</si>
  <si>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</si>
  <si>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</si>
  <si>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</si>
  <si>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</si>
  <si>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</si>
  <si>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</si>
  <si>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</si>
  <si>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</si>
  <si>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</si>
  <si>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</si>
  <si>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</si>
  <si>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</si>
  <si>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</si>
  <si>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</si>
  <si>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</si>
  <si>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</si>
  <si>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</si>
  <si>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</si>
  <si>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</si>
  <si>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</si>
  <si>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</si>
  <si>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</si>
  <si>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</si>
  <si>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</si>
  <si>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</si>
  <si>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</si>
  <si>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</si>
  <si>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</si>
  <si>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</si>
  <si>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</si>
  <si>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</si>
  <si>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</si>
  <si>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</si>
  <si>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</si>
  <si>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</si>
  <si>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</si>
  <si>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</si>
  <si>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</si>
  <si>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</si>
  <si>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</si>
  <si>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</si>
  <si>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</si>
  <si>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</si>
  <si>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</si>
  <si>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</si>
  <si>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</si>
  <si>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</si>
  <si>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</si>
  <si>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</si>
  <si>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</si>
  <si>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</si>
  <si>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</si>
  <si>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</si>
  <si>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</si>
  <si>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</si>
  <si>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</si>
  <si>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</si>
  <si>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</si>
  <si>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</si>
  <si>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</si>
  <si>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</si>
  <si>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</si>
  <si>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</si>
  <si>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</si>
  <si>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</si>
  <si>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</si>
  <si>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</si>
  <si>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</si>
  <si>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</si>
  <si>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</si>
  <si>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</si>
  <si>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</si>
  <si>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</si>
  <si>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</si>
  <si>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</si>
  <si>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</si>
  <si>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</si>
  <si>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</si>
  <si>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</si>
  <si>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</si>
  <si>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</si>
  <si>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</si>
  <si>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</si>
  <si>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</si>
  <si>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</si>
  <si>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</si>
  <si>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</si>
  <si>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</si>
  <si>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</si>
  <si>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</si>
  <si>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</si>
  <si>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</si>
  <si>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</si>
  <si>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</si>
  <si>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</si>
  <si>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</si>
  <si>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</si>
  <si>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</si>
  <si>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</si>
  <si>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</si>
  <si>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</si>
  <si>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</si>
  <si>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</si>
  <si>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</si>
  <si>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</si>
  <si>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</si>
  <si>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</si>
  <si>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</si>
  <si>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</si>
  <si>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</si>
  <si>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</si>
  <si>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</si>
  <si>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</si>
  <si>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</si>
  <si>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</si>
  <si>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</si>
  <si>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</si>
  <si>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</si>
  <si>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</si>
  <si>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</si>
  <si>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</si>
  <si>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</si>
  <si>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</si>
  <si>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</si>
  <si>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</si>
  <si>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</si>
  <si>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</si>
  <si>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</si>
  <si>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</si>
  <si>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</si>
  <si>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</si>
  <si>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</si>
  <si>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</si>
  <si>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</si>
  <si>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</si>
  <si>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</si>
  <si>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</si>
  <si>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</si>
  <si>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</si>
  <si>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</si>
  <si>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</si>
  <si>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</si>
  <si>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</si>
  <si>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Rancho Cordova Owner LP</t>
  </si>
  <si>
    <t>Asteria Flats</t>
  </si>
  <si>
    <t>City of Rancho Cordova</t>
  </si>
  <si>
    <t>Reed Flory</t>
  </si>
  <si>
    <t>Housing Services Manager</t>
  </si>
  <si>
    <t>2729 Prospect Park Dr</t>
  </si>
  <si>
    <t>Rancho Cordova</t>
  </si>
  <si>
    <t>rflory@cityofranchocordova.org</t>
  </si>
  <si>
    <t>SE corner of Sunrise Blvd and Chrysanthy Blvd</t>
  </si>
  <si>
    <t xml:space="preserve">	0087.07</t>
  </si>
  <si>
    <t>067-0430-018-0000</t>
  </si>
  <si>
    <t>40%/60% Average Income</t>
  </si>
  <si>
    <t>401 Wilshire Blvd, 11th Floor</t>
  </si>
  <si>
    <t>Santa Monica</t>
  </si>
  <si>
    <t>CA</t>
  </si>
  <si>
    <t>Brandon Hodge</t>
  </si>
  <si>
    <t>424-222-8253</t>
  </si>
  <si>
    <t>bhodge@lincolnavenue.com</t>
  </si>
  <si>
    <t>Lincoln Avenue Capital LLC</t>
  </si>
  <si>
    <t>Pacific Housing, Inc.</t>
  </si>
  <si>
    <t>2115 J St, Ste 201</t>
  </si>
  <si>
    <t>Managing GP</t>
  </si>
  <si>
    <t>Mat Eland</t>
  </si>
  <si>
    <t>916.903.6213</t>
  </si>
  <si>
    <t>meland@pacifichousing.org</t>
  </si>
  <si>
    <t>Rancho Cordova AGP LLC</t>
  </si>
  <si>
    <t>Administrative GP</t>
  </si>
  <si>
    <t>Developer</t>
  </si>
  <si>
    <t>Santa Monica, CA 90401</t>
  </si>
  <si>
    <t>KTGY</t>
  </si>
  <si>
    <t>17911 Von Karman Ave, Ste 200</t>
  </si>
  <si>
    <t>Irvine, CA 92614</t>
  </si>
  <si>
    <t>Keith Labus</t>
  </si>
  <si>
    <t>949-300-9406</t>
  </si>
  <si>
    <t>klabus@ktgy.com</t>
  </si>
  <si>
    <t>CSI Construction Company</t>
  </si>
  <si>
    <t>500 Broadway</t>
  </si>
  <si>
    <t>Sacramento, CA 95818</t>
  </si>
  <si>
    <t>Gabe VanHooser</t>
  </si>
  <si>
    <t>916-827-6760</t>
  </si>
  <si>
    <t>gvanhooser@csigc.com</t>
  </si>
  <si>
    <t>Cohen Liuzzo PLLC</t>
  </si>
  <si>
    <t>124 N 3rd St, 1</t>
  </si>
  <si>
    <t>Brooklyn, NY 11249</t>
  </si>
  <si>
    <t>Eleor Cohen</t>
  </si>
  <si>
    <t xml:space="preserve">347-886-4118 </t>
  </si>
  <si>
    <t>ecohen@cohenliuzzo.com</t>
  </si>
  <si>
    <t>EisnerAmper LLP</t>
  </si>
  <si>
    <t>11340 Lakefield Drive Suite 150</t>
  </si>
  <si>
    <t>Johns Creek, GA 30097</t>
  </si>
  <si>
    <t>Jeremy Densmore</t>
  </si>
  <si>
    <t>470-273-6610</t>
  </si>
  <si>
    <t>jeremy.densmore@eisneramper.com</t>
  </si>
  <si>
    <t>Redwood Energy</t>
  </si>
  <si>
    <t>1887 Q Street</t>
  </si>
  <si>
    <t>Arcata, CA 95521</t>
  </si>
  <si>
    <t>Sean Armstrong</t>
  </si>
  <si>
    <t>707-234-7573</t>
  </si>
  <si>
    <t>seanarmstrongpm@gmail.com</t>
  </si>
  <si>
    <t>National Equity Fund, Inc.</t>
  </si>
  <si>
    <t>10 S. Riverside Plaza, Suite 1700</t>
  </si>
  <si>
    <t>Chicago, IL 60606</t>
  </si>
  <si>
    <t>Jason Aldridge</t>
  </si>
  <si>
    <t>972-741-5150</t>
  </si>
  <si>
    <t>jaldridge@nefinc.org</t>
  </si>
  <si>
    <t>Novogradac &amp; Company LLP</t>
  </si>
  <si>
    <t>6700 Antioch Rd, #450</t>
  </si>
  <si>
    <t>Merriam, KS 66204</t>
  </si>
  <si>
    <t>Sara Nachbar</t>
  </si>
  <si>
    <t>913-312-4616</t>
  </si>
  <si>
    <t>Sara.Nachbar@novoco.com</t>
  </si>
  <si>
    <t>CBRE</t>
  </si>
  <si>
    <t>4520 Main Street Suite 600</t>
  </si>
  <si>
    <t>Kansas City, MO 64111</t>
  </si>
  <si>
    <t>Matt Hummel</t>
  </si>
  <si>
    <t>816-968-5891</t>
  </si>
  <si>
    <t>matt.hummel@cbre.com</t>
  </si>
  <si>
    <t>California Muncipal Finance Authority</t>
  </si>
  <si>
    <t>2111 Palomar Airport Rd, Suite 320</t>
  </si>
  <si>
    <t>Carlsbad, CA 92011</t>
  </si>
  <si>
    <t>Anthony Stubbs</t>
  </si>
  <si>
    <t>(760) 930-1333</t>
  </si>
  <si>
    <t>(760) 683-3390</t>
  </si>
  <si>
    <t>astubbs@cmfa-ca.com</t>
  </si>
  <si>
    <t>FPI Management, Inc.</t>
  </si>
  <si>
    <t>800 Iron Point Road</t>
  </si>
  <si>
    <t>Folsom, CA 95630</t>
  </si>
  <si>
    <t>George Garcia</t>
  </si>
  <si>
    <t>916-358-7299</t>
  </si>
  <si>
    <t>george.garcia@fpimgt.com</t>
  </si>
  <si>
    <t>Asteria Flats Acquisition Owner LLC</t>
  </si>
  <si>
    <t>Russell Condas</t>
  </si>
  <si>
    <t>Jeremy Bronfman</t>
  </si>
  <si>
    <t>Sole Trustee</t>
  </si>
  <si>
    <t>Other (Specify below)</t>
  </si>
  <si>
    <t>Commercial Mixed Use (CMU)</t>
  </si>
  <si>
    <t>General Commercial (GC) and 23.5 DU per acre</t>
  </si>
  <si>
    <t>CMU allows up to 50 feet, GC allows up to 100 feet</t>
  </si>
  <si>
    <t>1.94 spaces per unit - 1 space per 1 bedroom unit, 2 spaces per 2 bedroom and 3 bedroom units and 0.2 spaces per unit for guests</t>
  </si>
  <si>
    <t>Tax Exempt Recycled Bonds</t>
  </si>
  <si>
    <t>Citibank, N.A.</t>
  </si>
  <si>
    <t>Jefferies LLC</t>
  </si>
  <si>
    <t>National Equity Fund, Inc</t>
  </si>
  <si>
    <t>GP Capital Contribution</t>
  </si>
  <si>
    <t>Deferred Costs</t>
  </si>
  <si>
    <t>Fixed</t>
  </si>
  <si>
    <t>325 E Hillcrest Dr, Ste 160</t>
  </si>
  <si>
    <t>Thousand Oaks, CA 91360</t>
  </si>
  <si>
    <t>Mike Hemmens</t>
  </si>
  <si>
    <t>520 Madison Ave, 4th Floor</t>
  </si>
  <si>
    <t>New York, NY 10022</t>
  </si>
  <si>
    <t>Alan Jaffe</t>
  </si>
  <si>
    <t>10 S. Riverside Plaza</t>
  </si>
  <si>
    <t>Costs Deferred Until Conversion</t>
  </si>
  <si>
    <t>805-358-5673</t>
  </si>
  <si>
    <t>Construction Loan Tax Exempt</t>
  </si>
  <si>
    <t>Construction Loan Taxable</t>
  </si>
  <si>
    <t>212-284-2053</t>
  </si>
  <si>
    <t>Recycled B Bonds</t>
  </si>
  <si>
    <t>LIHTC Equity</t>
  </si>
  <si>
    <t>National Equity Fund, Inc - Solar ITC</t>
  </si>
  <si>
    <t>Cashflow From Operations</t>
  </si>
  <si>
    <t>Short-Term Bond Reinvestment Proceeds</t>
  </si>
  <si>
    <t>First Mortgage - Tax-Exempt</t>
  </si>
  <si>
    <t>First Mortgage -Taxable</t>
  </si>
  <si>
    <t>Solar Tax Credit Equity</t>
  </si>
  <si>
    <t>Parking, Internet, Renter's Insurance, Late Fees, Credit Checks, etc.</t>
  </si>
  <si>
    <t>Air Conditioning</t>
  </si>
  <si>
    <t>CUAC prepared by Redwood Energy</t>
  </si>
  <si>
    <t>Payroll burden/taxes</t>
  </si>
  <si>
    <t>General Office Costs</t>
  </si>
  <si>
    <t>Issuer Fee</t>
  </si>
  <si>
    <t>Other: Solar</t>
  </si>
  <si>
    <t>Other: GC P&amp;P Bond</t>
  </si>
  <si>
    <t>Pacific Housing Inc.</t>
  </si>
  <si>
    <t>CMFA Recycled Bonds</t>
  </si>
  <si>
    <t>Above residual receipts line for cash flow</t>
  </si>
  <si>
    <t>Three-story walk-up garden style with a single story community clubhouse and a single story building for common area laundry and pool equipment.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</si>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</sst>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16" fillId="5" borderId="4" xfId="0" applyFont="1" applyFill="1" applyBorder="1" applyAlignment="1" applyProtection="1">
      <alignment wrapText="1"/>
      <protection locked="0"/>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2140</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652</v>
      </c>
      <c r="F40" s="1262" t="s">
        <v>1163</v>
      </c>
    </row>
    <row r="41" spans="1:38" s="1262"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508</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2040</v>
      </c>
      <c r="F138" s="2"/>
      <c r="G138" s="2"/>
      <c r="H138" s="2"/>
    </row>
    <row r="139" spans="4:37">
      <c r="E139" t="s">
        <v>112</v>
      </c>
      <c r="F139" t="s">
        <v>52</v>
      </c>
    </row>
    <row r="140" spans="4:37">
      <c r="E140" t="s">
        <v>113</v>
      </c>
      <c r="F140" t="s">
        <v>465</v>
      </c>
    </row>
    <row r="141" spans="4:37"/>
    <row r="142" spans="4:37">
      <c r="D142" s="2" t="s">
        <v>428</v>
      </c>
      <c r="E142" s="2" t="s">
        <v>2041</v>
      </c>
    </row>
    <row r="143" spans="4:37">
      <c r="E143" s="204" t="s">
        <v>2042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sqref="A1:J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1584</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69347548</v>
      </c>
      <c r="I3" s="1105"/>
    </row>
    <row r="4" spans="1:13" s="1051" customFormat="1" ht="20.100000000000001" customHeight="1">
      <c r="B4" s="1094"/>
      <c r="D4" s="1108"/>
      <c r="F4" s="1092" t="s">
        <v>1990</v>
      </c>
      <c r="G4" s="1091" t="s">
        <v>1989</v>
      </c>
      <c r="H4" s="1093">
        <f>I18</f>
        <v>32457516.339869279</v>
      </c>
      <c r="I4" s="1095"/>
      <c r="K4" s="1055"/>
    </row>
    <row r="5" spans="1:13" s="1051" customFormat="1" ht="20.100000000000001" customHeight="1" thickBot="1">
      <c r="B5" s="1096"/>
      <c r="C5" s="1097"/>
      <c r="D5" s="1109"/>
      <c r="E5" s="1098"/>
      <c r="F5" s="1109" t="s">
        <v>1940</v>
      </c>
      <c r="G5" s="1110"/>
      <c r="H5" s="1106">
        <f>IFERROR(H3/H4,0)</f>
        <v>2.1365636012887639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1938</v>
      </c>
      <c r="C8" s="2659"/>
      <c r="D8" s="2659"/>
      <c r="E8" s="2660"/>
      <c r="G8" s="2661" t="s">
        <v>1939</v>
      </c>
      <c r="H8" s="2662"/>
      <c r="I8" s="2663"/>
      <c r="K8" s="1057"/>
    </row>
    <row r="9" spans="1:13" ht="15" customHeight="1">
      <c r="A9" s="1046"/>
      <c r="B9" s="2656" t="s">
        <v>1972</v>
      </c>
      <c r="C9" s="2656"/>
      <c r="D9" s="2656"/>
      <c r="E9" s="1059">
        <f>G33</f>
        <v>15150000</v>
      </c>
      <c r="G9" s="2664" t="s">
        <v>1970</v>
      </c>
      <c r="H9" s="2664"/>
      <c r="I9" s="1060">
        <f>SUMIF(Application!M554:M565,"Loan, Tax-Exempt",Application!AM554:AM565)</f>
        <v>32000000</v>
      </c>
      <c r="K9" s="1061"/>
      <c r="M9" s="1062"/>
    </row>
    <row r="10" spans="1:13" ht="15" customHeight="1" thickBot="1">
      <c r="A10" s="1046"/>
      <c r="B10" s="2656" t="s">
        <v>1973</v>
      </c>
      <c r="C10" s="2656"/>
      <c r="D10" s="2656"/>
      <c r="E10" s="1060">
        <f>G47</f>
        <v>30286548.000000007</v>
      </c>
      <c r="G10" s="2668" t="s">
        <v>1941</v>
      </c>
      <c r="H10" s="2668"/>
      <c r="I10" s="1140">
        <f>'Basis &amp; Credits'!AB78</f>
        <v>0</v>
      </c>
      <c r="M10" s="1062"/>
    </row>
    <row r="11" spans="1:13" ht="15" customHeight="1">
      <c r="A11" s="1046"/>
      <c r="B11" s="2672" t="s">
        <v>2261</v>
      </c>
      <c r="C11" s="2673"/>
      <c r="D11" s="2674"/>
      <c r="E11" s="1060">
        <f>SUM(E12,E13)</f>
        <v>580000</v>
      </c>
      <c r="G11" s="2671" t="s">
        <v>1981</v>
      </c>
      <c r="H11" s="2671"/>
      <c r="I11" s="1139">
        <f>I9+I10</f>
        <v>32000000</v>
      </c>
      <c r="M11" s="1062"/>
    </row>
    <row r="12" spans="1:13" ht="15" customHeight="1">
      <c r="A12" s="1063"/>
      <c r="B12" s="2657" t="s">
        <v>2263</v>
      </c>
      <c r="C12" s="2657"/>
      <c r="D12" s="2657"/>
      <c r="E12" s="1165">
        <f>G56</f>
        <v>0</v>
      </c>
      <c r="M12" s="1062"/>
    </row>
    <row r="13" spans="1:13" ht="15" customHeight="1">
      <c r="A13" s="1049"/>
      <c r="B13" s="2657" t="s">
        <v>2264</v>
      </c>
      <c r="C13" s="2657"/>
      <c r="D13" s="2657"/>
      <c r="E13" s="1165">
        <f>G65</f>
        <v>580000</v>
      </c>
      <c r="G13" s="2661" t="s">
        <v>2004</v>
      </c>
      <c r="H13" s="2662"/>
      <c r="I13" s="2663"/>
      <c r="M13" s="1062"/>
    </row>
    <row r="14" spans="1:13" ht="15" customHeight="1">
      <c r="A14" s="1049"/>
      <c r="B14" s="2672" t="s">
        <v>2262</v>
      </c>
      <c r="C14" s="2673"/>
      <c r="D14" s="2674"/>
      <c r="E14" s="1167">
        <f>MAX(E15,E16)+E17</f>
        <v>23331000</v>
      </c>
      <c r="G14" s="2664" t="s">
        <v>139</v>
      </c>
      <c r="H14" s="2664"/>
      <c r="I14" s="1064">
        <f>15%*(AND(G120="Yes",G122&lt;&gt;""))</f>
        <v>0</v>
      </c>
      <c r="M14" s="1062"/>
    </row>
    <row r="15" spans="1:13" ht="15" customHeight="1">
      <c r="A15" s="1049"/>
      <c r="B15" s="2675" t="s">
        <v>2268</v>
      </c>
      <c r="C15" s="2676"/>
      <c r="D15" s="2677"/>
      <c r="E15" s="1165">
        <f>G80</f>
        <v>6060000</v>
      </c>
      <c r="G15" s="1137" t="s">
        <v>1982</v>
      </c>
      <c r="H15" s="1137"/>
      <c r="I15" s="1064">
        <f>IF(Application!AJ1032&gt;0,10%,IF(Application!AJ1036&gt;0,5%,0))</f>
        <v>0</v>
      </c>
      <c r="M15" s="1062"/>
    </row>
    <row r="16" spans="1:13" ht="15" customHeight="1">
      <c r="A16" s="1049"/>
      <c r="B16" s="2675" t="s">
        <v>2267</v>
      </c>
      <c r="C16" s="2676"/>
      <c r="D16" s="2677"/>
      <c r="E16" s="1165">
        <f>G90</f>
        <v>0</v>
      </c>
      <c r="G16" s="2664" t="s">
        <v>1983</v>
      </c>
      <c r="H16" s="2664"/>
      <c r="I16" s="1064">
        <f>G132</f>
        <v>-1.4297385620915032E-2</v>
      </c>
    </row>
    <row r="17" spans="1:21" ht="15" customHeight="1" thickBot="1">
      <c r="A17" s="1049"/>
      <c r="B17" s="2675" t="s">
        <v>2266</v>
      </c>
      <c r="C17" s="2676"/>
      <c r="D17" s="2677"/>
      <c r="E17" s="1165">
        <f>G115</f>
        <v>17271000</v>
      </c>
      <c r="G17" s="2664" t="s">
        <v>2276</v>
      </c>
      <c r="H17" s="2664"/>
      <c r="I17" s="1064">
        <f>IF(AND(G139="Yes",OR(G136,G137)),IF(G143&gt;15%,15%,G143),0)</f>
        <v>0</v>
      </c>
    </row>
    <row r="18" spans="1:21" ht="15" customHeight="1">
      <c r="A18" s="1046"/>
      <c r="B18" s="2667" t="s">
        <v>1937</v>
      </c>
      <c r="C18" s="2667"/>
      <c r="D18" s="2667"/>
      <c r="E18" s="1111">
        <f>SUM(E9:E11,E14)</f>
        <v>69347548</v>
      </c>
      <c r="G18" s="1138" t="s">
        <v>1971</v>
      </c>
      <c r="H18" s="1138"/>
      <c r="I18" s="1112">
        <f>I11-((I11*I14)+(I11*I15)+(I11*I16)+(I11*I17))</f>
        <v>32457516.339869279</v>
      </c>
      <c r="M18" s="1065">
        <f>SUM(Cdlac[Quantity])</f>
        <v>234</v>
      </c>
      <c r="O18" s="1084" t="s">
        <v>581</v>
      </c>
      <c r="P18" s="1044">
        <f>MATCH(Application!T189,Application!CB160:CB217,0)</f>
        <v>34</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11</v>
      </c>
      <c r="N20" s="1071">
        <f>Application!AC718</f>
        <v>0.6</v>
      </c>
      <c r="O20" s="1071">
        <f>IF(Cdlac[[#This Row],[Quantity]]&gt;0,IF(Cdlac[[#This Row],[Federal]],30%,IF(AND(OR(NOT($G$38),$G$38=""),$G$43),40%,Cdlac[[#This Row],[iAMI]])),"")</f>
        <v>0.6</v>
      </c>
      <c r="P20" s="1065" cm="1">
        <f t="array" ref="P20">IF(Cdlac[[#This Row],[Quantity]]&gt;0,INDEX(TcacRents,$P$18,Cdlac[[#This Row],[Bedrooms]]+1)*Cdlac[[#This Row],[AMI]],"")</f>
        <v>1447.2</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329.79999999999995</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20</v>
      </c>
      <c r="N21" s="1071">
        <f>Application!AC719</f>
        <v>0.5</v>
      </c>
      <c r="O21" s="1071">
        <f>IF(Cdlac[[#This Row],[Quantity]]&gt;0,IF(Cdlac[[#This Row],[Federal]],30%,IF(AND(OR(NOT($G$38),$G$38=""),$G$43),40%,Cdlac[[#This Row],[iAMI]])),"")</f>
        <v>0.5</v>
      </c>
      <c r="P21" s="1065" cm="1">
        <f t="array" ref="P21">IF(Cdlac[[#This Row],[Quantity]]&gt;0,INDEX(TcacRents,$P$18,Cdlac[[#This Row],[Bedrooms]]+1)*Cdlac[[#This Row],[AMI]],"")</f>
        <v>1206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571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1985</v>
      </c>
      <c r="D22" s="2665" t="s">
        <v>1986</v>
      </c>
      <c r="E22" s="2665" t="s">
        <v>1987</v>
      </c>
      <c r="F22" s="2665" t="s">
        <v>2607</v>
      </c>
      <c r="G22" s="2665" t="s">
        <v>1984</v>
      </c>
      <c r="H22" s="1070"/>
      <c r="I22" s="1069"/>
      <c r="L22" s="1044">
        <f>IFERROR(MIN(4,MATCH(Application!B720,UnitSizes,0)-1),"")</f>
        <v>1</v>
      </c>
      <c r="M22" s="1065">
        <f>Application!G720</f>
        <v>20</v>
      </c>
      <c r="N22" s="1071">
        <f>Application!AC720</f>
        <v>0.3</v>
      </c>
      <c r="O22" s="1071">
        <f>IF(Cdlac[[#This Row],[Quantity]]&gt;0,IF(Cdlac[[#This Row],[Federal]],30%,IF(AND(OR(NOT($G$38),$G$38=""),$G$43),40%,Cdlac[[#This Row],[iAMI]])),"")</f>
        <v>0.3</v>
      </c>
      <c r="P22" s="1065" cm="1">
        <f t="array" ref="P22">IF(Cdlac[[#This Row],[Quantity]]&gt;0,INDEX(TcacRents,$P$18,Cdlac[[#This Row],[Bedrooms]]+1)*Cdlac[[#This Row],[AMI]],"")</f>
        <v>723.6</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1053.4000000000001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1</v>
      </c>
      <c r="M23" s="1065">
        <f>Application!G721</f>
        <v>9</v>
      </c>
      <c r="N23" s="1071">
        <f>Application!AC721</f>
        <v>0.7</v>
      </c>
      <c r="O23" s="1071">
        <f>IF(Cdlac[[#This Row],[Quantity]]&gt;0,IF(Cdlac[[#This Row],[Federal]],30%,IF(AND(OR(NOT($G$38),$G$38=""),$G$43),40%,Cdlac[[#This Row],[iAMI]])),"")</f>
        <v>0.7</v>
      </c>
      <c r="P23" s="1065" cm="1">
        <f t="array" ref="P23">IF(Cdlac[[#This Row],[Quantity]]&gt;0,INDEX(TcacRents,$P$18,Cdlac[[#This Row],[Bedrooms]]+1)*Cdlac[[#This Row],[AMI]],"")</f>
        <v>1688.3999999999999</v>
      </c>
      <c r="Q23" s="1164"/>
      <c r="R23" s="1065" cm="1">
        <f t="array" ref="R23">IF(Cdlac[[#This Row],[Quantity]]&gt;0,INDEX(HudFmrs,$P$18,Cdlac[[#This Row],[Bedrooms]]+1),"")</f>
        <v>1777</v>
      </c>
      <c r="S23" s="1065">
        <f>IF(Cdlac[[#This Row],[Quantity]]&gt;0,MAX(0,Cdlac[[#This Row],[Fair Market Rent]]-IF(AND($G$37,$G$38,$G$38&lt;&gt;"",NOT(Cdlac[[#This Row],[Federal]]),Cdlac[[#This Row],[Preservation Rent]]&lt;&gt;""),Cdlac[[#This Row],[Preservation Rent]],Cdlac[[#This Row],[Restricted Rent]])),"")</f>
        <v>88.600000000000136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25</v>
      </c>
      <c r="N24" s="1071">
        <f>Application!AC722</f>
        <v>0.6</v>
      </c>
      <c r="O24" s="1071">
        <f>IF(Cdlac[[#This Row],[Quantity]]&gt;0,IF(Cdlac[[#This Row],[Federal]],30%,IF(AND(OR(NOT($G$38),$G$38=""),$G$43),40%,Cdlac[[#This Row],[iAMI]])),"")</f>
        <v>0.6</v>
      </c>
      <c r="P24" s="1065" cm="1">
        <f t="array" ref="P24">IF(Cdlac[[#This Row],[Quantity]]&gt;0,INDEX(TcacRents,$P$18,Cdlac[[#This Row],[Bedrooms]]+1)*Cdlac[[#This Row],[AMI]],"")</f>
        <v>1736.3999999999999</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469.60000000000014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60</v>
      </c>
      <c r="F25" s="1072">
        <f>E25</f>
        <v>60</v>
      </c>
      <c r="G25" s="1072">
        <f>D25*F25</f>
        <v>60</v>
      </c>
      <c r="L25" s="1044">
        <f>IFERROR(MIN(4,MATCH(Application!B723,UnitSizes,0)-1),"")</f>
        <v>2</v>
      </c>
      <c r="M25" s="1065">
        <f>Application!G723</f>
        <v>3</v>
      </c>
      <c r="N25" s="1071">
        <f>Application!AC723</f>
        <v>0.5</v>
      </c>
      <c r="O25" s="1071">
        <f>IF(Cdlac[[#This Row],[Quantity]]&gt;0,IF(Cdlac[[#This Row],[Federal]],30%,IF(AND(OR(NOT($G$38),$G$38=""),$G$43),40%,Cdlac[[#This Row],[iAMI]])),"")</f>
        <v>0.5</v>
      </c>
      <c r="P25" s="1065" cm="1">
        <f t="array" ref="P25">IF(Cdlac[[#This Row],[Quantity]]&gt;0,INDEX(TcacRents,$P$18,Cdlac[[#This Row],[Bedrooms]]+1)*Cdlac[[#This Row],[AMI]],"")</f>
        <v>1447</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759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60</v>
      </c>
      <c r="F26" s="1075">
        <f>SUM(E26:E28)-SUM(F27:F28)</f>
        <v>95</v>
      </c>
      <c r="G26" s="1072">
        <f>D26*F26</f>
        <v>118.75</v>
      </c>
      <c r="H26" s="1074"/>
      <c r="I26" s="1074"/>
      <c r="L26" s="1044">
        <f>IFERROR(MIN(4,MATCH(Application!B724,UnitSizes,0)-1),"")</f>
        <v>2</v>
      </c>
      <c r="M26" s="1065">
        <f>Application!G724</f>
        <v>3</v>
      </c>
      <c r="N26" s="1071">
        <f>Application!AC724</f>
        <v>0.3</v>
      </c>
      <c r="O26" s="1071">
        <f>IF(Cdlac[[#This Row],[Quantity]]&gt;0,IF(Cdlac[[#This Row],[Federal]],30%,IF(AND(OR(NOT($G$38),$G$38=""),$G$43),40%,Cdlac[[#This Row],[iAMI]])),"")</f>
        <v>0.3</v>
      </c>
      <c r="P26" s="1065" cm="1">
        <f t="array" ref="P26">IF(Cdlac[[#This Row],[Quantity]]&gt;0,INDEX(TcacRents,$P$18,Cdlac[[#This Row],[Bedrooms]]+1)*Cdlac[[#This Row],[AMI]],"")</f>
        <v>868.19999999999993</v>
      </c>
      <c r="Q26" s="1164"/>
      <c r="R26" s="1065" cm="1">
        <f t="array" ref="R26">IF(Cdlac[[#This Row],[Quantity]]&gt;0,INDEX(HudFmrs,$P$18,Cdlac[[#This Row],[Bedrooms]]+1),"")</f>
        <v>2206</v>
      </c>
      <c r="S26" s="1065">
        <f>IF(Cdlac[[#This Row],[Quantity]]&gt;0,MAX(0,Cdlac[[#This Row],[Fair Market Rent]]-IF(AND($G$37,$G$38,$G$38&lt;&gt;"",NOT(Cdlac[[#This Row],[Federal]]),Cdlac[[#This Row],[Preservation Rent]]&lt;&gt;""),Cdlac[[#This Row],[Preservation Rent]],Cdlac[[#This Row],[Restricted Rent]])),"")</f>
        <v>1337.8000000000002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56</v>
      </c>
      <c r="F27" s="1075">
        <f>MIN(E27,ROUNDDOWN(E29*30%,0))</f>
        <v>56</v>
      </c>
      <c r="G27" s="1072">
        <f>D27*F27</f>
        <v>84</v>
      </c>
      <c r="H27" s="1074"/>
      <c r="I27" s="1074"/>
      <c r="L27" s="1044">
        <f>IFERROR(MIN(4,MATCH(Application!B725,UnitSizes,0)-1),"")</f>
        <v>2</v>
      </c>
      <c r="M27" s="1065">
        <f>Application!G725</f>
        <v>29</v>
      </c>
      <c r="N27" s="1071">
        <f>Application!AC725</f>
        <v>0.7</v>
      </c>
      <c r="O27" s="1071">
        <f>IF(Cdlac[[#This Row],[Quantity]]&gt;0,IF(Cdlac[[#This Row],[Federal]],30%,IF(AND(OR(NOT($G$38),$G$38=""),$G$43),40%,Cdlac[[#This Row],[iAMI]])),"")</f>
        <v>0.7</v>
      </c>
      <c r="P27" s="1065" cm="1">
        <f t="array" ref="P27">IF(Cdlac[[#This Row],[Quantity]]&gt;0,INDEX(TcacRents,$P$18,Cdlac[[#This Row],[Bedrooms]]+1)*Cdlac[[#This Row],[AMI]],"")</f>
        <v>2025.8</v>
      </c>
      <c r="Q27" s="1164"/>
      <c r="R27" s="1065" cm="1">
        <f t="array" ref="R27">IF(Cdlac[[#This Row],[Quantity]]&gt;0,INDEX(HudFmrs,$P$18,Cdlac[[#This Row],[Bedrooms]]+1),"")</f>
        <v>2206</v>
      </c>
      <c r="S27" s="1065">
        <f>IF(Cdlac[[#This Row],[Quantity]]&gt;0,MAX(0,Cdlac[[#This Row],[Fair Market Rent]]-IF(AND($G$37,$G$38,$G$38&lt;&gt;"",NOT(Cdlac[[#This Row],[Federal]]),Cdlac[[#This Row],[Preservation Rent]]&lt;&gt;""),Cdlac[[#This Row],[Preservation Rent]],Cdlac[[#This Row],[Restricted Rent]])),"")</f>
        <v>180.20000000000005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58</v>
      </c>
      <c r="F28" s="1086">
        <f>MIN(E28,ROUNDDOWN(E29*10%,0))</f>
        <v>23</v>
      </c>
      <c r="G28" s="1088">
        <f>D28*F28</f>
        <v>40.25</v>
      </c>
      <c r="H28" s="1074"/>
      <c r="I28" s="1074"/>
      <c r="L28" s="1044">
        <f>IFERROR(MIN(4,MATCH(Application!B726,UnitSizes,0)-1),"")</f>
        <v>3</v>
      </c>
      <c r="M28" s="1065">
        <f>Application!G726</f>
        <v>15</v>
      </c>
      <c r="N28" s="1071">
        <f>Application!AC726</f>
        <v>0.6</v>
      </c>
      <c r="O28" s="1071">
        <f>IF(Cdlac[[#This Row],[Quantity]]&gt;0,IF(Cdlac[[#This Row],[Federal]],30%,IF(AND(OR(NOT($G$38),$G$38=""),$G$43),40%,Cdlac[[#This Row],[iAMI]])),"")</f>
        <v>0.6</v>
      </c>
      <c r="P28" s="1065" cm="1">
        <f t="array" ref="P28">IF(Cdlac[[#This Row],[Quantity]]&gt;0,INDEX(TcacRents,$P$18,Cdlac[[#This Row],[Bedrooms]]+1)*Cdlac[[#This Row],[AMI]],"")</f>
        <v>2005.1999999999998</v>
      </c>
      <c r="Q28" s="1164"/>
      <c r="R28" s="1065" cm="1">
        <f t="array" ref="R28">IF(Cdlac[[#This Row],[Quantity]]&gt;0,INDEX(HudFmrs,$P$18,Cdlac[[#This Row],[Bedrooms]]+1),"")</f>
        <v>2992</v>
      </c>
      <c r="S28" s="1065">
        <f>IF(Cdlac[[#This Row],[Quantity]]&gt;0,MAX(0,Cdlac[[#This Row],[Fair Market Rent]]-IF(AND($G$37,$G$38,$G$38&lt;&gt;"",NOT(Cdlac[[#This Row],[Federal]]),Cdlac[[#This Row],[Preservation Rent]]&lt;&gt;""),Cdlac[[#This Row],[Preservation Rent]],Cdlac[[#This Row],[Restricted Rent]])),"")</f>
        <v>986.80000000000018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9" t="s">
        <v>1585</v>
      </c>
      <c r="D29" s="2680"/>
      <c r="E29" s="1089">
        <f>SUM(E24:E28)</f>
        <v>234</v>
      </c>
      <c r="F29" s="1089">
        <f>SUM(F24:F28)</f>
        <v>234</v>
      </c>
      <c r="G29" s="1090">
        <f>SUMPRODUCT(D24:D28,F24:F28)</f>
        <v>303</v>
      </c>
      <c r="H29" s="1074"/>
      <c r="I29" s="1074"/>
      <c r="L29" s="1044">
        <f>IFERROR(MIN(4,MATCH(Application!B727,UnitSizes,0)-1),"")</f>
        <v>3</v>
      </c>
      <c r="M29" s="1065">
        <f>Application!G727</f>
        <v>3</v>
      </c>
      <c r="N29" s="1071">
        <f>Application!AC727</f>
        <v>0.5</v>
      </c>
      <c r="O29" s="1071">
        <f>IF(Cdlac[[#This Row],[Quantity]]&gt;0,IF(Cdlac[[#This Row],[Federal]],30%,IF(AND(OR(NOT($G$38),$G$38=""),$G$43),40%,Cdlac[[#This Row],[iAMI]])),"")</f>
        <v>0.5</v>
      </c>
      <c r="P29" s="1065" cm="1">
        <f t="array" ref="P29">IF(Cdlac[[#This Row],[Quantity]]&gt;0,INDEX(TcacRents,$P$18,Cdlac[[#This Row],[Bedrooms]]+1)*Cdlac[[#This Row],[AMI]],"")</f>
        <v>1671</v>
      </c>
      <c r="Q29" s="1164"/>
      <c r="R29" s="1065" cm="1">
        <f t="array" ref="R29">IF(Cdlac[[#This Row],[Quantity]]&gt;0,INDEX(HudFmrs,$P$18,Cdlac[[#This Row],[Bedrooms]]+1),"")</f>
        <v>2992</v>
      </c>
      <c r="S29" s="1065">
        <f>IF(Cdlac[[#This Row],[Quantity]]&gt;0,MAX(0,Cdlac[[#This Row],[Fair Market Rent]]-IF(AND($G$37,$G$38,$G$38&lt;&gt;"",NOT(Cdlac[[#This Row],[Federal]]),Cdlac[[#This Row],[Preservation Rent]]&lt;&gt;""),Cdlac[[#This Row],[Preservation Rent]],Cdlac[[#This Row],[Restricted Rent]])),"")</f>
        <v>1321</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3</v>
      </c>
      <c r="N30" s="1071">
        <f>Application!AC728</f>
        <v>0.3</v>
      </c>
      <c r="O30" s="1071">
        <f>IF(Cdlac[[#This Row],[Quantity]]&gt;0,IF(Cdlac[[#This Row],[Federal]],30%,IF(AND(OR(NOT($G$38),$G$38=""),$G$43),40%,Cdlac[[#This Row],[iAMI]])),"")</f>
        <v>0.3</v>
      </c>
      <c r="P30" s="1065" cm="1">
        <f t="array" ref="P30">IF(Cdlac[[#This Row],[Quantity]]&gt;0,INDEX(TcacRents,$P$18,Cdlac[[#This Row],[Bedrooms]]+1)*Cdlac[[#This Row],[AMI]],"")</f>
        <v>1002.5999999999999</v>
      </c>
      <c r="Q30" s="1164"/>
      <c r="R30" s="1065" cm="1">
        <f t="array" ref="R30">IF(Cdlac[[#This Row],[Quantity]]&gt;0,INDEX(HudFmrs,$P$18,Cdlac[[#This Row],[Bedrooms]]+1),"")</f>
        <v>2992</v>
      </c>
      <c r="S30" s="1065">
        <f>IF(Cdlac[[#This Row],[Quantity]]&gt;0,MAX(0,Cdlac[[#This Row],[Fair Market Rent]]-IF(AND($G$37,$G$38,$G$38&lt;&gt;"",NOT(Cdlac[[#This Row],[Federal]]),Cdlac[[#This Row],[Preservation Rent]]&lt;&gt;""),Cdlac[[#This Row],[Preservation Rent]],Cdlac[[#This Row],[Restricted Rent]])),"")</f>
        <v>1989.4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303</v>
      </c>
      <c r="H31" s="1074"/>
      <c r="I31" s="1074"/>
      <c r="L31" s="1044">
        <f>IFERROR(MIN(4,MATCH(Application!B729,UnitSizes,0)-1),"")</f>
        <v>3</v>
      </c>
      <c r="M31" s="1065">
        <f>Application!G729</f>
        <v>35</v>
      </c>
      <c r="N31" s="1071">
        <f>Application!AC729</f>
        <v>0.7</v>
      </c>
      <c r="O31" s="1071">
        <f>IF(Cdlac[[#This Row],[Quantity]]&gt;0,IF(Cdlac[[#This Row],[Federal]],30%,IF(AND(OR(NOT($G$38),$G$38=""),$G$43),40%,Cdlac[[#This Row],[iAMI]])),"")</f>
        <v>0.7</v>
      </c>
      <c r="P31" s="1065" cm="1">
        <f t="array" ref="P31">IF(Cdlac[[#This Row],[Quantity]]&gt;0,INDEX(TcacRents,$P$18,Cdlac[[#This Row],[Bedrooms]]+1)*Cdlac[[#This Row],[AMI]],"")</f>
        <v>2339.3999999999996</v>
      </c>
      <c r="Q31" s="1164"/>
      <c r="R31" s="1065" cm="1">
        <f t="array" ref="R31">IF(Cdlac[[#This Row],[Quantity]]&gt;0,INDEX(HudFmrs,$P$18,Cdlac[[#This Row],[Bedrooms]]+1),"")</f>
        <v>2992</v>
      </c>
      <c r="S31" s="1065">
        <f>IF(Cdlac[[#This Row],[Quantity]]&gt;0,MAX(0,Cdlac[[#This Row],[Fair Market Rent]]-IF(AND($G$37,$G$38,$G$38&lt;&gt;"",NOT(Cdlac[[#This Row],[Federal]]),Cdlac[[#This Row],[Preservation Rent]]&lt;&gt;""),Cdlac[[#This Row],[Preservation Rent]],Cdlac[[#This Row],[Restricted Rent]])),"")</f>
        <v>652.60000000000036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f>IFERROR(MIN(4,MATCH(Application!B730,UnitSizes,0)-1),"")</f>
        <v>4</v>
      </c>
      <c r="M32" s="1065">
        <f>Application!G730</f>
        <v>13</v>
      </c>
      <c r="N32" s="1071">
        <f>Application!AC730</f>
        <v>0.6</v>
      </c>
      <c r="O32" s="1071">
        <f>IF(Cdlac[[#This Row],[Quantity]]&gt;0,IF(Cdlac[[#This Row],[Federal]],30%,IF(AND(OR(NOT($G$38),$G$38=""),$G$43),40%,Cdlac[[#This Row],[iAMI]])),"")</f>
        <v>0.6</v>
      </c>
      <c r="P32" s="1065" cm="1">
        <f t="array" ref="P32">IF(Cdlac[[#This Row],[Quantity]]&gt;0,INDEX(TcacRents,$P$18,Cdlac[[#This Row],[Bedrooms]]+1)*Cdlac[[#This Row],[AMI]],"")</f>
        <v>2238</v>
      </c>
      <c r="Q32" s="1164"/>
      <c r="R32" s="1065" cm="1">
        <f t="array" ref="R32">IF(Cdlac[[#This Row],[Quantity]]&gt;0,INDEX(HudFmrs,$P$18,Cdlac[[#This Row],[Bedrooms]]+1),"")</f>
        <v>3455</v>
      </c>
      <c r="S32" s="1065">
        <f>IF(Cdlac[[#This Row],[Quantity]]&gt;0,MAX(0,Cdlac[[#This Row],[Fair Market Rent]]-IF(AND($G$37,$G$38,$G$38&lt;&gt;"",NOT(Cdlac[[#This Row],[Federal]]),Cdlac[[#This Row],[Preservation Rent]]&lt;&gt;""),Cdlac[[#This Row],[Preservation Rent]],Cdlac[[#This Row],[Restricted Rent]])),"")</f>
        <v>1217</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15150000</v>
      </c>
      <c r="H33" s="1074"/>
      <c r="I33" s="1074"/>
      <c r="L33" s="1044">
        <f>IFERROR(MIN(4,MATCH(Application!B731,UnitSizes,0)-1),"")</f>
        <v>4</v>
      </c>
      <c r="M33" s="1065">
        <f>Application!G731</f>
        <v>3</v>
      </c>
      <c r="N33" s="1071">
        <f>Application!AC731</f>
        <v>0.5</v>
      </c>
      <c r="O33" s="1071">
        <f>IF(Cdlac[[#This Row],[Quantity]]&gt;0,IF(Cdlac[[#This Row],[Federal]],30%,IF(AND(OR(NOT($G$38),$G$38=""),$G$43),40%,Cdlac[[#This Row],[iAMI]])),"")</f>
        <v>0.5</v>
      </c>
      <c r="P33" s="1065" cm="1">
        <f t="array" ref="P33">IF(Cdlac[[#This Row],[Quantity]]&gt;0,INDEX(TcacRents,$P$18,Cdlac[[#This Row],[Bedrooms]]+1)*Cdlac[[#This Row],[AMI]],"")</f>
        <v>1865</v>
      </c>
      <c r="Q33" s="1164"/>
      <c r="R33" s="1065" cm="1">
        <f t="array" ref="R33">IF(Cdlac[[#This Row],[Quantity]]&gt;0,INDEX(HudFmrs,$P$18,Cdlac[[#This Row],[Bedrooms]]+1),"")</f>
        <v>3455</v>
      </c>
      <c r="S33" s="1065">
        <f>IF(Cdlac[[#This Row],[Quantity]]&gt;0,MAX(0,Cdlac[[#This Row],[Fair Market Rent]]-IF(AND($G$37,$G$38,$G$38&lt;&gt;"",NOT(Cdlac[[#This Row],[Federal]]),Cdlac[[#This Row],[Preservation Rent]]&lt;&gt;""),Cdlac[[#This Row],[Preservation Rent]],Cdlac[[#This Row],[Restricted Rent]])),"")</f>
        <v>1590</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4</v>
      </c>
      <c r="M34" s="1065">
        <f>Application!G732</f>
        <v>3</v>
      </c>
      <c r="N34" s="1071">
        <f>Application!AC732</f>
        <v>0.3</v>
      </c>
      <c r="O34" s="1071">
        <f>IF(Cdlac[[#This Row],[Quantity]]&gt;0,IF(Cdlac[[#This Row],[Federal]],30%,IF(AND(OR(NOT($G$38),$G$38=""),$G$43),40%,Cdlac[[#This Row],[iAMI]])),"")</f>
        <v>0.3</v>
      </c>
      <c r="P34" s="1065" cm="1">
        <f t="array" ref="P34">IF(Cdlac[[#This Row],[Quantity]]&gt;0,INDEX(TcacRents,$P$18,Cdlac[[#This Row],[Bedrooms]]+1)*Cdlac[[#This Row],[AMI]],"")</f>
        <v>1119</v>
      </c>
      <c r="Q34" s="1164"/>
      <c r="R34" s="1065" cm="1">
        <f t="array" ref="R34">IF(Cdlac[[#This Row],[Quantity]]&gt;0,INDEX(HudFmrs,$P$18,Cdlac[[#This Row],[Bedrooms]]+1),"")</f>
        <v>3455</v>
      </c>
      <c r="S34" s="1065">
        <f>IF(Cdlac[[#This Row],[Quantity]]&gt;0,MAX(0,Cdlac[[#This Row],[Fair Market Rent]]-IF(AND($G$37,$G$38,$G$38&lt;&gt;"",NOT(Cdlac[[#This Row],[Federal]]),Cdlac[[#This Row],[Preservation Rent]]&lt;&gt;""),Cdlac[[#This Row],[Preservation Rent]],Cdlac[[#This Row],[Restricted Rent]])),"")</f>
        <v>2336</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4</v>
      </c>
      <c r="M35" s="1065">
        <f>Application!G733</f>
        <v>39</v>
      </c>
      <c r="N35" s="1071">
        <f>Application!AC733</f>
        <v>0.7</v>
      </c>
      <c r="O35" s="1071">
        <f>IF(Cdlac[[#This Row],[Quantity]]&gt;0,IF(Cdlac[[#This Row],[Federal]],30%,IF(AND(OR(NOT($G$38),$G$38=""),$G$43),40%,Cdlac[[#This Row],[iAMI]])),"")</f>
        <v>0.7</v>
      </c>
      <c r="P35" s="1065" cm="1">
        <f t="array" ref="P35">IF(Cdlac[[#This Row],[Quantity]]&gt;0,INDEX(TcacRents,$P$18,Cdlac[[#This Row],[Bedrooms]]+1)*Cdlac[[#This Row],[AMI]],"")</f>
        <v>2611</v>
      </c>
      <c r="Q35" s="1164"/>
      <c r="R35" s="1065" cm="1">
        <f t="array" ref="R35">IF(Cdlac[[#This Row],[Quantity]]&gt;0,INDEX(HudFmrs,$P$18,Cdlac[[#This Row],[Bedrooms]]+1),"")</f>
        <v>3455</v>
      </c>
      <c r="S35" s="1065">
        <f>IF(Cdlac[[#This Row],[Quantity]]&gt;0,MAX(0,Cdlac[[#This Row],[Fair Market Rent]]-IF(AND($G$37,$G$38,$G$38&lt;&gt;"",NOT(Cdlac[[#This Row],[Federal]]),Cdlac[[#This Row],[Preservation Rent]]&lt;&gt;""),Cdlac[[#This Row],[Preservation Rent]],Cdlac[[#This Row],[Restricted Rent]])),"")</f>
        <v>844</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0.59829059829059827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168258.60000000003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30286548.000000007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117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29</v>
      </c>
    </row>
    <row r="61" spans="2:21" ht="15" customHeight="1">
      <c r="E61" s="1117" t="s">
        <v>1993</v>
      </c>
      <c r="G61" s="1079">
        <f>ROUNDDOWN(E29*50%,0)</f>
        <v>117</v>
      </c>
    </row>
    <row r="62" spans="2:21" ht="15" customHeight="1">
      <c r="E62" s="1117"/>
      <c r="G62" s="1079"/>
    </row>
    <row r="63" spans="2:21" ht="15" customHeight="1">
      <c r="E63" s="1117" t="s">
        <v>1953</v>
      </c>
      <c r="G63" s="1114">
        <f>MIN(G60:G61)</f>
        <v>29</v>
      </c>
    </row>
    <row r="64" spans="2:21" ht="15" customHeight="1">
      <c r="E64" s="1117" t="s">
        <v>1943</v>
      </c>
      <c r="F64" s="1113" t="s">
        <v>1991</v>
      </c>
      <c r="G64" s="1124">
        <v>20000</v>
      </c>
    </row>
    <row r="65" spans="2:14" ht="15" customHeight="1">
      <c r="E65" s="1118" t="s">
        <v>1975</v>
      </c>
      <c r="F65" s="1046"/>
      <c r="G65" s="1123">
        <f>G63*G64</f>
        <v>580000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544</v>
      </c>
    </row>
    <row r="70" spans="2:14" ht="15" customHeight="1">
      <c r="C70" s="1077" t="s">
        <v>1980</v>
      </c>
      <c r="G70" s="1081" t="str">
        <f>IF(Application!D211="Large Family","Yes","No")</f>
        <v>Yes</v>
      </c>
    </row>
    <row r="71" spans="2:14" ht="15" customHeight="1" thickBot="1">
      <c r="C71" s="1077" t="s">
        <v>1966</v>
      </c>
      <c r="G71" s="1043"/>
    </row>
    <row r="72" spans="2:14" ht="15" customHeight="1">
      <c r="C72" s="1077" t="s">
        <v>1967</v>
      </c>
      <c r="G72" s="1044" t="str">
        <f>Application!T193</f>
        <v>High Resource</v>
      </c>
      <c r="L72" s="2652" t="s">
        <v>1968</v>
      </c>
      <c r="M72" s="2653"/>
      <c r="N72" s="1131">
        <v>30000</v>
      </c>
    </row>
    <row r="73" spans="2:14" ht="15" customHeight="1">
      <c r="C73" s="2654" t="s">
        <v>2260</v>
      </c>
      <c r="D73" s="2654"/>
      <c r="E73" s="2654"/>
      <c r="F73" s="2654"/>
      <c r="G73" s="1043"/>
      <c r="L73" s="2669" t="s">
        <v>1936</v>
      </c>
      <c r="M73" s="2670"/>
      <c r="N73" s="1132">
        <v>20000</v>
      </c>
    </row>
    <row r="74" spans="2:14" ht="15" customHeight="1" thickBot="1">
      <c r="C74" s="2654"/>
      <c r="D74" s="2654"/>
      <c r="E74" s="2654"/>
      <c r="F74" s="2654"/>
      <c r="L74" s="2644" t="s">
        <v>1969</v>
      </c>
      <c r="M74" s="2645"/>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20000</v>
      </c>
    </row>
    <row r="79" spans="2:14" ht="15" customHeight="1">
      <c r="E79" s="1084" t="str">
        <f>E96</f>
        <v>Bedroom-Adjusted Low-Income Units</v>
      </c>
      <c r="F79" s="1113" t="s">
        <v>1991</v>
      </c>
      <c r="G79" s="1114">
        <f>G29</f>
        <v>303</v>
      </c>
    </row>
    <row r="80" spans="2:14" ht="15" customHeight="1">
      <c r="D80" s="1046"/>
      <c r="E80" s="1118" t="s">
        <v>2265</v>
      </c>
      <c r="F80" s="1046"/>
      <c r="G80" s="1123">
        <f>G79*G78*G76</f>
        <v>6060000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668</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303</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6</v>
      </c>
    </row>
    <row r="95" spans="2:9" ht="15" customHeight="1">
      <c r="E95" s="1084" t="s">
        <v>1943</v>
      </c>
      <c r="F95" s="1113" t="s">
        <v>1991</v>
      </c>
      <c r="G95" s="1076">
        <v>4000</v>
      </c>
    </row>
    <row r="96" spans="2:9" ht="15" customHeight="1" thickBot="1">
      <c r="E96" s="1084" t="s">
        <v>1995</v>
      </c>
      <c r="F96" s="1113" t="s">
        <v>1991</v>
      </c>
      <c r="G96" s="1126">
        <f>G29</f>
        <v>303</v>
      </c>
    </row>
    <row r="97" spans="2:14" ht="15" customHeight="1">
      <c r="E97" s="1118" t="s">
        <v>1960</v>
      </c>
      <c r="F97" s="1046"/>
      <c r="G97" s="1123">
        <f>G94*G95*G96</f>
        <v>7272000</v>
      </c>
      <c r="L97" s="1127" t="str">
        <f>'Points System'!H638</f>
        <v>(i)</v>
      </c>
      <c r="M97" s="2650" t="s">
        <v>1404</v>
      </c>
      <c r="N97" s="2651"/>
    </row>
    <row r="98" spans="2:14" ht="15" customHeight="1">
      <c r="C98" s="1077"/>
      <c r="G98" s="1114"/>
      <c r="L98" s="1128" t="str">
        <f>'Points System'!H650</f>
        <v>N/A</v>
      </c>
      <c r="M98" s="2646" t="s">
        <v>1955</v>
      </c>
      <c r="N98" s="2647"/>
    </row>
    <row r="99" spans="2:14" ht="15" customHeight="1">
      <c r="E99" s="1084" t="s">
        <v>1996</v>
      </c>
      <c r="G99" s="1126">
        <f>COUNTIFS(L97:L104,"(i)")</f>
        <v>2</v>
      </c>
      <c r="L99" s="1128" t="str">
        <f>'Points System'!H685</f>
        <v>(ii)</v>
      </c>
      <c r="M99" s="2646" t="s">
        <v>1956</v>
      </c>
      <c r="N99" s="2647"/>
    </row>
    <row r="100" spans="2:14" ht="15" customHeight="1">
      <c r="E100" s="1084" t="s">
        <v>1943</v>
      </c>
      <c r="F100" s="1113" t="s">
        <v>1991</v>
      </c>
      <c r="G100" s="1124">
        <v>4000</v>
      </c>
      <c r="L100" s="1128" t="str">
        <f>IF(OR('Points System'!H709="(ii)",'Points System'!H709="(i)"),"(i)","N/A")</f>
        <v>N/A</v>
      </c>
      <c r="M100" s="2646" t="s">
        <v>1957</v>
      </c>
      <c r="N100" s="2647"/>
    </row>
    <row r="101" spans="2:14" ht="15" customHeight="1">
      <c r="E101" s="1118" t="s">
        <v>1961</v>
      </c>
      <c r="F101" s="1046"/>
      <c r="G101" s="1123">
        <f>G96*G99*G100</f>
        <v>2424000</v>
      </c>
      <c r="L101" s="1129" t="str">
        <f>'Points System'!H723</f>
        <v>N/A</v>
      </c>
      <c r="M101" s="2646" t="s">
        <v>1430</v>
      </c>
      <c r="N101" s="2647"/>
    </row>
    <row r="102" spans="2:14" ht="15" customHeight="1">
      <c r="L102" s="1128" t="str">
        <f>'Points System'!H735</f>
        <v>N/A</v>
      </c>
      <c r="M102" s="2646" t="s">
        <v>1958</v>
      </c>
      <c r="N102" s="2647"/>
    </row>
    <row r="103" spans="2:14" ht="15" customHeight="1">
      <c r="C103" s="1080" t="s">
        <v>1963</v>
      </c>
      <c r="L103" s="1128" t="str">
        <f>'Points System'!H751</f>
        <v>(ii)</v>
      </c>
      <c r="M103" s="2646" t="s">
        <v>1959</v>
      </c>
      <c r="N103" s="2647"/>
    </row>
    <row r="104" spans="2:14" ht="15" customHeight="1" thickBot="1">
      <c r="C104" s="1077" t="s">
        <v>1964</v>
      </c>
      <c r="G104" s="1043"/>
      <c r="L104" s="1130" t="str">
        <f>'Points System'!H763</f>
        <v>(i)</v>
      </c>
      <c r="M104" s="2648" t="s">
        <v>1433</v>
      </c>
      <c r="N104" s="2649"/>
    </row>
    <row r="105" spans="2:14" ht="15" customHeight="1">
      <c r="C105" s="1077" t="s">
        <v>1965</v>
      </c>
      <c r="G105" s="1043"/>
    </row>
    <row r="106" spans="2:14" ht="15" customHeight="1">
      <c r="C106" s="1077" t="s">
        <v>2138</v>
      </c>
      <c r="G106" s="1043" t="s">
        <v>544</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303</v>
      </c>
    </row>
    <row r="112" spans="2:14" ht="15" customHeight="1">
      <c r="E112" s="1084" t="s">
        <v>1943</v>
      </c>
      <c r="F112" s="1113" t="s">
        <v>1991</v>
      </c>
      <c r="G112" s="1124">
        <v>25000</v>
      </c>
    </row>
    <row r="113" spans="2:9" ht="15" customHeight="1">
      <c r="E113" s="1118" t="s">
        <v>1962</v>
      </c>
      <c r="F113" s="1046"/>
      <c r="G113" s="1123">
        <f>G109*G112*G96</f>
        <v>7575000</v>
      </c>
    </row>
    <row r="114" spans="2:9" ht="15" customHeight="1">
      <c r="C114" s="1077"/>
      <c r="E114" s="1077"/>
    </row>
    <row r="115" spans="2:9" ht="15" customHeight="1">
      <c r="E115" s="1118" t="s">
        <v>2270</v>
      </c>
      <c r="G115" s="1123">
        <f>G113+G101+G97</f>
        <v>17271000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2225</v>
      </c>
      <c r="D119" s="2681"/>
      <c r="E119" s="2681"/>
      <c r="F119" s="2681"/>
    </row>
    <row r="120" spans="2:9" ht="15" customHeight="1">
      <c r="C120" s="2681"/>
      <c r="D120" s="2681"/>
      <c r="E120" s="2681"/>
      <c r="F120" s="2681"/>
      <c r="G120" s="1043"/>
    </row>
    <row r="121" spans="2:9" ht="15" customHeight="1"/>
    <row r="122" spans="2:9" ht="15" customHeight="1">
      <c r="C122" s="1044" t="s">
        <v>2227</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2000</v>
      </c>
      <c r="C126" s="1067"/>
      <c r="D126" s="1067"/>
      <c r="E126" s="1067"/>
      <c r="F126" s="1067"/>
      <c r="G126" s="1067"/>
      <c r="H126" s="1067"/>
      <c r="I126" s="1068"/>
    </row>
    <row r="128" spans="2:9">
      <c r="E128" s="1084" t="s">
        <v>581</v>
      </c>
      <c r="G128" s="1044" t="str">
        <f>IF(Application!T189="","",Application!T189)</f>
        <v>Sacramento</v>
      </c>
    </row>
    <row r="129" spans="2:9">
      <c r="E129" s="1084"/>
      <c r="G129" s="1078"/>
    </row>
    <row r="130" spans="2:9">
      <c r="E130" s="1084" t="str">
        <f>"2-Bedroom "&amp;G128&amp;" County Basis Limit"</f>
        <v>2-Bedroom Sacramento County Basis Limit</v>
      </c>
      <c r="G130" s="1078">
        <f>Application!R988</f>
        <v>461600</v>
      </c>
    </row>
    <row r="131" spans="2:9">
      <c r="E131" s="1084" t="s">
        <v>1999</v>
      </c>
      <c r="G131" s="1078">
        <f>MEDIAN((Application!CU160:CU217))</f>
        <v>489600</v>
      </c>
    </row>
    <row r="132" spans="2:9" ht="15">
      <c r="D132" s="1046"/>
      <c r="E132" s="1118" t="s">
        <v>2001</v>
      </c>
      <c r="F132" s="1134"/>
      <c r="G132" s="1135">
        <f>((G130-G131)/G131)*0.25</f>
        <v>-1.4297385620915032E-2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78" t="s">
        <v>2273</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4800000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1 Bedroom</v>
      </c>
      <c r="B4" s="1082">
        <f>Application!G718</f>
        <v>11</v>
      </c>
      <c r="C4" s="1162"/>
      <c r="D4" s="428">
        <f>Application!O718</f>
        <v>1422</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20</v>
      </c>
      <c r="C5" s="1162"/>
      <c r="D5" s="428">
        <f>Application!O719</f>
        <v>1181</v>
      </c>
      <c r="E5" s="429"/>
      <c r="F5" s="1083"/>
      <c r="G5" s="428">
        <f t="shared" ref="G5:G38" si="2">F5*B5</f>
        <v>0</v>
      </c>
      <c r="H5" s="429"/>
      <c r="I5" s="428" t="str">
        <f t="shared" si="0"/>
        <v/>
      </c>
      <c r="J5" s="428" t="str">
        <f t="shared" si="1"/>
        <v/>
      </c>
      <c r="K5" s="204"/>
      <c r="L5" s="305"/>
    </row>
    <row r="6" spans="1:12">
      <c r="A6" s="428" t="str">
        <f>Application!B720</f>
        <v>1 Bedroom</v>
      </c>
      <c r="B6" s="1082">
        <f>Application!G720</f>
        <v>20</v>
      </c>
      <c r="C6" s="1162"/>
      <c r="D6" s="428">
        <f>Application!O720</f>
        <v>698</v>
      </c>
      <c r="E6" s="429"/>
      <c r="F6" s="1083"/>
      <c r="G6" s="428">
        <f t="shared" si="2"/>
        <v>0</v>
      </c>
      <c r="H6" s="429"/>
      <c r="I6" s="428" t="str">
        <f t="shared" si="0"/>
        <v/>
      </c>
      <c r="J6" s="428" t="str">
        <f t="shared" si="1"/>
        <v/>
      </c>
      <c r="K6" s="204"/>
      <c r="L6" s="305"/>
    </row>
    <row r="7" spans="1:12">
      <c r="A7" s="428" t="str">
        <f>Application!B721</f>
        <v>1 Bedroom</v>
      </c>
      <c r="B7" s="1082">
        <f>Application!G721</f>
        <v>9</v>
      </c>
      <c r="C7" s="1162"/>
      <c r="D7" s="428">
        <f>Application!O721</f>
        <v>1663</v>
      </c>
      <c r="E7" s="429"/>
      <c r="F7" s="1083"/>
      <c r="G7" s="428">
        <f t="shared" si="2"/>
        <v>0</v>
      </c>
      <c r="H7" s="429"/>
      <c r="I7" s="428" t="str">
        <f t="shared" si="0"/>
        <v/>
      </c>
      <c r="J7" s="428" t="str">
        <f t="shared" si="1"/>
        <v/>
      </c>
      <c r="K7" s="204"/>
      <c r="L7" s="305"/>
    </row>
    <row r="8" spans="1:12">
      <c r="A8" s="428" t="str">
        <f>Application!B722</f>
        <v>2 Bedrooms</v>
      </c>
      <c r="B8" s="1082">
        <f>Application!G722</f>
        <v>25</v>
      </c>
      <c r="C8" s="1162"/>
      <c r="D8" s="428">
        <f>Application!O722</f>
        <v>1712</v>
      </c>
      <c r="E8" s="429"/>
      <c r="F8" s="1083"/>
      <c r="G8" s="428">
        <f t="shared" si="2"/>
        <v>0</v>
      </c>
      <c r="H8" s="429"/>
      <c r="I8" s="428" t="str">
        <f t="shared" si="0"/>
        <v/>
      </c>
      <c r="J8" s="428" t="str">
        <f t="shared" si="1"/>
        <v/>
      </c>
      <c r="K8" s="204"/>
      <c r="L8" s="305"/>
    </row>
    <row r="9" spans="1:12">
      <c r="A9" s="428" t="str">
        <f>Application!B723</f>
        <v>2 Bedrooms</v>
      </c>
      <c r="B9" s="1082">
        <f>Application!G723</f>
        <v>3</v>
      </c>
      <c r="C9" s="1162"/>
      <c r="D9" s="428">
        <f>Application!O723</f>
        <v>1422</v>
      </c>
      <c r="E9" s="429"/>
      <c r="F9" s="1083"/>
      <c r="G9" s="428">
        <f t="shared" si="2"/>
        <v>0</v>
      </c>
      <c r="H9" s="429"/>
      <c r="I9" s="428" t="str">
        <f t="shared" si="0"/>
        <v/>
      </c>
      <c r="J9" s="428" t="str">
        <f t="shared" si="1"/>
        <v/>
      </c>
      <c r="K9" s="204"/>
      <c r="L9" s="305"/>
    </row>
    <row r="10" spans="1:12">
      <c r="A10" s="428" t="str">
        <f>Application!B724</f>
        <v>2 Bedrooms</v>
      </c>
      <c r="B10" s="1082">
        <f>Application!G724</f>
        <v>3</v>
      </c>
      <c r="C10" s="1162"/>
      <c r="D10" s="428">
        <f>Application!O724</f>
        <v>843</v>
      </c>
      <c r="E10" s="429"/>
      <c r="F10" s="1083"/>
      <c r="G10" s="428">
        <f t="shared" si="2"/>
        <v>0</v>
      </c>
      <c r="H10" s="429"/>
      <c r="I10" s="428" t="str">
        <f t="shared" si="0"/>
        <v/>
      </c>
      <c r="J10" s="428" t="str">
        <f t="shared" si="1"/>
        <v/>
      </c>
      <c r="K10" s="204"/>
      <c r="L10" s="305"/>
    </row>
    <row r="11" spans="1:12">
      <c r="A11" s="428" t="str">
        <f>Application!B725</f>
        <v>2 Bedrooms</v>
      </c>
      <c r="B11" s="1082">
        <f>Application!G725</f>
        <v>29</v>
      </c>
      <c r="C11" s="1162"/>
      <c r="D11" s="428">
        <f>Application!O725</f>
        <v>2001</v>
      </c>
      <c r="E11" s="429"/>
      <c r="F11" s="1083"/>
      <c r="G11" s="428">
        <f t="shared" si="2"/>
        <v>0</v>
      </c>
      <c r="H11" s="429"/>
      <c r="I11" s="428" t="str">
        <f t="shared" si="0"/>
        <v/>
      </c>
      <c r="J11" s="428" t="str">
        <f t="shared" si="1"/>
        <v/>
      </c>
      <c r="K11" s="204"/>
      <c r="L11" s="305"/>
    </row>
    <row r="12" spans="1:12">
      <c r="A12" s="428" t="str">
        <f>Application!B726</f>
        <v>3 Bedrooms</v>
      </c>
      <c r="B12" s="1082">
        <f>Application!G726</f>
        <v>15</v>
      </c>
      <c r="C12" s="1162"/>
      <c r="D12" s="428">
        <f>Application!O726</f>
        <v>1981</v>
      </c>
      <c r="E12" s="429"/>
      <c r="F12" s="1083"/>
      <c r="G12" s="428">
        <f t="shared" si="2"/>
        <v>0</v>
      </c>
      <c r="H12" s="429"/>
      <c r="I12" s="428" t="str">
        <f t="shared" si="0"/>
        <v/>
      </c>
      <c r="J12" s="428" t="str">
        <f t="shared" si="1"/>
        <v/>
      </c>
      <c r="K12" s="204"/>
      <c r="L12" s="305"/>
    </row>
    <row r="13" spans="1:12">
      <c r="A13" s="428" t="str">
        <f>Application!B727</f>
        <v>3 Bedrooms</v>
      </c>
      <c r="B13" s="1082">
        <f>Application!G727</f>
        <v>3</v>
      </c>
      <c r="C13" s="1162"/>
      <c r="D13" s="428">
        <f>Application!O727</f>
        <v>1646</v>
      </c>
      <c r="E13" s="429"/>
      <c r="F13" s="1083"/>
      <c r="G13" s="428">
        <f t="shared" si="2"/>
        <v>0</v>
      </c>
      <c r="H13" s="429"/>
      <c r="I13" s="428" t="str">
        <f t="shared" si="0"/>
        <v/>
      </c>
      <c r="J13" s="428" t="str">
        <f t="shared" si="1"/>
        <v/>
      </c>
      <c r="K13" s="204"/>
      <c r="L13" s="305"/>
    </row>
    <row r="14" spans="1:12">
      <c r="A14" s="428" t="str">
        <f>Application!B728</f>
        <v>3 Bedrooms</v>
      </c>
      <c r="B14" s="1082">
        <f>Application!G728</f>
        <v>3</v>
      </c>
      <c r="C14" s="1162"/>
      <c r="D14" s="428">
        <f>Application!O728</f>
        <v>978</v>
      </c>
      <c r="E14" s="429"/>
      <c r="F14" s="1083"/>
      <c r="G14" s="428">
        <f t="shared" si="2"/>
        <v>0</v>
      </c>
      <c r="H14" s="429"/>
      <c r="I14" s="428" t="str">
        <f t="shared" si="0"/>
        <v/>
      </c>
      <c r="J14" s="428" t="str">
        <f t="shared" si="1"/>
        <v/>
      </c>
      <c r="K14" s="204"/>
      <c r="L14" s="305"/>
    </row>
    <row r="15" spans="1:12">
      <c r="A15" s="428" t="str">
        <f>Application!B729</f>
        <v>3 Bedrooms</v>
      </c>
      <c r="B15" s="1082">
        <f>Application!G729</f>
        <v>35</v>
      </c>
      <c r="C15" s="1162"/>
      <c r="D15" s="428">
        <f>Application!O729</f>
        <v>2315</v>
      </c>
      <c r="E15" s="429"/>
      <c r="F15" s="1083"/>
      <c r="G15" s="428">
        <f t="shared" si="2"/>
        <v>0</v>
      </c>
      <c r="H15" s="429"/>
      <c r="I15" s="428" t="str">
        <f t="shared" si="0"/>
        <v/>
      </c>
      <c r="J15" s="428" t="str">
        <f t="shared" si="1"/>
        <v/>
      </c>
      <c r="K15" s="204"/>
      <c r="L15" s="305"/>
    </row>
    <row r="16" spans="1:12">
      <c r="A16" s="428" t="str">
        <f>Application!B730</f>
        <v>4 Bedrooms</v>
      </c>
      <c r="B16" s="1082">
        <f>Application!G730</f>
        <v>13</v>
      </c>
      <c r="C16" s="1162"/>
      <c r="D16" s="428">
        <f>Application!O730</f>
        <v>2213</v>
      </c>
      <c r="E16" s="429"/>
      <c r="F16" s="1083"/>
      <c r="G16" s="428">
        <f t="shared" si="2"/>
        <v>0</v>
      </c>
      <c r="H16" s="429"/>
      <c r="I16" s="428" t="str">
        <f t="shared" si="0"/>
        <v/>
      </c>
      <c r="J16" s="428" t="str">
        <f t="shared" si="1"/>
        <v/>
      </c>
      <c r="K16" s="204"/>
      <c r="L16" s="305"/>
    </row>
    <row r="17" spans="1:12">
      <c r="A17" s="428" t="str">
        <f>Application!B731</f>
        <v>4 Bedrooms</v>
      </c>
      <c r="B17" s="1082">
        <f>Application!G731</f>
        <v>3</v>
      </c>
      <c r="C17" s="1162"/>
      <c r="D17" s="428">
        <f>Application!O731</f>
        <v>1840</v>
      </c>
      <c r="E17" s="429"/>
      <c r="F17" s="1083"/>
      <c r="G17" s="428">
        <f t="shared" si="2"/>
        <v>0</v>
      </c>
      <c r="H17" s="429"/>
      <c r="I17" s="428" t="str">
        <f t="shared" si="0"/>
        <v/>
      </c>
      <c r="J17" s="428" t="str">
        <f t="shared" si="1"/>
        <v/>
      </c>
      <c r="K17" s="204"/>
      <c r="L17" s="305"/>
    </row>
    <row r="18" spans="1:12">
      <c r="A18" s="428" t="str">
        <f>Application!B732</f>
        <v>4 Bedrooms</v>
      </c>
      <c r="B18" s="1082">
        <f>Application!G732</f>
        <v>3</v>
      </c>
      <c r="C18" s="1162"/>
      <c r="D18" s="428">
        <f>Application!O732</f>
        <v>1094</v>
      </c>
      <c r="E18" s="429"/>
      <c r="F18" s="1083"/>
      <c r="G18" s="428">
        <f t="shared" si="2"/>
        <v>0</v>
      </c>
      <c r="H18" s="429"/>
      <c r="I18" s="428" t="str">
        <f t="shared" si="0"/>
        <v/>
      </c>
      <c r="J18" s="428" t="str">
        <f t="shared" si="1"/>
        <v/>
      </c>
      <c r="K18" s="204"/>
      <c r="L18" s="305"/>
    </row>
    <row r="19" spans="1:12">
      <c r="A19" s="428" t="str">
        <f>Application!B733</f>
        <v>4 Bedrooms</v>
      </c>
      <c r="B19" s="1082">
        <f>Application!G733</f>
        <v>39</v>
      </c>
      <c r="C19" s="1162"/>
      <c r="D19" s="428">
        <f>Application!O733</f>
        <v>2586</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432850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2255</v>
      </c>
    </row>
    <row r="43" spans="1:12">
      <c r="A43" s="2686" t="s">
        <v>2494</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2256</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5194200</v>
      </c>
      <c r="G4" s="219">
        <f>E4*$C$4</f>
        <v>5324055</v>
      </c>
      <c r="I4" s="219">
        <f>G4*$C$4</f>
        <v>5457156.3749999991</v>
      </c>
      <c r="K4" s="219">
        <f>I4*$C$4</f>
        <v>5593585.2843749989</v>
      </c>
      <c r="M4" s="219">
        <f>K4*$C$4</f>
        <v>5733424.9164843736</v>
      </c>
      <c r="O4" s="219">
        <f>M4*$C$4</f>
        <v>5876760.5393964825</v>
      </c>
      <c r="Q4" s="219">
        <f>O4*$C$4</f>
        <v>6023679.5528813945</v>
      </c>
      <c r="S4" s="219">
        <f>Q4*$C$4</f>
        <v>6174271.5417034291</v>
      </c>
      <c r="U4" s="219">
        <f>S4*$C$4</f>
        <v>6328628.3302460145</v>
      </c>
      <c r="W4" s="219">
        <f>U4*$C$4</f>
        <v>6486844.0385021642</v>
      </c>
      <c r="Y4" s="219">
        <f>W4*$C$4</f>
        <v>6649015.1394647174</v>
      </c>
      <c r="AA4" s="219">
        <f>Y4*$C$4</f>
        <v>6815240.5179513348</v>
      </c>
      <c r="AC4" s="219">
        <f>AA4*$C$4</f>
        <v>6985621.5309001179</v>
      </c>
      <c r="AE4" s="219">
        <f>AC4*$C$4</f>
        <v>7160262.0691726198</v>
      </c>
      <c r="AG4" s="219">
        <f>AE4*$C$4</f>
        <v>7339268.6209019348</v>
      </c>
    </row>
    <row r="5" spans="1:34" s="210" customFormat="1" ht="14.25">
      <c r="B5" s="210" t="s">
        <v>837</v>
      </c>
      <c r="C5" s="238">
        <f>IF(Application!$D$211="Special Needs",(((0.1*Application!$T$212)+(0.05*(1-Application!$T$212)))),0.05)</f>
        <v>0.05</v>
      </c>
      <c r="E5" s="221">
        <f>-E4*$C$5</f>
        <v>-259710</v>
      </c>
      <c r="F5" s="221"/>
      <c r="G5" s="221">
        <f>-G4*$C$5</f>
        <v>-266202.75</v>
      </c>
      <c r="H5" s="221"/>
      <c r="I5" s="221">
        <f>-I4*$C$5</f>
        <v>-272857.81874999998</v>
      </c>
      <c r="J5" s="221"/>
      <c r="K5" s="221">
        <f>-K4*$C$5</f>
        <v>-279679.26421874994</v>
      </c>
      <c r="L5" s="221"/>
      <c r="M5" s="221">
        <f>-M4*$C$5</f>
        <v>-286671.24582421867</v>
      </c>
      <c r="N5" s="221"/>
      <c r="O5" s="221">
        <f>-O4*$C$5</f>
        <v>-293838.02696982416</v>
      </c>
      <c r="P5" s="221"/>
      <c r="Q5" s="221">
        <f>-Q4*$C$5</f>
        <v>-301183.97764406976</v>
      </c>
      <c r="R5" s="221"/>
      <c r="S5" s="221">
        <f>-S4*$C$5</f>
        <v>-308713.57708517148</v>
      </c>
      <c r="T5" s="221"/>
      <c r="U5" s="221">
        <f>-U4*$C$5</f>
        <v>-316431.41651230073</v>
      </c>
      <c r="V5" s="221"/>
      <c r="W5" s="221">
        <f>-W4*$C$5</f>
        <v>-324342.20192510821</v>
      </c>
      <c r="X5" s="221"/>
      <c r="Y5" s="221">
        <f>-Y4*$C$5</f>
        <v>-332450.75697323587</v>
      </c>
      <c r="Z5" s="221"/>
      <c r="AA5" s="221">
        <f>-AA4*$C$5</f>
        <v>-340762.02589756675</v>
      </c>
      <c r="AB5" s="221"/>
      <c r="AC5" s="221">
        <f>-AC4*$C$5</f>
        <v>-349281.0765450059</v>
      </c>
      <c r="AD5" s="221"/>
      <c r="AE5" s="221">
        <f>-AE4*$C$5</f>
        <v>-358013.10345863103</v>
      </c>
      <c r="AF5" s="221"/>
      <c r="AG5" s="221">
        <f>-AG4*$C$5</f>
        <v>-366963.43104509678</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418320</v>
      </c>
      <c r="F8" s="222"/>
      <c r="G8" s="222">
        <f>E8*$C$8</f>
        <v>428777.99999999994</v>
      </c>
      <c r="H8" s="222"/>
      <c r="I8" s="222">
        <f>G8*$C$8</f>
        <v>439497.4499999999</v>
      </c>
      <c r="J8" s="222"/>
      <c r="K8" s="222">
        <f>I8*$C$8</f>
        <v>450484.88624999986</v>
      </c>
      <c r="L8" s="222"/>
      <c r="M8" s="222">
        <f>K8*$C$8</f>
        <v>461747.00840624981</v>
      </c>
      <c r="N8" s="222"/>
      <c r="O8" s="222">
        <f>M8*$C$8</f>
        <v>473290.68361640599</v>
      </c>
      <c r="P8" s="222"/>
      <c r="Q8" s="222">
        <f>O8*$C$8</f>
        <v>485122.9507068161</v>
      </c>
      <c r="R8" s="222"/>
      <c r="S8" s="222">
        <f>Q8*$C$8</f>
        <v>497251.02447448648</v>
      </c>
      <c r="T8" s="222"/>
      <c r="U8" s="222">
        <f>S8*$C$8</f>
        <v>509682.30008634861</v>
      </c>
      <c r="V8" s="222"/>
      <c r="W8" s="222">
        <f>U8*$C$8</f>
        <v>522424.35758850729</v>
      </c>
      <c r="X8" s="222"/>
      <c r="Y8" s="222">
        <f>W8*$C$8</f>
        <v>535484.96652821999</v>
      </c>
      <c r="Z8" s="222"/>
      <c r="AA8" s="222">
        <f>Y8*$C$8</f>
        <v>548872.09069142549</v>
      </c>
      <c r="AB8" s="222"/>
      <c r="AC8" s="222">
        <f>AA8*$C$8</f>
        <v>562593.89295871113</v>
      </c>
      <c r="AD8" s="222"/>
      <c r="AE8" s="222">
        <f>AC8*$C$8</f>
        <v>576658.74028267886</v>
      </c>
      <c r="AF8" s="222"/>
      <c r="AG8" s="222">
        <f>AE8*$C$8</f>
        <v>591075.20878974581</v>
      </c>
    </row>
    <row r="9" spans="1:34" s="210" customFormat="1" ht="14.25">
      <c r="B9" s="210" t="s">
        <v>837</v>
      </c>
      <c r="C9" s="238"/>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5352810</v>
      </c>
      <c r="G11" s="223">
        <f>SUM(G4:G10)</f>
        <v>5486630.25</v>
      </c>
      <c r="I11" s="223">
        <f>SUM(I4:I10)</f>
        <v>5623796.0062499996</v>
      </c>
      <c r="K11" s="223">
        <f>SUM(K4:K10)</f>
        <v>5764390.9064062489</v>
      </c>
      <c r="M11" s="223">
        <f>SUM(M4:M10)</f>
        <v>5908500.6790664047</v>
      </c>
      <c r="O11" s="223">
        <f>SUM(O4:O10)</f>
        <v>6056213.1960430648</v>
      </c>
      <c r="Q11" s="223">
        <f>SUM(Q4:Q10)</f>
        <v>6207618.5259441407</v>
      </c>
      <c r="S11" s="223">
        <f>SUM(S4:S10)</f>
        <v>6362808.989092744</v>
      </c>
      <c r="U11" s="223">
        <f>SUM(U4:U10)</f>
        <v>6521879.2138200616</v>
      </c>
      <c r="W11" s="223">
        <f>SUM(W4:W10)</f>
        <v>6684926.1941655632</v>
      </c>
      <c r="Y11" s="223">
        <f>SUM(Y4:Y10)</f>
        <v>6852049.3490197016</v>
      </c>
      <c r="AA11" s="223">
        <f>SUM(AA4:AA10)</f>
        <v>7023350.5827451935</v>
      </c>
      <c r="AC11" s="223">
        <f>SUM(AC4:AC10)</f>
        <v>7198934.3473138232</v>
      </c>
      <c r="AE11" s="223">
        <f>SUM(AE4:AE10)</f>
        <v>7378907.705996668</v>
      </c>
      <c r="AG11" s="223">
        <f>SUM(AG4:AG10)</f>
        <v>7563380.3986465838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77220</v>
      </c>
      <c r="G15" s="219">
        <f>E15*$C$14</f>
        <v>79922.7</v>
      </c>
      <c r="I15" s="219">
        <f>G15*$C$14</f>
        <v>82719.994499999986</v>
      </c>
      <c r="K15" s="219">
        <f>I15*$C$14</f>
        <v>85615.194307499973</v>
      </c>
      <c r="M15" s="219">
        <f>K15*$C$14</f>
        <v>88611.726108262461</v>
      </c>
      <c r="O15" s="219">
        <f>M15*$C$14</f>
        <v>91713.136522051645</v>
      </c>
      <c r="Q15" s="219">
        <f>O15*$C$14</f>
        <v>94923.09630032345</v>
      </c>
      <c r="S15" s="219">
        <f>Q15*$C$14</f>
        <v>98245.40467083476</v>
      </c>
      <c r="U15" s="219">
        <f>S15*$C$14</f>
        <v>101683.99383431397</v>
      </c>
      <c r="W15" s="219">
        <f>U15*$C$14</f>
        <v>105242.93361851494</v>
      </c>
      <c r="Y15" s="219">
        <f>W15*$C$14</f>
        <v>108926.43629516296</v>
      </c>
      <c r="AA15" s="219">
        <f>Y15*$C$14</f>
        <v>112738.86156549366</v>
      </c>
      <c r="AC15" s="219">
        <f>AA15*$C$14</f>
        <v>116684.72172028593</v>
      </c>
      <c r="AE15" s="219">
        <f>AC15*$C$14</f>
        <v>120768.68698049593</v>
      </c>
      <c r="AG15" s="219">
        <f>AE15*$C$14</f>
        <v>124995.59102481327</v>
      </c>
    </row>
    <row r="16" spans="1:34" s="210" customFormat="1" ht="14.25">
      <c r="A16" s="210" t="s">
        <v>343</v>
      </c>
      <c r="C16" s="233"/>
      <c r="E16" s="222">
        <f>Application!W849</f>
        <v>173978</v>
      </c>
      <c r="F16" s="222"/>
      <c r="G16" s="222">
        <f t="shared" ref="G16:AG21" si="0">E16*$C$14</f>
        <v>180067.22999999998</v>
      </c>
      <c r="H16" s="222"/>
      <c r="I16" s="222">
        <f t="shared" si="0"/>
        <v>186369.58304999996</v>
      </c>
      <c r="J16" s="222"/>
      <c r="K16" s="222">
        <f t="shared" si="0"/>
        <v>192892.51845674994</v>
      </c>
      <c r="L16" s="222"/>
      <c r="M16" s="222">
        <f t="shared" si="0"/>
        <v>199643.75660273616</v>
      </c>
      <c r="N16" s="222"/>
      <c r="O16" s="222">
        <f t="shared" si="0"/>
        <v>206631.2880838319</v>
      </c>
      <c r="P16" s="222"/>
      <c r="Q16" s="222">
        <f t="shared" si="0"/>
        <v>213863.383166766</v>
      </c>
      <c r="R16" s="222"/>
      <c r="S16" s="222">
        <f t="shared" si="0"/>
        <v>221348.60157760279</v>
      </c>
      <c r="T16" s="222"/>
      <c r="U16" s="222">
        <f t="shared" si="0"/>
        <v>229095.80263281887</v>
      </c>
      <c r="V16" s="222"/>
      <c r="W16" s="222">
        <f t="shared" si="0"/>
        <v>237114.15572496751</v>
      </c>
      <c r="X16" s="222"/>
      <c r="Y16" s="222">
        <f t="shared" si="0"/>
        <v>245413.15117534137</v>
      </c>
      <c r="Z16" s="222"/>
      <c r="AA16" s="222">
        <f t="shared" si="0"/>
        <v>254002.61146647829</v>
      </c>
      <c r="AB16" s="222"/>
      <c r="AC16" s="222">
        <f t="shared" si="0"/>
        <v>262892.70286780503</v>
      </c>
      <c r="AD16" s="222"/>
      <c r="AE16" s="222">
        <f t="shared" si="0"/>
        <v>272093.94746817817</v>
      </c>
      <c r="AF16" s="222"/>
      <c r="AG16" s="222">
        <f t="shared" si="0"/>
        <v>281617.23562956438</v>
      </c>
    </row>
    <row r="17" spans="1:33" s="210" customFormat="1" ht="14.25">
      <c r="A17" s="210" t="s">
        <v>560</v>
      </c>
      <c r="C17" s="233"/>
      <c r="E17" s="222">
        <f>Application!W855</f>
        <v>181720</v>
      </c>
      <c r="F17" s="222"/>
      <c r="G17" s="222">
        <f t="shared" si="0"/>
        <v>188080.19999999998</v>
      </c>
      <c r="H17" s="222"/>
      <c r="I17" s="222">
        <f t="shared" si="0"/>
        <v>194663.00699999995</v>
      </c>
      <c r="J17" s="222"/>
      <c r="K17" s="222">
        <f t="shared" si="0"/>
        <v>201476.21224499994</v>
      </c>
      <c r="L17" s="222"/>
      <c r="M17" s="222">
        <f t="shared" si="0"/>
        <v>208527.87967357493</v>
      </c>
      <c r="N17" s="222"/>
      <c r="O17" s="222">
        <f t="shared" si="0"/>
        <v>215826.35546215004</v>
      </c>
      <c r="P17" s="222"/>
      <c r="Q17" s="222">
        <f t="shared" si="0"/>
        <v>223380.27790332527</v>
      </c>
      <c r="R17" s="222"/>
      <c r="S17" s="222">
        <f t="shared" si="0"/>
        <v>231198.58762994164</v>
      </c>
      <c r="T17" s="222"/>
      <c r="U17" s="222">
        <f t="shared" si="0"/>
        <v>239290.53819698957</v>
      </c>
      <c r="V17" s="222"/>
      <c r="W17" s="222">
        <f t="shared" si="0"/>
        <v>247665.70703388419</v>
      </c>
      <c r="X17" s="222"/>
      <c r="Y17" s="222">
        <f t="shared" si="0"/>
        <v>256334.00678007011</v>
      </c>
      <c r="Z17" s="222"/>
      <c r="AA17" s="222">
        <f t="shared" si="0"/>
        <v>265305.69701737253</v>
      </c>
      <c r="AB17" s="222"/>
      <c r="AC17" s="222">
        <f t="shared" si="0"/>
        <v>274591.39641298057</v>
      </c>
      <c r="AD17" s="222"/>
      <c r="AE17" s="222">
        <f t="shared" si="0"/>
        <v>284202.09528743487</v>
      </c>
      <c r="AF17" s="222"/>
      <c r="AG17" s="222">
        <f t="shared" si="0"/>
        <v>294149.16862249508</v>
      </c>
    </row>
    <row r="18" spans="1:33" s="210" customFormat="1" ht="14.25">
      <c r="A18" s="210" t="s">
        <v>841</v>
      </c>
      <c r="C18" s="233"/>
      <c r="E18" s="222">
        <f>Application!W862</f>
        <v>430700</v>
      </c>
      <c r="F18" s="222"/>
      <c r="G18" s="222">
        <f t="shared" si="0"/>
        <v>445774.49999999994</v>
      </c>
      <c r="H18" s="222"/>
      <c r="I18" s="222">
        <f t="shared" si="0"/>
        <v>461376.60749999993</v>
      </c>
      <c r="J18" s="222"/>
      <c r="K18" s="222">
        <f t="shared" si="0"/>
        <v>477524.78876249987</v>
      </c>
      <c r="L18" s="222"/>
      <c r="M18" s="222">
        <f t="shared" si="0"/>
        <v>494238.15636918735</v>
      </c>
      <c r="N18" s="222"/>
      <c r="O18" s="222">
        <f t="shared" si="0"/>
        <v>511536.49184210884</v>
      </c>
      <c r="P18" s="222"/>
      <c r="Q18" s="222">
        <f t="shared" si="0"/>
        <v>529440.26905658259</v>
      </c>
      <c r="R18" s="222"/>
      <c r="S18" s="222">
        <f t="shared" si="0"/>
        <v>547970.67847356293</v>
      </c>
      <c r="T18" s="222"/>
      <c r="U18" s="222">
        <f t="shared" si="0"/>
        <v>567149.65222013765</v>
      </c>
      <c r="V18" s="222"/>
      <c r="W18" s="222">
        <f t="shared" si="0"/>
        <v>586999.8900478424</v>
      </c>
      <c r="X18" s="222"/>
      <c r="Y18" s="222">
        <f t="shared" si="0"/>
        <v>607544.88619951683</v>
      </c>
      <c r="Z18" s="222"/>
      <c r="AA18" s="222">
        <f t="shared" si="0"/>
        <v>628808.95721649984</v>
      </c>
      <c r="AB18" s="222"/>
      <c r="AC18" s="222">
        <f t="shared" si="0"/>
        <v>650817.27071907732</v>
      </c>
      <c r="AD18" s="222"/>
      <c r="AE18" s="222">
        <f t="shared" si="0"/>
        <v>673595.87519424502</v>
      </c>
      <c r="AF18" s="222"/>
      <c r="AG18" s="222">
        <f t="shared" si="0"/>
        <v>697171.73082604352</v>
      </c>
    </row>
    <row r="19" spans="1:33" s="210" customFormat="1" ht="14.25">
      <c r="A19" s="210" t="s">
        <v>155</v>
      </c>
      <c r="C19" s="233"/>
      <c r="E19" s="222">
        <f>Application!W863</f>
        <v>118000</v>
      </c>
      <c r="F19" s="222"/>
      <c r="G19" s="222">
        <f t="shared" si="0"/>
        <v>122129.99999999999</v>
      </c>
      <c r="H19" s="222"/>
      <c r="I19" s="222">
        <f t="shared" si="0"/>
        <v>126404.54999999997</v>
      </c>
      <c r="J19" s="222"/>
      <c r="K19" s="222">
        <f t="shared" si="0"/>
        <v>130828.70924999996</v>
      </c>
      <c r="L19" s="222"/>
      <c r="M19" s="222">
        <f t="shared" si="0"/>
        <v>135407.71407374996</v>
      </c>
      <c r="N19" s="222"/>
      <c r="O19" s="222">
        <f t="shared" si="0"/>
        <v>140146.98406633121</v>
      </c>
      <c r="P19" s="222"/>
      <c r="Q19" s="222">
        <f t="shared" si="0"/>
        <v>145052.12850865279</v>
      </c>
      <c r="R19" s="222"/>
      <c r="S19" s="222">
        <f t="shared" si="0"/>
        <v>150128.95300645562</v>
      </c>
      <c r="T19" s="222"/>
      <c r="U19" s="222">
        <f t="shared" si="0"/>
        <v>155383.46636168155</v>
      </c>
      <c r="V19" s="222"/>
      <c r="W19" s="222">
        <f t="shared" si="0"/>
        <v>160821.88768434039</v>
      </c>
      <c r="X19" s="222"/>
      <c r="Y19" s="222">
        <f t="shared" si="0"/>
        <v>166450.65375329228</v>
      </c>
      <c r="Z19" s="222"/>
      <c r="AA19" s="222">
        <f t="shared" si="0"/>
        <v>172276.42663465749</v>
      </c>
      <c r="AB19" s="222"/>
      <c r="AC19" s="222">
        <f t="shared" si="0"/>
        <v>178306.10156687049</v>
      </c>
      <c r="AD19" s="222"/>
      <c r="AE19" s="222">
        <f t="shared" si="0"/>
        <v>184546.81512171094</v>
      </c>
      <c r="AF19" s="222"/>
      <c r="AG19" s="222">
        <f t="shared" si="0"/>
        <v>191005.9536509708</v>
      </c>
    </row>
    <row r="20" spans="1:33" s="210" customFormat="1" ht="14.25">
      <c r="A20" s="210" t="s">
        <v>389</v>
      </c>
      <c r="C20" s="233"/>
      <c r="E20" s="222">
        <f>Application!W872</f>
        <v>182900</v>
      </c>
      <c r="F20" s="222"/>
      <c r="G20" s="222">
        <f t="shared" si="0"/>
        <v>189301.49999999997</v>
      </c>
      <c r="H20" s="222"/>
      <c r="I20" s="222">
        <f t="shared" si="0"/>
        <v>195927.05249999996</v>
      </c>
      <c r="J20" s="222"/>
      <c r="K20" s="222">
        <f t="shared" si="0"/>
        <v>202784.49933749993</v>
      </c>
      <c r="L20" s="222"/>
      <c r="M20" s="222">
        <f t="shared" si="0"/>
        <v>209881.95681431241</v>
      </c>
      <c r="N20" s="222"/>
      <c r="O20" s="222">
        <f t="shared" si="0"/>
        <v>217227.82530281332</v>
      </c>
      <c r="P20" s="222"/>
      <c r="Q20" s="222">
        <f t="shared" si="0"/>
        <v>224830.79918841177</v>
      </c>
      <c r="R20" s="222"/>
      <c r="S20" s="222">
        <f t="shared" si="0"/>
        <v>232699.87716000617</v>
      </c>
      <c r="T20" s="222"/>
      <c r="U20" s="222">
        <f t="shared" si="0"/>
        <v>240844.37286060638</v>
      </c>
      <c r="V20" s="222"/>
      <c r="W20" s="222">
        <f t="shared" si="0"/>
        <v>249273.92591072759</v>
      </c>
      <c r="X20" s="222"/>
      <c r="Y20" s="222">
        <f t="shared" si="0"/>
        <v>257998.51331760304</v>
      </c>
      <c r="Z20" s="222"/>
      <c r="AA20" s="222">
        <f t="shared" si="0"/>
        <v>267028.46128371911</v>
      </c>
      <c r="AB20" s="222"/>
      <c r="AC20" s="222">
        <f t="shared" si="0"/>
        <v>276374.45742864924</v>
      </c>
      <c r="AD20" s="222"/>
      <c r="AE20" s="222">
        <f t="shared" si="0"/>
        <v>286047.56343865197</v>
      </c>
      <c r="AF20" s="222"/>
      <c r="AG20" s="222">
        <f t="shared" si="0"/>
        <v>296059.22815900476</v>
      </c>
    </row>
    <row r="21" spans="1:33" s="210" customFormat="1" ht="14.25">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1164518</v>
      </c>
      <c r="G22" s="223">
        <f>SUM(G15:G21)</f>
        <v>1205276.1299999999</v>
      </c>
      <c r="I22" s="223">
        <f>SUM(I15:I21)</f>
        <v>1247460.7945499998</v>
      </c>
      <c r="K22" s="223">
        <f>SUM(K15:K21)</f>
        <v>1291121.9223592496</v>
      </c>
      <c r="M22" s="223">
        <f>SUM(M15:M21)</f>
        <v>1336311.1896418233</v>
      </c>
      <c r="O22" s="223">
        <f>SUM(O15:O21)</f>
        <v>1383082.0812792871</v>
      </c>
      <c r="Q22" s="223">
        <f>SUM(Q15:Q21)</f>
        <v>1431489.9541240619</v>
      </c>
      <c r="S22" s="223">
        <f>SUM(S15:S21)</f>
        <v>1481592.1025184039</v>
      </c>
      <c r="U22" s="223">
        <f>SUM(U15:U21)</f>
        <v>1533447.8261065478</v>
      </c>
      <c r="W22" s="223">
        <f>SUM(W15:W21)</f>
        <v>1587118.500020277</v>
      </c>
      <c r="Y22" s="223">
        <f>SUM(Y15:Y21)</f>
        <v>1642667.6475209869</v>
      </c>
      <c r="AA22" s="223">
        <f>SUM(AA15:AA21)</f>
        <v>1700161.0151842209</v>
      </c>
      <c r="AC22" s="223">
        <f>SUM(AC15:AC21)</f>
        <v>1759666.6507156687</v>
      </c>
      <c r="AE22" s="223">
        <f>SUM(AE15:AE21)</f>
        <v>1821254.9834907171</v>
      </c>
      <c r="AG22" s="223">
        <f>SUM(AG15:AG21)</f>
        <v>1884998.9079128918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v>
      </c>
      <c r="E27" s="222">
        <f>Application!AC888</f>
        <v>26500</v>
      </c>
      <c r="F27" s="222"/>
      <c r="G27" s="222">
        <f>E27*$C$27</f>
        <v>27295</v>
      </c>
      <c r="H27" s="222"/>
      <c r="I27" s="222">
        <f>G27*$C$27</f>
        <v>28113.850000000002</v>
      </c>
      <c r="J27" s="222"/>
      <c r="K27" s="222">
        <f>I27*$C$27</f>
        <v>28957.265500000001</v>
      </c>
      <c r="L27" s="222"/>
      <c r="M27" s="222">
        <f>K27*$C$27</f>
        <v>29825.983465000001</v>
      </c>
      <c r="N27" s="222"/>
      <c r="O27" s="222">
        <f>M27*$C$27</f>
        <v>30720.762968950003</v>
      </c>
      <c r="P27" s="222"/>
      <c r="Q27" s="222">
        <f>O27*$C$27</f>
        <v>31642.385858018504</v>
      </c>
      <c r="R27" s="222"/>
      <c r="S27" s="222">
        <f>Q27*$C$27</f>
        <v>32591.657433759061</v>
      </c>
      <c r="T27" s="222"/>
      <c r="U27" s="222">
        <f>S27*$C$27</f>
        <v>33569.407156771835</v>
      </c>
      <c r="V27" s="222"/>
      <c r="W27" s="222">
        <f>U27*$C$27</f>
        <v>34576.489371474992</v>
      </c>
      <c r="X27" s="222"/>
      <c r="Y27" s="222">
        <f>W27*$C$27</f>
        <v>35613.784052619245</v>
      </c>
      <c r="Z27" s="222"/>
      <c r="AA27" s="222">
        <f>Y27*$C$27</f>
        <v>36682.197574197824</v>
      </c>
      <c r="AB27" s="222"/>
      <c r="AC27" s="222">
        <f>AA27*$C$27</f>
        <v>37782.663501423762</v>
      </c>
      <c r="AD27" s="222"/>
      <c r="AE27" s="222">
        <f>AC27*$C$27</f>
        <v>38916.143406466479</v>
      </c>
      <c r="AF27" s="222"/>
      <c r="AG27" s="222">
        <f>AE27*$C$27</f>
        <v>40083.627708660475</v>
      </c>
    </row>
    <row r="28" spans="1:33" s="210" customFormat="1" ht="14.25">
      <c r="A28" s="210" t="s">
        <v>845</v>
      </c>
      <c r="C28" s="237"/>
      <c r="E28" s="222">
        <f>Application!AC889</f>
        <v>59000</v>
      </c>
      <c r="F28" s="222"/>
      <c r="G28" s="222">
        <f>$E$28</f>
        <v>59000</v>
      </c>
      <c r="H28" s="222"/>
      <c r="I28" s="222">
        <f>$E$28</f>
        <v>59000</v>
      </c>
      <c r="J28" s="222"/>
      <c r="K28" s="222">
        <f>$E$28</f>
        <v>59000</v>
      </c>
      <c r="L28" s="222"/>
      <c r="M28" s="222">
        <f>$E$28</f>
        <v>59000</v>
      </c>
      <c r="N28" s="222"/>
      <c r="O28" s="222">
        <f>$E$28</f>
        <v>59000</v>
      </c>
      <c r="P28" s="222"/>
      <c r="Q28" s="222">
        <f>$E$28</f>
        <v>59000</v>
      </c>
      <c r="R28" s="222"/>
      <c r="S28" s="222">
        <f>$E$28</f>
        <v>59000</v>
      </c>
      <c r="T28" s="222"/>
      <c r="U28" s="222">
        <f>$E$28</f>
        <v>59000</v>
      </c>
      <c r="V28" s="222"/>
      <c r="W28" s="222">
        <f>$E$28</f>
        <v>59000</v>
      </c>
      <c r="X28" s="222"/>
      <c r="Y28" s="222">
        <f>$E$28</f>
        <v>59000</v>
      </c>
      <c r="Z28" s="222"/>
      <c r="AA28" s="222">
        <f>$E$28</f>
        <v>59000</v>
      </c>
      <c r="AB28" s="222"/>
      <c r="AC28" s="222">
        <f>$E$28</f>
        <v>59000</v>
      </c>
      <c r="AD28" s="222"/>
      <c r="AE28" s="222">
        <f>$E$28</f>
        <v>59000</v>
      </c>
      <c r="AF28" s="222"/>
      <c r="AG28" s="222">
        <f>$E$28</f>
        <v>59000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1680</v>
      </c>
      <c r="C31" s="237">
        <v>1.02</v>
      </c>
      <c r="E31" s="222">
        <f>Application!AC893</f>
        <v>239260</v>
      </c>
      <c r="F31" s="222"/>
      <c r="G31" s="222">
        <f>E31*$C$31</f>
        <v>244045.2</v>
      </c>
      <c r="H31" s="222"/>
      <c r="I31" s="222">
        <f>G31*$C$31</f>
        <v>248926.10400000002</v>
      </c>
      <c r="J31" s="222"/>
      <c r="K31" s="222">
        <f>I31*$C$31</f>
        <v>253904.62608000002</v>
      </c>
      <c r="L31" s="222"/>
      <c r="M31" s="222">
        <f>K31*$C$31</f>
        <v>258982.71860160003</v>
      </c>
      <c r="N31" s="222"/>
      <c r="O31" s="222">
        <f>M31*$C$31</f>
        <v>264162.37297363207</v>
      </c>
      <c r="P31" s="222"/>
      <c r="Q31" s="222">
        <f>O31*$C$31</f>
        <v>269445.62043310469</v>
      </c>
      <c r="R31" s="222"/>
      <c r="S31" s="222">
        <f>Q31*$C$31</f>
        <v>274834.53284176678</v>
      </c>
      <c r="T31" s="222"/>
      <c r="U31" s="222">
        <f>S31*$C$31</f>
        <v>280331.22349860211</v>
      </c>
      <c r="V31" s="222"/>
      <c r="W31" s="222">
        <f>U31*$C$31</f>
        <v>285937.84796857415</v>
      </c>
      <c r="X31" s="222"/>
      <c r="Y31" s="222">
        <f>W31*$C$31</f>
        <v>291656.60492794565</v>
      </c>
      <c r="Z31" s="222"/>
      <c r="AA31" s="222">
        <f>Y31*$C$31</f>
        <v>297489.73702650459</v>
      </c>
      <c r="AB31" s="222"/>
      <c r="AC31" s="222">
        <f>AA31*$C$31</f>
        <v>303439.53176703467</v>
      </c>
      <c r="AD31" s="222"/>
      <c r="AE31" s="222">
        <f>AC31*$C$31</f>
        <v>309508.32240237534</v>
      </c>
      <c r="AF31" s="222"/>
      <c r="AG31" s="222">
        <f>AE31*$C$31</f>
        <v>315698.48885042284</v>
      </c>
    </row>
    <row r="32" spans="1:33" s="210" customFormat="1" ht="14.25">
      <c r="A32" s="210" t="str">
        <f>Application!C894</f>
        <v>Issuer Fee</v>
      </c>
      <c r="C32" s="316">
        <v>1.0349999999999999</v>
      </c>
      <c r="E32" s="222">
        <f>Application!AC894</f>
        <v>16000</v>
      </c>
      <c r="F32" s="222"/>
      <c r="G32" s="222">
        <f>E32*$C$32</f>
        <v>16560</v>
      </c>
      <c r="H32" s="222"/>
      <c r="I32" s="222">
        <f>G32*$C$32</f>
        <v>17139.599999999999</v>
      </c>
      <c r="J32" s="222"/>
      <c r="K32" s="222">
        <f>I32*$C$32</f>
        <v>17739.485999999997</v>
      </c>
      <c r="L32" s="222"/>
      <c r="M32" s="222">
        <f>K32*$C$32</f>
        <v>18360.368009999995</v>
      </c>
      <c r="N32" s="222"/>
      <c r="O32" s="222">
        <f>M32*$C$32</f>
        <v>19002.980890349994</v>
      </c>
      <c r="P32" s="222"/>
      <c r="Q32" s="222">
        <f>O32*$C$32</f>
        <v>19668.085221512243</v>
      </c>
      <c r="R32" s="222"/>
      <c r="S32" s="222">
        <f>Q32*$C$32</f>
        <v>20356.468204265169</v>
      </c>
      <c r="T32" s="222"/>
      <c r="U32" s="222">
        <f>S32*$C$32</f>
        <v>21068.944591414449</v>
      </c>
      <c r="V32" s="222"/>
      <c r="W32" s="222">
        <f>U32*$C$32</f>
        <v>21806.357652113951</v>
      </c>
      <c r="X32" s="222"/>
      <c r="Y32" s="222">
        <f>W32*$C$32</f>
        <v>22569.580169937937</v>
      </c>
      <c r="Z32" s="222"/>
      <c r="AA32" s="222">
        <f>Y32*$C$32</f>
        <v>23359.515475885764</v>
      </c>
      <c r="AB32" s="222"/>
      <c r="AC32" s="222">
        <f>AA32*$C$32</f>
        <v>24177.098517541763</v>
      </c>
      <c r="AD32" s="222"/>
      <c r="AE32" s="222">
        <f>AC32*$C$32</f>
        <v>25023.296965655722</v>
      </c>
      <c r="AF32" s="222"/>
      <c r="AG32" s="222">
        <f>AE32*$C$32</f>
        <v>25899.112359453669</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1505278</v>
      </c>
      <c r="G35" s="223">
        <f>SUM(G22:G33)</f>
        <v>1552176.3299999998</v>
      </c>
      <c r="I35" s="223">
        <f>SUM(I22:I33)</f>
        <v>1600640.34855</v>
      </c>
      <c r="K35" s="223">
        <f>SUM(K22:K33)</f>
        <v>1650723.2999392496</v>
      </c>
      <c r="M35" s="223">
        <f>SUM(M22:M33)</f>
        <v>1702480.2597184235</v>
      </c>
      <c r="O35" s="223">
        <f>SUM(O22:O33)</f>
        <v>1755968.1981122191</v>
      </c>
      <c r="Q35" s="223">
        <f>SUM(Q22:Q33)</f>
        <v>1811246.0456366972</v>
      </c>
      <c r="S35" s="223">
        <f>SUM(S22:S33)</f>
        <v>1868374.7609981948</v>
      </c>
      <c r="U35" s="223">
        <f>SUM(U22:U33)</f>
        <v>1927417.4013533362</v>
      </c>
      <c r="W35" s="223">
        <f>SUM(W22:W33)</f>
        <v>1988439.1950124402</v>
      </c>
      <c r="Y35" s="223">
        <f>SUM(Y22:Y33)</f>
        <v>2051507.6166714898</v>
      </c>
      <c r="AA35" s="223">
        <f>SUM(AA22:AA33)</f>
        <v>2116692.4652608093</v>
      </c>
      <c r="AC35" s="223">
        <f>SUM(AC22:AC33)</f>
        <v>2184065.9445016691</v>
      </c>
      <c r="AE35" s="223">
        <f>SUM(AE22:AE33)</f>
        <v>2253702.7462652149</v>
      </c>
      <c r="AG35" s="223">
        <f>SUM(AG22:AG33)</f>
        <v>2325680.1368314284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3847532</v>
      </c>
      <c r="G37" s="223">
        <f>G11-G35</f>
        <v>3934453.92</v>
      </c>
      <c r="I37" s="223">
        <f>I11-I35</f>
        <v>4023155.6576999994</v>
      </c>
      <c r="K37" s="223">
        <f>K11-K35</f>
        <v>4113667.6064669993</v>
      </c>
      <c r="M37" s="223">
        <f>M11-M35</f>
        <v>4206020.419347981</v>
      </c>
      <c r="O37" s="223">
        <f>O11-O35</f>
        <v>4300244.9979308452</v>
      </c>
      <c r="Q37" s="223">
        <f>Q11-Q35</f>
        <v>4396372.4803074431</v>
      </c>
      <c r="S37" s="223">
        <f>S11-S35</f>
        <v>4494434.2280945489</v>
      </c>
      <c r="U37" s="223">
        <f>U11-U35</f>
        <v>4594461.8124667257</v>
      </c>
      <c r="W37" s="223">
        <f>W11-W35</f>
        <v>4696486.9991531232</v>
      </c>
      <c r="Y37" s="223">
        <f>Y11-Y35</f>
        <v>4800541.732348212</v>
      </c>
      <c r="AA37" s="223">
        <f>AA11-AA35</f>
        <v>4906658.1174843842</v>
      </c>
      <c r="AC37" s="223">
        <f>AC11-AC35</f>
        <v>5014868.402812154</v>
      </c>
      <c r="AE37" s="223">
        <f>AE11-AE35</f>
        <v>5125204.9597314531</v>
      </c>
      <c r="AG37" s="223">
        <f>AG11-AG35</f>
        <v>5237700.2618151549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2086113.6456999921</v>
      </c>
      <c r="F40" s="222"/>
      <c r="G40" s="222">
        <f>$E$40</f>
        <v>2086113.6456999921</v>
      </c>
      <c r="H40" s="222"/>
      <c r="I40" s="222">
        <f>$E$40</f>
        <v>2086113.6456999921</v>
      </c>
      <c r="J40" s="222"/>
      <c r="K40" s="222">
        <f>$E$40</f>
        <v>2086113.6456999921</v>
      </c>
      <c r="L40" s="222"/>
      <c r="M40" s="222">
        <f>$E$40</f>
        <v>2086113.6456999921</v>
      </c>
      <c r="N40" s="222"/>
      <c r="O40" s="222">
        <f>$E$40</f>
        <v>2086113.6456999921</v>
      </c>
      <c r="P40" s="222"/>
      <c r="Q40" s="222">
        <f>$E$40</f>
        <v>2086113.6456999921</v>
      </c>
      <c r="R40" s="222"/>
      <c r="S40" s="222">
        <f>$E$40</f>
        <v>2086113.6456999921</v>
      </c>
      <c r="T40" s="222"/>
      <c r="U40" s="222">
        <f>$E$40</f>
        <v>2086113.6456999921</v>
      </c>
      <c r="V40" s="222"/>
      <c r="W40" s="222">
        <f>$E$40</f>
        <v>2086113.6456999921</v>
      </c>
      <c r="X40" s="222"/>
      <c r="Y40" s="222">
        <f>$E$40</f>
        <v>2086113.6456999921</v>
      </c>
      <c r="Z40" s="222"/>
      <c r="AA40" s="222">
        <f>$E$40</f>
        <v>2086113.6456999921</v>
      </c>
      <c r="AB40" s="222"/>
      <c r="AC40" s="222">
        <f>$E$40</f>
        <v>2086113.6456999921</v>
      </c>
      <c r="AD40" s="222"/>
      <c r="AE40" s="222">
        <f>$E$40</f>
        <v>2086113.6456999921</v>
      </c>
      <c r="AF40" s="222"/>
      <c r="AG40" s="222">
        <f>$E$40</f>
        <v>2086113.6456999921</v>
      </c>
    </row>
    <row r="41" spans="1:33" s="210" customFormat="1" ht="14.25">
      <c r="A41" s="225" t="str">
        <f>Application!C628</f>
        <v>Citibank, N.A.</v>
      </c>
      <c r="B41" s="226"/>
      <c r="C41" s="220"/>
      <c r="E41" s="222">
        <f>Application!AF628</f>
        <v>1259700.5652296308</v>
      </c>
      <c r="F41" s="222"/>
      <c r="G41" s="222">
        <f>$E$41</f>
        <v>1259700.5652296308</v>
      </c>
      <c r="H41" s="222"/>
      <c r="I41" s="222">
        <f>$E$41</f>
        <v>1259700.5652296308</v>
      </c>
      <c r="J41" s="222"/>
      <c r="K41" s="222">
        <f>$E$41</f>
        <v>1259700.5652296308</v>
      </c>
      <c r="L41" s="222"/>
      <c r="M41" s="222">
        <f>$E$41</f>
        <v>1259700.5652296308</v>
      </c>
      <c r="N41" s="222"/>
      <c r="O41" s="222">
        <f>$E$41</f>
        <v>1259700.5652296308</v>
      </c>
      <c r="P41" s="222"/>
      <c r="Q41" s="222">
        <f>$E$41</f>
        <v>1259700.5652296308</v>
      </c>
      <c r="R41" s="222"/>
      <c r="S41" s="222">
        <f>$E$41</f>
        <v>1259700.5652296308</v>
      </c>
      <c r="T41" s="222"/>
      <c r="U41" s="222">
        <f>$E$41</f>
        <v>1259700.5652296308</v>
      </c>
      <c r="V41" s="222"/>
      <c r="W41" s="222">
        <f>$E$41</f>
        <v>1259700.5652296308</v>
      </c>
      <c r="X41" s="222"/>
      <c r="Y41" s="222">
        <f>$E$41</f>
        <v>1259700.5652296308</v>
      </c>
      <c r="Z41" s="222"/>
      <c r="AA41" s="222">
        <f>$E$41</f>
        <v>1259700.5652296308</v>
      </c>
      <c r="AB41" s="222"/>
      <c r="AC41" s="222">
        <f>$E$41</f>
        <v>1259700.5652296308</v>
      </c>
      <c r="AD41" s="222"/>
      <c r="AE41" s="222">
        <f>$E$41</f>
        <v>1259700.5652296308</v>
      </c>
      <c r="AF41" s="222"/>
      <c r="AG41" s="222">
        <f>$E$41</f>
        <v>1259700.5652296308</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3345814.2109296229</v>
      </c>
      <c r="G43" s="223">
        <f>SUM(G40:G42)</f>
        <v>3345814.2109296229</v>
      </c>
      <c r="I43" s="223">
        <f>SUM(I40:I42)</f>
        <v>3345814.2109296229</v>
      </c>
      <c r="K43" s="223">
        <f>SUM(K40:K42)</f>
        <v>3345814.2109296229</v>
      </c>
      <c r="M43" s="223">
        <f>SUM(M40:M42)</f>
        <v>3345814.2109296229</v>
      </c>
      <c r="O43" s="223">
        <f>SUM(O40:O42)</f>
        <v>3345814.2109296229</v>
      </c>
      <c r="Q43" s="223">
        <f>SUM(Q40:Q42)</f>
        <v>3345814.2109296229</v>
      </c>
      <c r="S43" s="223">
        <f>SUM(S40:S42)</f>
        <v>3345814.2109296229</v>
      </c>
      <c r="U43" s="223">
        <f>SUM(U40:U42)</f>
        <v>3345814.2109296229</v>
      </c>
      <c r="W43" s="223">
        <f>SUM(W40:W42)</f>
        <v>3345814.2109296229</v>
      </c>
      <c r="Y43" s="223">
        <f>SUM(Y40:Y42)</f>
        <v>3345814.2109296229</v>
      </c>
      <c r="AA43" s="223">
        <f>SUM(AA40:AA42)</f>
        <v>3345814.2109296229</v>
      </c>
      <c r="AC43" s="223">
        <f>SUM(AC40:AC42)</f>
        <v>3345814.2109296229</v>
      </c>
      <c r="AE43" s="223">
        <f>SUM(AE40:AE42)</f>
        <v>3345814.2109296229</v>
      </c>
      <c r="AG43" s="223">
        <f>SUM(AG40:AG42)</f>
        <v>3345814.2109296229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501717.78907037713</v>
      </c>
      <c r="G45" s="223">
        <f>G37-G43</f>
        <v>588639.70907037705</v>
      </c>
      <c r="I45" s="223">
        <f>I37-I43</f>
        <v>677341.44677037653</v>
      </c>
      <c r="K45" s="223">
        <f>K37-K43</f>
        <v>767853.3955373764</v>
      </c>
      <c r="M45" s="223">
        <f>M37-M43</f>
        <v>860206.20841835812</v>
      </c>
      <c r="O45" s="223">
        <f>O37-O43</f>
        <v>954430.78700122237</v>
      </c>
      <c r="Q45" s="223">
        <f>Q37-Q43</f>
        <v>1050558.2693778202</v>
      </c>
      <c r="S45" s="223">
        <f>S37-S43</f>
        <v>1148620.017164926</v>
      </c>
      <c r="U45" s="223">
        <f>U37-U43</f>
        <v>1248647.6015371028</v>
      </c>
      <c r="W45" s="223">
        <f>W37-W43</f>
        <v>1350672.7882235004</v>
      </c>
      <c r="Y45" s="223">
        <f>Y37-Y43</f>
        <v>1454727.5214185892</v>
      </c>
      <c r="AA45" s="223">
        <f>AA37-AA43</f>
        <v>1560843.9065547613</v>
      </c>
      <c r="AC45" s="223">
        <f>AC37-AC43</f>
        <v>1669054.1918825312</v>
      </c>
      <c r="AE45" s="223">
        <f>AE37-AE43</f>
        <v>1779390.7488018302</v>
      </c>
      <c r="AG45" s="223">
        <f>AG37-AG43</f>
        <v>1891886.0508855321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8.9392606007707251E-2</v>
      </c>
      <c r="G47" s="227">
        <f>G45/(G4+G6+G8)</f>
        <v>0.10232170985501875</v>
      </c>
      <c r="I47" s="227">
        <f>I45/(I4+I6+I8)</f>
        <v>0.11486878268123135</v>
      </c>
      <c r="K47" s="227">
        <f>K45/(K4+K6+K8)</f>
        <v>0.1270424356204943</v>
      </c>
      <c r="M47" s="227">
        <f>M45/(M4+M6+M8)</f>
        <v>0.13885106319039647</v>
      </c>
      <c r="O47" s="227">
        <f>O45/(O4+O6+O8)</f>
        <v>0.15030284850968126</v>
      </c>
      <c r="Q47" s="227">
        <f>Q45/(Q4+Q6+Q8)</f>
        <v>0.16140576838806558</v>
      </c>
      <c r="S47" s="227">
        <f>S45/(S4+S6+S8)</f>
        <v>0.17216759829127956</v>
      </c>
      <c r="U47" s="227">
        <f>U45/(U4+U6+U8)</f>
        <v>0.18259591718436088</v>
      </c>
      <c r="W47" s="227">
        <f>W45/(W4+W6+W8)</f>
        <v>0.19269811225616937</v>
      </c>
      <c r="Y47" s="227">
        <f>Y45/(Y4+Y6+Y8)</f>
        <v>0.20248138352801065</v>
      </c>
      <c r="AA47" s="227">
        <f>AA45/(AA4+AA6+AA8)</f>
        <v>0.2119527483491907</v>
      </c>
      <c r="AC47" s="227">
        <f>AC45/(AC4+AC6+AC8)</f>
        <v>0.22111904578225069</v>
      </c>
      <c r="AE47" s="227">
        <f>AE45/(AE4+AE6+AE8)</f>
        <v>0.22998694088056776</v>
      </c>
      <c r="AG47" s="227">
        <f>AG45/(AG4+AG6+AG8)</f>
        <v>0.23856292886094016</v>
      </c>
    </row>
    <row r="48" spans="1:33" s="227" customFormat="1" ht="14.25">
      <c r="A48" s="227" t="s">
        <v>851</v>
      </c>
      <c r="C48" s="220"/>
      <c r="E48" s="227">
        <f>E45/E43</f>
        <v>0.14995386995232368</v>
      </c>
      <c r="G48" s="227">
        <f>G45/G43</f>
        <v>0.17593317260339617</v>
      </c>
      <c r="I48" s="227">
        <f>I45/I43</f>
        <v>0.20244442879037791</v>
      </c>
      <c r="K48" s="227">
        <f>K45/K43</f>
        <v>0.229496722510492</v>
      </c>
      <c r="M48" s="227">
        <f>M45/M43</f>
        <v>0.25709921537435065</v>
      </c>
      <c r="O48" s="227">
        <f>O45/O43</f>
        <v>0.28526114327670249</v>
      </c>
      <c r="Q48" s="227">
        <f>Q45/Q43</f>
        <v>0.31399181279881233</v>
      </c>
      <c r="S48" s="227">
        <f>S45/S43</f>
        <v>0.34330059732927787</v>
      </c>
      <c r="U48" s="227">
        <f>U45/U43</f>
        <v>0.37319693288951944</v>
      </c>
      <c r="W48" s="227">
        <f>W45/W43</f>
        <v>0.40369031364960956</v>
      </c>
      <c r="Y48" s="227">
        <f>Y45/Y43</f>
        <v>0.43479028711949852</v>
      </c>
      <c r="AA48" s="227">
        <f>AA45/AA43</f>
        <v>0.46650644900007354</v>
      </c>
      <c r="AC48" s="227">
        <f>AC45/AC43</f>
        <v>0.49884843767783216</v>
      </c>
      <c r="AE48" s="227">
        <f>AE45/AE43</f>
        <v>0.53182592834628217</v>
      </c>
      <c r="AG48" s="227">
        <f>AG45/AG43</f>
        <v>0.56544862673647323</v>
      </c>
    </row>
    <row r="49" spans="1:34" s="228" customFormat="1" ht="14.25">
      <c r="A49" s="228" t="s">
        <v>849</v>
      </c>
      <c r="C49" s="229"/>
      <c r="E49" s="228">
        <f>E37/E43</f>
        <v>1.1499538699523237</v>
      </c>
      <c r="G49" s="228">
        <f>G37/G43</f>
        <v>1.1759331726033961</v>
      </c>
      <c r="I49" s="228">
        <f>I37/I43</f>
        <v>1.2024444287903779</v>
      </c>
      <c r="K49" s="228">
        <f>K37/K43</f>
        <v>1.229496722510492</v>
      </c>
      <c r="M49" s="228">
        <f>M37/M43</f>
        <v>1.2570992153743505</v>
      </c>
      <c r="O49" s="228">
        <f>O37/O43</f>
        <v>1.2852611432767025</v>
      </c>
      <c r="Q49" s="228">
        <f>Q37/Q43</f>
        <v>1.3139918127988124</v>
      </c>
      <c r="S49" s="228">
        <f>S37/S43</f>
        <v>1.343300597329278</v>
      </c>
      <c r="U49" s="228">
        <f>U37/U43</f>
        <v>1.3731969328895195</v>
      </c>
      <c r="W49" s="228">
        <f>W37/W43</f>
        <v>1.4036903136496095</v>
      </c>
      <c r="Y49" s="228">
        <f>Y37/Y43</f>
        <v>1.4347902871194986</v>
      </c>
      <c r="AA49" s="228">
        <f>AA37/AA43</f>
        <v>1.4665064490000734</v>
      </c>
      <c r="AC49" s="228">
        <f>AC37/AC43</f>
        <v>1.4988484376778322</v>
      </c>
      <c r="AE49" s="228">
        <f>AE37/AE43</f>
        <v>1.5318259283462821</v>
      </c>
      <c r="AG49" s="228">
        <f>AG37/AG43</f>
        <v>1.5654486267364733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1183</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v>
      </c>
      <c r="E53" s="964">
        <v>28320</v>
      </c>
      <c r="G53" s="960">
        <f>E53*$C$53</f>
        <v>29169.600000000002</v>
      </c>
      <c r="I53" s="960">
        <f>G53*$C$53</f>
        <v>30044.688000000002</v>
      </c>
      <c r="K53" s="960">
        <f>I53*$C$53</f>
        <v>30946.028640000004</v>
      </c>
      <c r="M53" s="960">
        <f>K53*$C$53</f>
        <v>31874.409499200006</v>
      </c>
      <c r="O53" s="960">
        <f>M53*$C$53</f>
        <v>32830.641784176005</v>
      </c>
      <c r="Q53" s="960">
        <f>O53*$C$53</f>
        <v>33815.561037701285</v>
      </c>
      <c r="S53" s="960">
        <f>Q53*$C$53</f>
        <v>34830.027868832323</v>
      </c>
      <c r="U53" s="960">
        <f>S53*$C$53</f>
        <v>35874.928704897291</v>
      </c>
      <c r="W53" s="960">
        <f>U53*$C$53</f>
        <v>36951.176566044211</v>
      </c>
      <c r="Y53" s="960">
        <f>W53*$C$53</f>
        <v>38059.711863025535</v>
      </c>
      <c r="AA53" s="960">
        <f>Y53*$C$53</f>
        <v>39201.503218916303</v>
      </c>
      <c r="AC53" s="960">
        <f>AA53*$C$53</f>
        <v>40377.548315483793</v>
      </c>
      <c r="AE53" s="960">
        <f>AC53*$C$53</f>
        <v>41588.874764948305</v>
      </c>
      <c r="AG53" s="960">
        <f>AE53*$C$53</f>
        <v>42836.541007896754</v>
      </c>
    </row>
    <row r="54" spans="1:34" s="3" customFormat="1">
      <c r="A54" s="3" t="s">
        <v>854</v>
      </c>
      <c r="C54" s="958">
        <v>1.03</v>
      </c>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38320</v>
      </c>
      <c r="F58" s="960"/>
      <c r="G58" s="960">
        <f>SUM(G53:G57)</f>
        <v>39469.600000000006</v>
      </c>
      <c r="H58" s="960"/>
      <c r="I58" s="960">
        <f>SUM(I53:I57)</f>
        <v>40653.688000000002</v>
      </c>
      <c r="J58" s="960"/>
      <c r="K58" s="960">
        <f>SUM(K53:K57)</f>
        <v>41873.298640000008</v>
      </c>
      <c r="L58" s="960"/>
      <c r="M58" s="960">
        <f>SUM(M53:M57)</f>
        <v>43129.497599200011</v>
      </c>
      <c r="N58" s="960"/>
      <c r="O58" s="960">
        <f>SUM(O53:O57)</f>
        <v>44423.382527176007</v>
      </c>
      <c r="P58" s="960"/>
      <c r="Q58" s="960">
        <f>SUM(Q53:Q57)</f>
        <v>45756.084002991287</v>
      </c>
      <c r="R58" s="960"/>
      <c r="S58" s="960">
        <f>SUM(S53:S57)</f>
        <v>47128.766523081023</v>
      </c>
      <c r="T58" s="960"/>
      <c r="U58" s="960">
        <f>SUM(U53:U57)</f>
        <v>48542.62951877345</v>
      </c>
      <c r="V58" s="960"/>
      <c r="W58" s="960">
        <f>SUM(W53:W57)</f>
        <v>49998.90840433666</v>
      </c>
      <c r="X58" s="960"/>
      <c r="Y58" s="960">
        <f>SUM(Y53:Y57)</f>
        <v>51498.875656466756</v>
      </c>
      <c r="Z58" s="960"/>
      <c r="AA58" s="960">
        <f>SUM(AA53:AA57)</f>
        <v>53043.841926160763</v>
      </c>
      <c r="AB58" s="960"/>
      <c r="AC58" s="960">
        <f>SUM(AC53:AC57)</f>
        <v>54635.157183945586</v>
      </c>
      <c r="AD58" s="960"/>
      <c r="AE58" s="960">
        <f>SUM(AE53:AE57)</f>
        <v>56274.211899463946</v>
      </c>
      <c r="AF58" s="960"/>
      <c r="AG58" s="960">
        <f>SUM(AG53:AG57)</f>
        <v>57962.438256447873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463397.78907037713</v>
      </c>
      <c r="G60" s="962">
        <f>G45-G58</f>
        <v>549170.10907037708</v>
      </c>
      <c r="I60" s="962">
        <f>I45-I58</f>
        <v>636687.75877037656</v>
      </c>
      <c r="K60" s="962">
        <f>K45-K58</f>
        <v>725980.09689737635</v>
      </c>
      <c r="M60" s="962">
        <f>M45-M58</f>
        <v>817076.71081915812</v>
      </c>
      <c r="O60" s="962">
        <f>O45-O58</f>
        <v>910007.40447404631</v>
      </c>
      <c r="Q60" s="962">
        <f>Q45-Q58</f>
        <v>1004802.1853748289</v>
      </c>
      <c r="S60" s="962">
        <f>S45-S58</f>
        <v>1101491.2506418449</v>
      </c>
      <c r="U60" s="962">
        <f>U45-U58</f>
        <v>1200104.9720183294</v>
      </c>
      <c r="W60" s="962">
        <f>W45-W58</f>
        <v>1300673.8798191636</v>
      </c>
      <c r="Y60" s="962">
        <f>Y45-Y58</f>
        <v>1403228.6457621225</v>
      </c>
      <c r="AA60" s="962">
        <f>AA45-AA58</f>
        <v>1507800.0646286006</v>
      </c>
      <c r="AC60" s="962">
        <f>AC45-AC58</f>
        <v>1614419.0346985855</v>
      </c>
      <c r="AE60" s="962">
        <f>AE45-AE58</f>
        <v>1723116.5369023662</v>
      </c>
      <c r="AG60" s="962">
        <f>AG45-AG58</f>
        <v>1833923.6126290841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0.65</v>
      </c>
      <c r="E62" s="964">
        <f>E60*$C$62</f>
        <v>301208.56289574516</v>
      </c>
      <c r="G62" s="962" cm="1">
        <f t="array" ref="G62">IF(SUM((G60*$C$62),$E$62:F62&lt;Application!$AO$630),G60*$C$62,Application!$AO$630-SUM((G60*$C$62),$E$62:F62))</f>
        <v>356960.57089574513</v>
      </c>
      <c r="I62" s="962" cm="1">
        <f t="array" ref="I62">IF(SUM((I60*$C$62),$E$62:H62&lt;Application!$AO$630),I60*$C$62,Application!$AO$630-SUM((I60*$C$62),$E$62:H62))</f>
        <v>413847.04320074478</v>
      </c>
      <c r="K62" s="962" cm="1">
        <f t="array" ref="K62">IF(SUM((K60*$C$62),$E$62:J62&lt;Application!$AO$630),K60*$C$62,Application!$AO$630-SUM((K60*$C$62),$E$62:J62))</f>
        <v>471887.06298329466</v>
      </c>
      <c r="M62" s="962" cm="1">
        <f t="array" ref="M62">IF(SUM((M60*$C$62),$E$62:L62&lt;Application!$AO$630),M60*$C$62,Application!$AO$630-SUM((M60*$C$62),$E$62:L62))</f>
        <v>531099.86203245283</v>
      </c>
      <c r="O62" s="962" cm="1">
        <f t="array" ref="O62">IF(SUM((O60*$C$62),$E$62:N62&lt;Application!$AO$630),O60*$C$62,Application!$AO$630-SUM((O60*$C$62),$E$62:N62))</f>
        <v>591504.81290813012</v>
      </c>
      <c r="Q62" s="962" cm="1">
        <f t="array" ref="Q62">IF(SUM((Q60*$C$62),$E$62:P62&lt;Application!$AO$630),Q60*$C$62,Application!$AO$630-SUM((Q60*$C$62),$E$62:P62))</f>
        <v>653121.42049363884</v>
      </c>
      <c r="S62" s="962" cm="1">
        <f t="array" ref="S62">IF(SUM((S60*$C$62),$E$62:R62&lt;Application!$AO$630),S60*$C$62,Application!$AO$630-SUM((S60*$C$62),$E$62:R62))</f>
        <v>715969.31291719922</v>
      </c>
      <c r="U62" s="962" cm="1">
        <f t="array" ref="U62">IF(SUM((U60*$C$62),$E$62:T62&lt;Application!$AO$630),U60*$C$62,Application!$AO$630-SUM((U60*$C$62),$E$62:T62))</f>
        <v>780068.23181191413</v>
      </c>
      <c r="W62" s="962" cm="1">
        <f t="array" ref="W62">IF(SUM((W60*$C$62),$E$62:V62&lt;Application!$AO$630),W60*$C$62,Application!$AO$630-SUM((W60*$C$62),$E$62:V62))</f>
        <v>845438.02188245638</v>
      </c>
      <c r="Y62" s="962" cm="1">
        <f t="array" ref="Y62">IF(SUM((Y60*$C$62),$E$62:X62&lt;Application!$AO$630),Y60*$C$62,Application!$AO$630-SUM((Y60*$C$62),$E$62:X62))</f>
        <v>912098.61974537966</v>
      </c>
      <c r="AA62" s="962" cm="1">
        <f t="array" ref="AA62">IF(SUM((AA60*$C$62),$E$62:Z62&lt;Application!$AO$630),AA60*$C$62,Application!$AO$630-SUM((AA60*$C$62),$E$62:Z62))</f>
        <v>980070.04200859042</v>
      </c>
      <c r="AC62" s="962">
        <f>Application!AO630-SUM('15 Year Pro Forma'!E62:AA62)</f>
        <v>1325526.4362247083</v>
      </c>
      <c r="AE62" s="962">
        <f>Application!$AO$630-SUM($E$62:AD62)</f>
        <v>0</v>
      </c>
      <c r="AG62" s="962">
        <f>MAX(IF(SUM((AG60*$C$62),($E$62:AF62))&lt;Application!$AO$630,AG60*$C$62,Application!$AO$630-SUM((AG60*$C$62),$E$62:AF62)),0)</f>
        <v>0</v>
      </c>
    </row>
    <row r="63" spans="1:34" s="962" customFormat="1">
      <c r="A63" s="2689" t="s">
        <v>2747</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0.35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2712</v>
      </c>
      <c r="B66" s="964"/>
      <c r="C66" s="963"/>
      <c r="E66" s="964">
        <f>$E60*$C$65</f>
        <v>162189.22617463197</v>
      </c>
      <c r="G66" s="960">
        <f>G60*$C$65</f>
        <v>192209.53817463198</v>
      </c>
      <c r="I66" s="960">
        <f>I60*$C$65</f>
        <v>222840.71556963178</v>
      </c>
      <c r="K66" s="960">
        <f>K60*$C$65</f>
        <v>254093.03391408169</v>
      </c>
      <c r="M66" s="960">
        <f>M60*$C$65</f>
        <v>285976.84878670535</v>
      </c>
      <c r="O66" s="960">
        <f>O60*$C$65</f>
        <v>318502.5915659162</v>
      </c>
      <c r="Q66" s="960">
        <f>Q60*$C$65</f>
        <v>351680.76488119009</v>
      </c>
      <c r="S66" s="960">
        <f>S60*$C$65</f>
        <v>385521.93772464572</v>
      </c>
      <c r="U66" s="960">
        <f>U60*$C$65</f>
        <v>420036.7402064153</v>
      </c>
      <c r="W66" s="960">
        <f>W60*$C$65</f>
        <v>455235.85793670721</v>
      </c>
      <c r="Y66" s="960">
        <f>Y60*$C$65</f>
        <v>491130.02601674281</v>
      </c>
      <c r="AA66" s="960">
        <f>AA60*$C$65</f>
        <v>527730.02262001019</v>
      </c>
      <c r="AC66" s="960">
        <f>AC60-AC62</f>
        <v>288892.59847387718</v>
      </c>
      <c r="AE66" s="960">
        <f>AE60-AE62</f>
        <v>1723116.5369023662</v>
      </c>
      <c r="AG66" s="960">
        <f>AG60-AG62</f>
        <v>1833923.6126290841</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162189.22617463197</v>
      </c>
      <c r="G70" s="960">
        <f>SUM(G66:G69)</f>
        <v>192209.53817463198</v>
      </c>
      <c r="I70" s="960">
        <f>SUM(I66:I69)</f>
        <v>222840.71556963178</v>
      </c>
      <c r="K70" s="960">
        <f>SUM(K66:K69)</f>
        <v>254093.03391408169</v>
      </c>
      <c r="M70" s="960">
        <f>SUM(M66:M69)</f>
        <v>285976.84878670535</v>
      </c>
      <c r="O70" s="960">
        <f>SUM(O66:O69)</f>
        <v>318502.5915659162</v>
      </c>
      <c r="Q70" s="960">
        <f>SUM(Q66:Q69)</f>
        <v>351680.76488119009</v>
      </c>
      <c r="S70" s="960">
        <f>SUM(S66:S69)</f>
        <v>385521.93772464572</v>
      </c>
      <c r="U70" s="960">
        <f>SUM(U66:U69)</f>
        <v>420036.7402064153</v>
      </c>
      <c r="W70" s="960">
        <f>SUM(W66:W69)</f>
        <v>455235.85793670721</v>
      </c>
      <c r="Y70" s="960">
        <f>SUM(Y66:Y69)</f>
        <v>491130.02601674281</v>
      </c>
      <c r="AA70" s="960">
        <f>SUM(AA66:AA69)</f>
        <v>527730.02262001019</v>
      </c>
      <c r="AC70" s="960">
        <f>SUM(AC66:AC69)</f>
        <v>288892.59847387718</v>
      </c>
      <c r="AE70" s="960">
        <f>SUM(AE66:AE69)</f>
        <v>1723116.5369023662</v>
      </c>
      <c r="AG70" s="960">
        <f>SUM(AG66:AG69)</f>
        <v>1833923.6126290841</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6065000</v>
      </c>
      <c r="C5" s="266">
        <f>'Sources and Uses Budget'!$C4</f>
        <v>6065000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6065000</v>
      </c>
      <c r="C9" s="270">
        <f>SUM(C5:C8)</f>
        <v>6065000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6065000</v>
      </c>
      <c r="C13" s="270">
        <f>SUM(C9+C12)</f>
        <v>6065000</v>
      </c>
      <c r="D13" s="270">
        <f t="shared" si="0"/>
        <v>0</v>
      </c>
      <c r="E13" s="268"/>
      <c r="F13" s="267"/>
    </row>
    <row r="14" spans="1:6" s="352" customFormat="1">
      <c r="A14" s="366" t="s">
        <v>901</v>
      </c>
      <c r="B14" s="266">
        <f>'Sources and Uses Budget'!$C13</f>
        <v>643072</v>
      </c>
      <c r="C14" s="266">
        <f>'Sources and Uses Budget'!$C13</f>
        <v>643072</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59158986</v>
      </c>
      <c r="C31" s="266">
        <f>'Sources and Uses Budget'!$C30</f>
        <v>59158986</v>
      </c>
      <c r="D31" s="270">
        <f t="shared" si="0"/>
        <v>0</v>
      </c>
      <c r="E31" s="268"/>
      <c r="F31" s="267"/>
    </row>
    <row r="32" spans="1:6" s="352" customFormat="1">
      <c r="A32" s="145" t="s">
        <v>599</v>
      </c>
      <c r="B32" s="266">
        <f>'Sources and Uses Budget'!$C31</f>
        <v>2654000</v>
      </c>
      <c r="C32" s="266">
        <f>'Sources and Uses Budget'!$C31</f>
        <v>2654000</v>
      </c>
      <c r="D32" s="270">
        <f t="shared" si="0"/>
        <v>0</v>
      </c>
      <c r="E32" s="268"/>
      <c r="F32" s="267"/>
    </row>
    <row r="33" spans="1:6" s="352" customFormat="1">
      <c r="A33" s="145" t="s">
        <v>137</v>
      </c>
      <c r="B33" s="266">
        <f>'Sources and Uses Budget'!$C32</f>
        <v>1221601</v>
      </c>
      <c r="C33" s="266">
        <f>'Sources and Uses Budget'!$C32</f>
        <v>1221601</v>
      </c>
      <c r="D33" s="270">
        <f t="shared" si="0"/>
        <v>0</v>
      </c>
      <c r="E33" s="268"/>
      <c r="F33" s="267"/>
    </row>
    <row r="34" spans="1:6" s="352" customFormat="1">
      <c r="A34" s="145" t="s">
        <v>138</v>
      </c>
      <c r="B34" s="266">
        <f>'Sources and Uses Budget'!$C33</f>
        <v>1221601</v>
      </c>
      <c r="C34" s="266">
        <f>'Sources and Uses Budget'!$C33</f>
        <v>1221601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481921</v>
      </c>
      <c r="C36" s="266">
        <f>'Sources and Uses Budget'!$C35</f>
        <v>481921</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Solar</v>
      </c>
      <c r="B38" s="266">
        <f>'Sources and Uses Budget'!$C37</f>
        <v>2500000</v>
      </c>
      <c r="C38" s="266">
        <f>'Sources and Uses Budget'!$C37</f>
        <v>2500000</v>
      </c>
      <c r="D38" s="270">
        <f t="shared" si="0"/>
        <v>0</v>
      </c>
      <c r="E38" s="268"/>
      <c r="F38" s="267"/>
    </row>
    <row r="39" spans="1:6" s="352" customFormat="1">
      <c r="A39" s="271" t="s">
        <v>143</v>
      </c>
      <c r="B39" s="270">
        <f>SUM(B30:B38)</f>
        <v>67238109</v>
      </c>
      <c r="C39" s="270">
        <f>SUM(C30:C38)</f>
        <v>67238109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938550</v>
      </c>
      <c r="C41" s="266">
        <f>'Sources and Uses Budget'!$C40</f>
        <v>938550</v>
      </c>
      <c r="D41" s="270">
        <f t="shared" si="0"/>
        <v>0</v>
      </c>
      <c r="E41" s="268"/>
      <c r="F41" s="267"/>
    </row>
    <row r="42" spans="1:6" s="352" customFormat="1">
      <c r="A42" s="269" t="s">
        <v>146</v>
      </c>
      <c r="B42" s="266">
        <f>'Sources and Uses Budget'!$C41</f>
        <v>75000</v>
      </c>
      <c r="C42" s="266">
        <f>'Sources and Uses Budget'!$C41</f>
        <v>75000</v>
      </c>
      <c r="D42" s="270">
        <f t="shared" si="0"/>
        <v>0</v>
      </c>
      <c r="E42" s="268"/>
      <c r="F42" s="267"/>
    </row>
    <row r="43" spans="1:6" s="352" customFormat="1">
      <c r="A43" s="271" t="s">
        <v>147</v>
      </c>
      <c r="B43" s="270">
        <f>SUM(B41:B42)</f>
        <v>1013550</v>
      </c>
      <c r="C43" s="270">
        <f>SUM(C41:C42)</f>
        <v>1013550</v>
      </c>
      <c r="D43" s="270">
        <f t="shared" si="0"/>
        <v>0</v>
      </c>
      <c r="E43" s="268"/>
      <c r="F43" s="267"/>
    </row>
    <row r="44" spans="1:6" s="352" customFormat="1">
      <c r="A44" s="271" t="s">
        <v>148</v>
      </c>
      <c r="B44" s="266">
        <f>'Sources and Uses Budget'!$C43</f>
        <v>475000</v>
      </c>
      <c r="C44" s="266">
        <f>'Sources and Uses Budget'!$C43</f>
        <v>475000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10328369</v>
      </c>
      <c r="C46" s="266">
        <f>'Sources and Uses Budget'!$C45</f>
        <v>10328369</v>
      </c>
      <c r="D46" s="270">
        <f t="shared" si="0"/>
        <v>0</v>
      </c>
      <c r="E46" s="268"/>
      <c r="F46" s="267"/>
    </row>
    <row r="47" spans="1:6" s="352" customFormat="1">
      <c r="A47" s="145" t="s">
        <v>151</v>
      </c>
      <c r="B47" s="266">
        <f>'Sources and Uses Budget'!$C46</f>
        <v>922105</v>
      </c>
      <c r="C47" s="266">
        <f>'Sources and Uses Budget'!$C46</f>
        <v>922105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3091200</v>
      </c>
      <c r="C49" s="266">
        <f>'Sources and Uses Budget'!$C48</f>
        <v>3091200</v>
      </c>
      <c r="D49" s="270">
        <f t="shared" si="0"/>
        <v>0</v>
      </c>
      <c r="E49" s="268"/>
      <c r="F49" s="267"/>
    </row>
    <row r="50" spans="1:6" s="352" customFormat="1">
      <c r="A50" s="145" t="s">
        <v>57</v>
      </c>
      <c r="B50" s="266">
        <f>'Sources and Uses Budget'!$C49</f>
        <v>201500</v>
      </c>
      <c r="C50" s="266">
        <f>'Sources and Uses Budget'!$C49</f>
        <v>201500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GC P&amp;P Bond</v>
      </c>
      <c r="B54" s="266">
        <f>'Sources and Uses Budget'!$C53</f>
        <v>417665</v>
      </c>
      <c r="C54" s="266">
        <f>'Sources and Uses Budget'!$C53</f>
        <v>417665</v>
      </c>
      <c r="D54" s="270">
        <f t="shared" si="0"/>
        <v>0</v>
      </c>
      <c r="E54" s="268"/>
      <c r="F54" s="267"/>
    </row>
    <row r="55" spans="1:6" s="353" customFormat="1">
      <c r="A55" s="271" t="s">
        <v>157</v>
      </c>
      <c r="B55" s="273">
        <f>SUM(B46:B54)</f>
        <v>14960839</v>
      </c>
      <c r="C55" s="273">
        <f>SUM(C46:C54)</f>
        <v>14960839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25000</v>
      </c>
      <c r="C58" s="266">
        <f>'Sources and Uses Budget'!$C57</f>
        <v>25000</v>
      </c>
      <c r="D58" s="270">
        <f t="shared" si="0"/>
        <v>0</v>
      </c>
      <c r="E58" s="268"/>
      <c r="F58" s="267"/>
    </row>
    <row r="59" spans="1:6" s="352" customFormat="1">
      <c r="A59" s="269" t="s">
        <v>156</v>
      </c>
      <c r="B59" s="266">
        <f>'Sources and Uses Budget'!$C58</f>
        <v>187000</v>
      </c>
      <c r="C59" s="266">
        <f>'Sources and Uses Budget'!$C58</f>
        <v>187000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212000</v>
      </c>
      <c r="C63" s="270">
        <f>SUM(C57:C62)</f>
        <v>212000</v>
      </c>
      <c r="D63" s="270">
        <f t="shared" si="0"/>
        <v>0</v>
      </c>
      <c r="E63" s="268"/>
      <c r="F63" s="267"/>
    </row>
    <row r="64" spans="1:6" s="352" customFormat="1">
      <c r="A64" s="274" t="s">
        <v>301</v>
      </c>
      <c r="B64" s="270">
        <f>SUM(B9+B12+B14+B15+B17+B26+B28+B39+B43+B44+B55+B63)</f>
        <v>90607570</v>
      </c>
      <c r="C64" s="270">
        <f>SUM(C9+C12+C14+C15+C17+C26+C28+C39+C43+C44+C55+C63)</f>
        <v>90607570</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455000</v>
      </c>
      <c r="C66" s="266">
        <f>'Sources and Uses Budget'!$C65</f>
        <v>455000</v>
      </c>
      <c r="D66" s="270">
        <f t="shared" si="0"/>
        <v>0</v>
      </c>
      <c r="E66" s="268"/>
      <c r="F66" s="267"/>
    </row>
    <row r="67" spans="1:6" s="352" customFormat="1" ht="24">
      <c r="A67" s="283" t="s">
        <v>1640</v>
      </c>
      <c r="B67" s="266">
        <f>'Sources and Uses Budget'!$C66</f>
        <v>315000</v>
      </c>
      <c r="C67" s="266">
        <f>'Sources and Uses Budget'!$C66</f>
        <v>315000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1644</v>
      </c>
      <c r="B71" s="270">
        <f>SUM(B66:B70)</f>
        <v>770000</v>
      </c>
      <c r="C71" s="270">
        <f>SUM(C66:C70)</f>
        <v>770000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897847</v>
      </c>
      <c r="C76" s="266">
        <f>'Sources and Uses Budget'!$C75</f>
        <v>897847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897847</v>
      </c>
      <c r="C78" s="270">
        <f>SUM(C73:C77)</f>
        <v>897847</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3212809</v>
      </c>
      <c r="C80" s="266">
        <f>'Sources and Uses Budget'!$C79</f>
        <v>3212809</v>
      </c>
      <c r="D80" s="270">
        <f t="shared" si="1"/>
        <v>0</v>
      </c>
      <c r="E80" s="268"/>
      <c r="F80" s="267"/>
    </row>
    <row r="81" spans="1:6" s="352" customFormat="1">
      <c r="A81" s="510" t="s">
        <v>58</v>
      </c>
      <c r="B81" s="266">
        <f>'Sources and Uses Budget'!$C80</f>
        <v>93000</v>
      </c>
      <c r="C81" s="266">
        <f>'Sources and Uses Budget'!$C80</f>
        <v>93000</v>
      </c>
      <c r="D81" s="270">
        <f>C81-B81</f>
        <v>0</v>
      </c>
      <c r="E81" s="268"/>
      <c r="F81" s="267"/>
    </row>
    <row r="82" spans="1:6" s="352" customFormat="1">
      <c r="A82" s="271" t="s">
        <v>1208</v>
      </c>
      <c r="B82" s="270">
        <f>SUM(B80:B81)</f>
        <v>3305809</v>
      </c>
      <c r="C82" s="270">
        <f>SUM(C80:C81)</f>
        <v>3305809</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241310</v>
      </c>
      <c r="C84" s="266">
        <f>'Sources and Uses Budget'!$C83</f>
        <v>241310</v>
      </c>
      <c r="D84" s="270">
        <f t="shared" si="1"/>
        <v>0</v>
      </c>
      <c r="E84" s="268"/>
      <c r="F84" s="267"/>
    </row>
    <row r="85" spans="1:6" s="352" customFormat="1">
      <c r="A85" s="269" t="s">
        <v>766</v>
      </c>
      <c r="B85" s="266">
        <f>'Sources and Uses Budget'!$C84</f>
        <v>98500</v>
      </c>
      <c r="C85" s="266">
        <f>'Sources and Uses Budget'!$C84</f>
        <v>98500</v>
      </c>
      <c r="D85" s="270">
        <f t="shared" si="1"/>
        <v>0</v>
      </c>
      <c r="E85" s="268"/>
      <c r="F85" s="267"/>
    </row>
    <row r="86" spans="1:6" s="352" customFormat="1">
      <c r="A86" s="269" t="s">
        <v>767</v>
      </c>
      <c r="B86" s="266">
        <f>'Sources and Uses Budget'!$C85</f>
        <v>12590142</v>
      </c>
      <c r="C86" s="266">
        <f>'Sources and Uses Budget'!$C85</f>
        <v>12590142</v>
      </c>
      <c r="D86" s="270">
        <f t="shared" si="1"/>
        <v>0</v>
      </c>
      <c r="E86" s="268"/>
      <c r="F86" s="267"/>
    </row>
    <row r="87" spans="1:6" s="352" customFormat="1">
      <c r="A87" s="269" t="s">
        <v>768</v>
      </c>
      <c r="B87" s="266">
        <f>'Sources and Uses Budget'!$C86</f>
        <v>300340</v>
      </c>
      <c r="C87" s="266">
        <f>'Sources and Uses Budget'!$C86</f>
        <v>300340</v>
      </c>
      <c r="D87" s="270">
        <f t="shared" si="1"/>
        <v>0</v>
      </c>
      <c r="E87" s="268"/>
      <c r="F87" s="267"/>
    </row>
    <row r="88" spans="1:6" s="352" customFormat="1">
      <c r="A88" s="269" t="s">
        <v>769</v>
      </c>
      <c r="B88" s="266">
        <f>'Sources and Uses Budget'!$C87</f>
        <v>1142713</v>
      </c>
      <c r="C88" s="266">
        <f>'Sources and Uses Budget'!$C87</f>
        <v>1142713</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1135140</v>
      </c>
      <c r="C90" s="266">
        <f>'Sources and Uses Budget'!$C89</f>
        <v>1135140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1210</v>
      </c>
      <c r="B93" s="266">
        <f>'Sources and Uses Budget'!$C92</f>
        <v>21000</v>
      </c>
      <c r="C93" s="266">
        <f>'Sources and Uses Budget'!$C92</f>
        <v>21000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15559145</v>
      </c>
      <c r="C97" s="270">
        <f>SUM(C84:C96)</f>
        <v>15559145</v>
      </c>
      <c r="D97" s="270">
        <f t="shared" si="1"/>
        <v>0</v>
      </c>
      <c r="E97" s="268"/>
      <c r="F97" s="267"/>
    </row>
    <row r="98" spans="1:6" s="352" customFormat="1">
      <c r="A98" s="271" t="s">
        <v>774</v>
      </c>
      <c r="B98" s="270">
        <f>SUM(B64+B71+B78+B82+B97)</f>
        <v>111140371</v>
      </c>
      <c r="C98" s="270">
        <f>SUM(C64+C71+C78+C82+C97)</f>
        <v>111140371</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13220190</v>
      </c>
      <c r="C100" s="266">
        <f>'Sources and Uses Budget'!$C99</f>
        <v>13220190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1080055</v>
      </c>
      <c r="C103" s="266">
        <f>'Sources and Uses Budget'!$C102</f>
        <v>1080055</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14300245</v>
      </c>
      <c r="C105" s="270">
        <f>SUM(C100:C104)</f>
        <v>14300245</v>
      </c>
      <c r="D105" s="270">
        <f t="shared" si="1"/>
        <v>0</v>
      </c>
      <c r="E105" s="268"/>
      <c r="F105" s="267"/>
    </row>
    <row r="106" spans="1:6" s="352" customFormat="1">
      <c r="A106" s="271" t="s">
        <v>779</v>
      </c>
      <c r="B106" s="273">
        <f>SUM(B98+B105)</f>
        <v>125440616</v>
      </c>
      <c r="C106" s="273">
        <f>SUM(C98+C105)</f>
        <v>125440616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1867</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2045</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0" t="s">
        <v>1872</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1868</v>
      </c>
      <c r="B71" s="1277"/>
      <c r="C71" s="1277"/>
      <c r="D71" s="1277"/>
      <c r="E71" s="1277"/>
      <c r="F71" s="1277"/>
      <c r="G71" s="1277"/>
      <c r="H71" s="1277"/>
      <c r="I71" s="1277"/>
    </row>
    <row r="72" spans="1:9" ht="12.75">
      <c r="A72" s="1269" t="s">
        <v>2043</v>
      </c>
      <c r="B72" s="1269"/>
      <c r="C72" s="1269"/>
      <c r="D72" s="1269"/>
      <c r="E72" s="1269"/>
    </row>
    <row r="73" spans="1:9" ht="12.75">
      <c r="A73" s="1269" t="s">
        <v>2044</v>
      </c>
      <c r="B73" s="1269"/>
      <c r="C73" s="1269"/>
      <c r="D73" s="1269"/>
      <c r="E73" s="1269"/>
    </row>
    <row r="74" spans="1:9" ht="12.75">
      <c r="A74" s="1269" t="s">
        <v>1869</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2456</v>
      </c>
      <c r="B2" s="1331"/>
      <c r="C2" s="1331"/>
      <c r="D2" s="1331"/>
      <c r="E2" s="1331"/>
      <c r="F2" s="1331"/>
      <c r="G2" s="1331"/>
      <c r="H2" s="1331"/>
      <c r="I2" s="1331"/>
    </row>
    <row r="3" spans="1:13">
      <c r="A3" s="1319" t="s">
        <v>2217</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2216</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2749</v>
      </c>
      <c r="C15" s="483"/>
      <c r="D15" s="1301" t="s">
        <v>1920</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1918</v>
      </c>
      <c r="F18" s="445"/>
      <c r="I18" s="490"/>
    </row>
    <row r="19" spans="1:9">
      <c r="A19" s="483"/>
      <c r="B19" s="483"/>
      <c r="C19" s="483"/>
      <c r="I19" s="490"/>
    </row>
    <row r="20" spans="1:9" ht="14.25">
      <c r="A20" s="484"/>
      <c r="B20" s="485" t="s">
        <v>2749</v>
      </c>
      <c r="D20" s="1301" t="s">
        <v>1921</v>
      </c>
      <c r="E20" s="1301"/>
      <c r="F20" s="1301"/>
      <c r="I20" s="490"/>
    </row>
    <row r="21" spans="1:9" ht="14.25">
      <c r="A21" s="484"/>
      <c r="D21" s="1301"/>
      <c r="E21" s="1301"/>
      <c r="F21" s="1301"/>
      <c r="I21" s="490"/>
    </row>
    <row r="22" spans="1:9" ht="14.25">
      <c r="A22" s="484"/>
      <c r="D22" s="392"/>
      <c r="E22" s="96" t="s">
        <v>1917</v>
      </c>
      <c r="F22" s="392"/>
      <c r="I22" s="490"/>
    </row>
    <row r="23" spans="1:9" ht="14.25">
      <c r="A23" s="484"/>
      <c r="B23" s="484"/>
      <c r="D23" s="446"/>
      <c r="I23" s="490"/>
    </row>
    <row r="24" spans="1:9" ht="14.25">
      <c r="A24" s="484"/>
      <c r="B24" s="485" t="s">
        <v>2750</v>
      </c>
      <c r="D24" s="1301" t="s">
        <v>1090</v>
      </c>
      <c r="E24" s="1301"/>
      <c r="F24" s="1301"/>
      <c r="I24" s="490"/>
    </row>
    <row r="25" spans="1:9" ht="14.25">
      <c r="A25" s="484"/>
      <c r="B25" s="484"/>
      <c r="D25" s="1301"/>
      <c r="E25" s="1301"/>
      <c r="F25" s="1301"/>
      <c r="I25" s="490"/>
    </row>
    <row r="26" spans="1:9">
      <c r="I26" s="490"/>
    </row>
    <row r="27" spans="1:9" ht="14.25">
      <c r="A27" s="484"/>
      <c r="B27" s="485" t="s">
        <v>2749</v>
      </c>
      <c r="D27" s="1301" t="s">
        <v>2046</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2749</v>
      </c>
      <c r="D33" s="1301" t="s">
        <v>2047</v>
      </c>
      <c r="E33" s="1301"/>
      <c r="F33" s="1301"/>
      <c r="I33" s="490"/>
    </row>
    <row r="34" spans="1:9">
      <c r="D34" s="1301"/>
      <c r="E34" s="1301"/>
      <c r="F34" s="1301"/>
      <c r="I34" s="490"/>
    </row>
    <row r="35" spans="1:9" ht="14.25">
      <c r="A35" s="484"/>
      <c r="B35" s="484"/>
      <c r="D35" s="447"/>
      <c r="I35" s="490"/>
    </row>
    <row r="36" spans="1:9" ht="14.45" customHeight="1">
      <c r="A36" s="484"/>
      <c r="B36" s="485" t="s">
        <v>2750</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2749</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2750</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2750</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2749</v>
      </c>
      <c r="D56" s="1324" t="s">
        <v>1094</v>
      </c>
      <c r="E56" s="1324"/>
      <c r="F56" s="1324"/>
      <c r="I56" s="490"/>
    </row>
    <row r="57" spans="1:9" ht="14.25">
      <c r="A57" s="484"/>
      <c r="B57" s="484"/>
      <c r="D57" s="1324"/>
      <c r="E57" s="1324"/>
      <c r="F57" s="1324"/>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2750</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2750</v>
      </c>
      <c r="D65" s="1301" t="s">
        <v>1096</v>
      </c>
      <c r="E65" s="1301"/>
      <c r="F65" s="1301"/>
      <c r="I65" s="490"/>
    </row>
    <row r="66" spans="1:9">
      <c r="D66" s="1301"/>
      <c r="E66" s="1301"/>
      <c r="F66" s="1301"/>
      <c r="I66" s="490"/>
    </row>
    <row r="67" spans="1:9">
      <c r="I67" s="490"/>
    </row>
    <row r="68" spans="1:9" ht="14.25">
      <c r="A68" s="484"/>
      <c r="B68" s="485" t="s">
        <v>2749</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2749</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 customHeight="1">
      <c r="A80" s="484"/>
      <c r="B80" s="485" t="s">
        <v>2749</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2749</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2749</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2749</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2750</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2750</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2750</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2749</v>
      </c>
      <c r="C128" s="402"/>
      <c r="D128" s="1323" t="s">
        <v>2048</v>
      </c>
      <c r="E128" s="1323"/>
      <c r="F128" s="1323"/>
      <c r="I128" s="490"/>
    </row>
    <row r="129" spans="1:9" ht="14.25">
      <c r="A129" s="484"/>
      <c r="B129" s="484"/>
      <c r="C129" s="402"/>
      <c r="D129" s="1323"/>
      <c r="E129" s="1323"/>
      <c r="F129" s="1323"/>
      <c r="I129" s="490"/>
    </row>
    <row r="130" spans="1:9">
      <c r="I130" s="490"/>
    </row>
    <row r="131" spans="1:9" ht="14.25">
      <c r="A131" s="484"/>
      <c r="B131" s="485" t="s">
        <v>2749</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2749</v>
      </c>
      <c r="D137" s="1301" t="s">
        <v>1104</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2749</v>
      </c>
      <c r="D151" s="1301" t="s">
        <v>1176</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2071</v>
      </c>
      <c r="E169" s="1320"/>
      <c r="F169" s="1320"/>
      <c r="G169" s="507"/>
      <c r="I169" s="490"/>
    </row>
    <row r="170" spans="1:9" ht="13.7" customHeight="1">
      <c r="D170" s="1318"/>
      <c r="E170" s="1318"/>
      <c r="F170" s="1318"/>
      <c r="G170" s="1318"/>
      <c r="I170" s="490"/>
    </row>
    <row r="171" spans="1:9" ht="14.45" customHeight="1">
      <c r="A171" s="489"/>
      <c r="B171" s="485" t="s">
        <v>2750</v>
      </c>
      <c r="C171" s="476"/>
      <c r="D171" s="1272" t="s">
        <v>2211</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2749</v>
      </c>
      <c r="C177" s="476"/>
      <c r="D177" s="1272" t="s">
        <v>1105</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2750</v>
      </c>
      <c r="D182" s="1313" t="s">
        <v>2049</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2050</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1873</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2749</v>
      </c>
      <c r="D197" s="1288" t="s">
        <v>1746</v>
      </c>
      <c r="E197" s="1288"/>
      <c r="F197" s="1288"/>
      <c r="I197" s="490"/>
    </row>
    <row r="198" spans="1:9">
      <c r="A198" s="404"/>
      <c r="B198" s="404"/>
      <c r="D198" s="1287" t="s">
        <v>1900</v>
      </c>
      <c r="E198" s="1287"/>
      <c r="F198" s="1287"/>
      <c r="I198" s="490"/>
    </row>
    <row r="199" spans="1:9">
      <c r="A199" s="404"/>
      <c r="B199" s="404"/>
      <c r="D199" s="96" t="s">
        <v>1747</v>
      </c>
      <c r="E199" s="1325" t="s">
        <v>1923</v>
      </c>
      <c r="F199" s="1325"/>
      <c r="I199" s="490"/>
    </row>
    <row r="200" spans="1:9">
      <c r="A200" s="404"/>
      <c r="B200" s="404"/>
      <c r="D200" s="3"/>
      <c r="E200" s="3"/>
      <c r="F200" s="3"/>
      <c r="I200" s="490"/>
    </row>
    <row r="201" spans="1:9">
      <c r="A201" s="404"/>
      <c r="B201" s="485" t="s">
        <v>2750</v>
      </c>
      <c r="D201" s="1287" t="s">
        <v>1748</v>
      </c>
      <c r="E201" s="1287"/>
      <c r="F201" s="1287"/>
      <c r="I201" s="490"/>
    </row>
    <row r="202" spans="1:9">
      <c r="A202" s="404"/>
      <c r="B202" s="404"/>
      <c r="D202" s="1288" t="s">
        <v>1900</v>
      </c>
      <c r="E202" s="1288"/>
      <c r="F202" s="1288"/>
      <c r="I202" s="490"/>
    </row>
    <row r="203" spans="1:9">
      <c r="A203" s="404"/>
      <c r="B203" s="404"/>
      <c r="D203" s="57" t="s">
        <v>1749</v>
      </c>
      <c r="E203" s="1325" t="s">
        <v>1924</v>
      </c>
      <c r="F203" s="1325"/>
      <c r="I203" s="490"/>
    </row>
    <row r="204" spans="1:9">
      <c r="A204" s="404"/>
      <c r="B204" s="404"/>
      <c r="D204" s="3"/>
      <c r="E204" s="3"/>
      <c r="F204" s="3"/>
      <c r="I204" s="490"/>
    </row>
    <row r="205" spans="1:9">
      <c r="A205" s="404"/>
      <c r="B205" s="485" t="s">
        <v>2750</v>
      </c>
      <c r="D205" s="1287" t="s">
        <v>1750</v>
      </c>
      <c r="E205" s="1287"/>
      <c r="F205" s="1287"/>
      <c r="I205" s="490"/>
    </row>
    <row r="206" spans="1:9">
      <c r="A206" s="404"/>
      <c r="B206" s="404"/>
      <c r="D206" s="1288" t="s">
        <v>1900</v>
      </c>
      <c r="E206" s="1288"/>
      <c r="F206" s="1288"/>
      <c r="I206" s="490"/>
    </row>
    <row r="207" spans="1:9">
      <c r="A207" s="404"/>
      <c r="B207" s="404"/>
      <c r="D207" s="57" t="s">
        <v>1747</v>
      </c>
      <c r="E207" s="1325" t="s">
        <v>1925</v>
      </c>
      <c r="F207" s="1325"/>
      <c r="I207" s="490"/>
    </row>
    <row r="208" spans="1:9">
      <c r="A208" s="404"/>
      <c r="B208" s="404"/>
      <c r="D208" s="392"/>
      <c r="E208" s="392"/>
      <c r="F208" s="392"/>
      <c r="I208" s="490"/>
    </row>
    <row r="209" spans="1:9" ht="14.25" customHeight="1">
      <c r="A209" s="484"/>
      <c r="B209" s="485" t="s">
        <v>2750</v>
      </c>
      <c r="D209" s="386" t="s">
        <v>1893</v>
      </c>
      <c r="E209" s="385"/>
      <c r="F209" s="385"/>
      <c r="I209" s="490"/>
    </row>
    <row r="210" spans="1:9" ht="14.25">
      <c r="A210" s="484"/>
      <c r="B210" s="484"/>
      <c r="D210" s="1288" t="s">
        <v>1900</v>
      </c>
      <c r="E210" s="1288"/>
      <c r="F210" s="1288"/>
      <c r="I210" s="490"/>
    </row>
    <row r="211" spans="1:9">
      <c r="D211" s="385"/>
      <c r="E211" s="1325" t="s">
        <v>1926</v>
      </c>
      <c r="F211" s="1325"/>
      <c r="I211" s="490"/>
    </row>
    <row r="212" spans="1:9">
      <c r="D212" s="447"/>
      <c r="I212" s="490"/>
    </row>
    <row r="213" spans="1:9">
      <c r="B213" s="485" t="s">
        <v>2750</v>
      </c>
      <c r="D213" s="1287" t="s">
        <v>1751</v>
      </c>
      <c r="E213" s="1287"/>
      <c r="F213" s="1287"/>
      <c r="I213" s="490"/>
    </row>
    <row r="214" spans="1:9">
      <c r="D214" s="1288" t="s">
        <v>1900</v>
      </c>
      <c r="E214" s="1288"/>
      <c r="F214" s="1288"/>
      <c r="I214" s="490"/>
    </row>
    <row r="215" spans="1:9">
      <c r="D215" s="57" t="s">
        <v>1747</v>
      </c>
      <c r="E215" s="1325" t="s">
        <v>1927</v>
      </c>
      <c r="F215" s="1325"/>
      <c r="I215" s="490"/>
    </row>
    <row r="216" spans="1:9">
      <c r="D216" s="451"/>
      <c r="E216" s="451"/>
      <c r="F216" s="451"/>
      <c r="I216" s="490"/>
    </row>
    <row r="217" spans="1:9" ht="14.25">
      <c r="A217" s="484"/>
      <c r="B217" s="485" t="s">
        <v>2750</v>
      </c>
      <c r="D217" s="1301" t="s">
        <v>1215</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2749</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2749</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2750</v>
      </c>
      <c r="D245" s="1301" t="s">
        <v>2051</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2750</v>
      </c>
      <c r="D250" s="1301" t="s">
        <v>2052</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2749</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2749</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2749</v>
      </c>
      <c r="D267" s="1301" t="s">
        <v>1195</v>
      </c>
      <c r="E267" s="1301"/>
      <c r="F267" s="1301"/>
      <c r="I267" s="490"/>
    </row>
    <row r="268" spans="1:9">
      <c r="D268" s="1301"/>
      <c r="E268" s="1301"/>
      <c r="F268" s="1301"/>
      <c r="I268" s="490"/>
    </row>
    <row r="269" spans="1:9">
      <c r="E269" s="1036" t="s">
        <v>1896</v>
      </c>
      <c r="I269" s="490"/>
    </row>
    <row r="270" spans="1:9">
      <c r="D270" s="446"/>
      <c r="E270" s="446"/>
      <c r="F270" s="446"/>
      <c r="I270" s="490"/>
    </row>
    <row r="271" spans="1:9" ht="14.45" customHeight="1">
      <c r="A271" s="484"/>
      <c r="B271" s="485" t="s">
        <v>2750</v>
      </c>
      <c r="D271" s="1301" t="s">
        <v>2054</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2750</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2750</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2750</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2750</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1127</v>
      </c>
      <c r="E303" s="1299"/>
      <c r="F303" s="1299"/>
      <c r="I303" s="490"/>
    </row>
    <row r="304" spans="1:9">
      <c r="C304" s="490"/>
      <c r="D304" s="493"/>
      <c r="I304" s="490"/>
    </row>
    <row r="305" spans="1:9">
      <c r="B305" s="485" t="s">
        <v>2750</v>
      </c>
      <c r="D305" s="1299" t="s">
        <v>1128</v>
      </c>
      <c r="E305" s="1299"/>
      <c r="F305" s="1299"/>
      <c r="I305" s="490"/>
    </row>
    <row r="306" spans="1:9" ht="14.25">
      <c r="A306" s="484"/>
      <c r="B306" s="484"/>
      <c r="D306" s="494"/>
      <c r="E306" s="495"/>
      <c r="F306" s="495"/>
      <c r="I306" s="490"/>
    </row>
    <row r="307" spans="1:9" ht="13.7" customHeight="1">
      <c r="B307" s="485" t="s">
        <v>2750</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2750</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2750</v>
      </c>
      <c r="D316" s="1299" t="s">
        <v>1130</v>
      </c>
      <c r="E316" s="1299"/>
      <c r="F316" s="1299"/>
      <c r="I316" s="490"/>
    </row>
    <row r="317" spans="1:9">
      <c r="E317" s="446"/>
      <c r="F317" s="446"/>
      <c r="I317" s="490"/>
    </row>
    <row r="318" spans="1:9" ht="14.25">
      <c r="A318" s="484"/>
      <c r="B318" s="485" t="s">
        <v>2750</v>
      </c>
      <c r="D318" s="1301" t="s">
        <v>2243</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2750</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2750</v>
      </c>
      <c r="D344" s="1301" t="s">
        <v>1901</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2750</v>
      </c>
      <c r="C355" s="487"/>
      <c r="D355" s="1299" t="s">
        <v>1899</v>
      </c>
      <c r="E355" s="1299"/>
      <c r="F355" s="1299"/>
      <c r="I355" s="490"/>
    </row>
    <row r="356" spans="1:9" ht="12.75" customHeight="1">
      <c r="D356" s="1037"/>
      <c r="E356" s="96" t="s">
        <v>1898</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2750</v>
      </c>
      <c r="C360" s="476"/>
      <c r="D360" s="1318" t="s">
        <v>2055</v>
      </c>
      <c r="E360" s="1318"/>
      <c r="F360" s="1318"/>
      <c r="I360" s="480"/>
    </row>
    <row r="361" spans="1:9">
      <c r="A361" s="476"/>
      <c r="B361" s="476"/>
      <c r="C361" s="476"/>
      <c r="D361" s="447"/>
      <c r="E361" s="447"/>
      <c r="F361" s="446"/>
      <c r="I361" s="490"/>
    </row>
    <row r="362" spans="1:9">
      <c r="A362" s="476"/>
      <c r="B362" s="485" t="s">
        <v>2750</v>
      </c>
      <c r="C362" s="476"/>
      <c r="D362" s="1272" t="s">
        <v>2056</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2750</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2750</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2750</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2750</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2750</v>
      </c>
      <c r="D423" s="1272" t="s">
        <v>1880</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2750</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2072</v>
      </c>
      <c r="E433" s="1272"/>
      <c r="F433" s="1272"/>
      <c r="I433" s="490"/>
    </row>
    <row r="434" spans="1:9">
      <c r="D434" s="446"/>
      <c r="E434" s="446"/>
      <c r="F434" s="446"/>
      <c r="I434" s="490"/>
    </row>
    <row r="435" spans="1:9" ht="14.25">
      <c r="A435" s="484"/>
      <c r="B435" s="485" t="s">
        <v>2750</v>
      </c>
      <c r="C435" s="487"/>
      <c r="D435" s="1301" t="s">
        <v>2057</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2750</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2750</v>
      </c>
      <c r="C471" s="484"/>
      <c r="D471" s="1301" t="s">
        <v>1196</v>
      </c>
      <c r="E471" s="1301"/>
      <c r="F471" s="1301"/>
      <c r="I471" s="490"/>
    </row>
    <row r="472" spans="1:9">
      <c r="D472" s="1301"/>
      <c r="E472" s="1301"/>
      <c r="F472" s="1301"/>
      <c r="I472" s="490"/>
    </row>
    <row r="473" spans="1:9">
      <c r="D473" s="446"/>
      <c r="E473" s="446"/>
      <c r="F473" s="446"/>
      <c r="I473" s="490"/>
    </row>
    <row r="474" spans="1:9" ht="14.25">
      <c r="B474" s="485" t="s">
        <v>2750</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2750</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2750</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2750</v>
      </c>
      <c r="C486" s="402"/>
      <c r="D486" s="1301"/>
      <c r="E486" s="1301"/>
      <c r="F486" s="1301"/>
      <c r="I486" s="490"/>
    </row>
    <row r="487" spans="1:9">
      <c r="A487" s="402"/>
      <c r="C487" s="402"/>
      <c r="D487" s="1301"/>
      <c r="E487" s="1301"/>
      <c r="F487" s="1301"/>
      <c r="I487" s="490"/>
    </row>
    <row r="488" spans="1:9">
      <c r="A488" s="402"/>
      <c r="B488" s="485" t="s">
        <v>2750</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2750</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2750</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2750</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2750</v>
      </c>
      <c r="D509" s="1299" t="s">
        <v>1142</v>
      </c>
      <c r="E509" s="1299"/>
      <c r="F509" s="1299"/>
      <c r="I509" s="490"/>
    </row>
    <row r="510" spans="1:9" ht="14.25">
      <c r="A510" s="484"/>
      <c r="B510" s="484"/>
      <c r="D510" s="446"/>
      <c r="I510" s="490"/>
    </row>
    <row r="511" spans="1:9" ht="14.25">
      <c r="A511" s="484"/>
      <c r="B511" s="485" t="s">
        <v>2750</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2750</v>
      </c>
      <c r="D514" s="1299" t="s">
        <v>1144</v>
      </c>
      <c r="E514" s="1299"/>
      <c r="F514" s="1299"/>
      <c r="I514" s="490"/>
    </row>
    <row r="515" spans="1:9">
      <c r="D515" s="446"/>
      <c r="E515" s="446"/>
      <c r="F515" s="446"/>
      <c r="I515" s="490"/>
    </row>
    <row r="516" spans="1:9">
      <c r="B516" s="485" t="s">
        <v>2750</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2749</v>
      </c>
      <c r="C527" s="483"/>
      <c r="D527" s="1272" t="s">
        <v>2058</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2750</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2750</v>
      </c>
      <c r="C536" s="483"/>
      <c r="D536" s="1301" t="s">
        <v>2060</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1080</v>
      </c>
      <c r="E546" s="1299"/>
      <c r="F546" s="1299"/>
      <c r="I546" s="490"/>
    </row>
    <row r="547" spans="1:9">
      <c r="C547" s="487"/>
      <c r="D547" s="446"/>
      <c r="E547" s="446"/>
      <c r="F547" s="446"/>
      <c r="I547" s="490"/>
    </row>
    <row r="548" spans="1:9" ht="13.7" customHeight="1">
      <c r="A548" s="484"/>
      <c r="B548" s="485" t="s">
        <v>2749</v>
      </c>
      <c r="C548" s="487"/>
      <c r="D548" s="1299" t="s">
        <v>883</v>
      </c>
      <c r="E548" s="1299"/>
      <c r="F548" s="1299"/>
      <c r="I548" s="490"/>
    </row>
    <row r="549" spans="1:9" ht="13.7" customHeight="1">
      <c r="A549" s="487"/>
      <c r="B549" s="487"/>
      <c r="C549" s="487"/>
      <c r="D549" s="446"/>
      <c r="I549" s="490"/>
    </row>
    <row r="550" spans="1:9" ht="14.25">
      <c r="A550" s="484"/>
      <c r="B550" s="485" t="s">
        <v>2749</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2749</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2749</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2749</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2750</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2749</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2749</v>
      </c>
      <c r="C569" s="487"/>
      <c r="D569" s="1299" t="s">
        <v>1086</v>
      </c>
      <c r="E569" s="1299"/>
      <c r="F569" s="1299"/>
      <c r="I569" s="490"/>
    </row>
    <row r="570" spans="1:9">
      <c r="A570" s="490"/>
      <c r="B570" s="490"/>
      <c r="C570" s="487"/>
      <c r="D570" s="1299" t="s">
        <v>1905</v>
      </c>
      <c r="E570" s="1299"/>
      <c r="F570" s="1299"/>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2749</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2749</v>
      </c>
      <c r="C578" s="487"/>
      <c r="D578" s="1301" t="s">
        <v>2061</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2749</v>
      </c>
      <c r="D588" s="1313" t="s">
        <v>887</v>
      </c>
      <c r="E588" s="1313"/>
      <c r="F588" s="1313"/>
      <c r="I588" s="490"/>
    </row>
    <row r="589" spans="1:9">
      <c r="A589" s="490"/>
      <c r="B589" s="490"/>
      <c r="D589" s="476"/>
      <c r="I589" s="490"/>
    </row>
    <row r="590" spans="1:9">
      <c r="A590" s="490"/>
      <c r="B590" s="485" t="s">
        <v>2749</v>
      </c>
      <c r="D590" s="1313" t="s">
        <v>2062</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2750</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2749</v>
      </c>
      <c r="D599" s="1313" t="s">
        <v>2063</v>
      </c>
      <c r="E599" s="1313"/>
      <c r="F599" s="1313"/>
      <c r="I599" s="490"/>
    </row>
    <row r="600" spans="1:9">
      <c r="A600" s="490"/>
      <c r="B600" s="490"/>
      <c r="D600" s="1313"/>
      <c r="E600" s="1313"/>
      <c r="F600" s="1313"/>
      <c r="I600" s="490"/>
    </row>
    <row r="601" spans="1:9">
      <c r="A601" s="490"/>
      <c r="B601" s="490"/>
      <c r="D601" s="499"/>
      <c r="I601" s="490"/>
    </row>
    <row r="602" spans="1:9">
      <c r="A602" s="490"/>
      <c r="B602" s="485" t="s">
        <v>2750</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2749</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2749</v>
      </c>
      <c r="D620" s="1307" t="s">
        <v>1110</v>
      </c>
      <c r="E620" s="1307"/>
      <c r="F620" s="1307"/>
      <c r="I620" s="490"/>
    </row>
    <row r="621" spans="1:9">
      <c r="D621" s="1307"/>
      <c r="E621" s="1307"/>
      <c r="F621" s="1307"/>
      <c r="I621" s="490"/>
    </row>
    <row r="622" spans="1:9">
      <c r="I622" s="490"/>
    </row>
    <row r="623" spans="1:9">
      <c r="B623" s="485" t="s">
        <v>2749</v>
      </c>
      <c r="D623" s="1307" t="s">
        <v>1111</v>
      </c>
      <c r="E623" s="1307"/>
      <c r="F623" s="1307"/>
      <c r="I623" s="490"/>
    </row>
    <row r="624" spans="1:9">
      <c r="C624" s="500"/>
      <c r="D624" s="1307"/>
      <c r="E624" s="1307"/>
      <c r="F624" s="1307"/>
      <c r="I624" s="490"/>
    </row>
    <row r="625" spans="1:9">
      <c r="C625" s="500"/>
      <c r="I625" s="490"/>
    </row>
    <row r="626" spans="1:9">
      <c r="B626" s="485" t="s">
        <v>2750</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2749</v>
      </c>
      <c r="D633" s="1314" t="s">
        <v>2064</v>
      </c>
      <c r="E633" s="1314"/>
      <c r="F633" s="1314"/>
      <c r="I633" s="490"/>
    </row>
    <row r="634" spans="1:9">
      <c r="D634" s="1314"/>
      <c r="E634" s="1314"/>
      <c r="F634" s="1314"/>
      <c r="I634" s="490"/>
    </row>
    <row r="635" spans="1:9">
      <c r="D635" s="385"/>
      <c r="E635" s="1036" t="s">
        <v>1909</v>
      </c>
      <c r="F635" s="385"/>
      <c r="I635" s="490"/>
    </row>
    <row r="636" spans="1:9">
      <c r="D636" s="1301" t="s">
        <v>1908</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2750</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2750</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2750</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2750</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2750</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2750</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2750</v>
      </c>
      <c r="C669" s="487"/>
      <c r="D669" s="1301" t="s">
        <v>2065</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2750</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2750</v>
      </c>
      <c r="C690" s="483"/>
      <c r="D690" s="1301" t="s">
        <v>2066</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2750</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2750</v>
      </c>
      <c r="C698" s="483"/>
      <c r="D698" s="1299" t="s">
        <v>2467</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2750</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2750</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2750</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2750</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2750</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2750</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2750</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2749</v>
      </c>
      <c r="C744" s="483"/>
      <c r="D744" s="1301" t="s">
        <v>2144</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2073</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2749</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2749</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2749</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2750</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2750</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2749</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2750</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2750</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2750</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2750</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2750</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2750</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2749</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2074</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2749</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2750</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2750</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2750</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2749</v>
      </c>
      <c r="C875" s="354"/>
      <c r="D875" s="1288" t="s">
        <v>1772</v>
      </c>
      <c r="E875" s="1288"/>
      <c r="F875" s="1288"/>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2749</v>
      </c>
      <c r="C878" s="354"/>
      <c r="D878" s="1262"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2750</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2750</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2750</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2749</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2749</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2749</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2750</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2750</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2750</v>
      </c>
      <c r="C930" s="989"/>
      <c r="D930" s="1288" t="s">
        <v>2068</v>
      </c>
      <c r="E930" s="1288"/>
      <c r="F930" s="1288"/>
      <c r="G930" s="988"/>
      <c r="I930" s="490"/>
    </row>
    <row r="931" spans="1:9" ht="12.75" customHeight="1">
      <c r="A931" s="989"/>
      <c r="B931" s="989"/>
      <c r="C931" s="989"/>
      <c r="D931" s="118"/>
      <c r="E931" s="988"/>
      <c r="F931" s="988"/>
      <c r="G931" s="988"/>
      <c r="I931" s="490"/>
    </row>
    <row r="932" spans="1:9" ht="12.75" customHeight="1">
      <c r="A932" s="989"/>
      <c r="B932" s="485" t="s">
        <v>2750</v>
      </c>
      <c r="C932" s="989"/>
      <c r="D932" s="1288" t="s">
        <v>2069</v>
      </c>
      <c r="E932" s="1288"/>
      <c r="F932" s="1288"/>
      <c r="G932" s="988"/>
      <c r="I932" s="490"/>
    </row>
    <row r="933" spans="1:9" ht="12.75" customHeight="1">
      <c r="A933" s="174"/>
      <c r="B933" s="174"/>
      <c r="C933" s="174"/>
      <c r="D933" s="2"/>
      <c r="E933" s="3"/>
      <c r="F933" s="988"/>
      <c r="G933" s="988"/>
      <c r="I933" s="490"/>
    </row>
    <row r="934" spans="1:9" ht="12.75" customHeight="1">
      <c r="A934" s="997"/>
      <c r="B934" s="485" t="s">
        <v>2749</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2749</v>
      </c>
      <c r="C944" s="174"/>
      <c r="D944" s="1297" t="s">
        <v>1885</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2749</v>
      </c>
      <c r="C952" s="174"/>
      <c r="D952" s="1272" t="s">
        <v>2136</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2750</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2750</v>
      </c>
      <c r="C964" s="174"/>
      <c r="D964" s="1273" t="s">
        <v>1884</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2750</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2749</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2749</v>
      </c>
      <c r="C994" s="354"/>
      <c r="D994" s="1296" t="s">
        <v>1914</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2750</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2750</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2750</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2750</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2749</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2750</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2750</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2749</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2750</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2750</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2749</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306</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2750</v>
      </c>
      <c r="C1046" s="354"/>
      <c r="D1046" s="1287" t="s">
        <v>984</v>
      </c>
      <c r="E1046" s="1287"/>
      <c r="F1046" s="1287"/>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2750</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2749</v>
      </c>
      <c r="C1062" s="402"/>
      <c r="D1062" s="402" t="s">
        <v>1811</v>
      </c>
      <c r="I1062" s="490"/>
    </row>
    <row r="1063" spans="1:9">
      <c r="A1063" s="402"/>
      <c r="B1063" s="402"/>
      <c r="C1063" s="402"/>
      <c r="I1063" s="490"/>
    </row>
    <row r="1064" spans="1:9">
      <c r="A1064" s="402"/>
      <c r="B1064" s="485" t="s">
        <v>2750</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2749</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2750</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2750</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2750</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2750</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2750</v>
      </c>
      <c r="C1101" s="402"/>
      <c r="D1101" s="1292" t="s">
        <v>1928</v>
      </c>
      <c r="E1101" s="1292"/>
      <c r="F1101" s="1292"/>
      <c r="I1101" s="490"/>
    </row>
    <row r="1102" spans="1:9">
      <c r="A1102" s="402"/>
      <c r="B1102" s="402"/>
      <c r="C1102" s="402"/>
      <c r="D1102" s="1292"/>
      <c r="E1102" s="1292"/>
      <c r="F1102" s="1292"/>
      <c r="I1102" s="490"/>
    </row>
    <row r="1103" spans="1:9">
      <c r="A1103" s="402"/>
      <c r="B1103" s="402"/>
      <c r="C1103" s="402"/>
      <c r="D1103" s="1293" t="s">
        <v>2142</v>
      </c>
      <c r="E1103" s="1262"/>
      <c r="F1103" s="1262"/>
      <c r="I1103" s="490"/>
    </row>
    <row r="1104" spans="1:9">
      <c r="A1104" s="402"/>
      <c r="B1104" s="402"/>
      <c r="C1104" s="402"/>
      <c r="D1104" s="527"/>
      <c r="I1104" s="490"/>
    </row>
    <row r="1105" spans="1:9">
      <c r="A1105" s="402"/>
      <c r="B1105" s="485" t="s">
        <v>2750</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2750</v>
      </c>
      <c r="C1108" s="402"/>
      <c r="D1108" s="1290" t="s">
        <v>1886</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2750</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2749</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2750</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disablePrompts="1"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Northern (Butte, El Dorado, Placer, Sacramento, San Joaquin, Shasta, Solano, Sutter, Yuba, and Yolo Counties)</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29</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2508</v>
      </c>
      <c r="BE8" s="1249">
        <f>SUMIF($AC$718:$AC$752,"&lt;=35%",$G$718:G$752)-SUM($BE$5:BE7)</f>
        <v>0</v>
      </c>
    </row>
    <row r="9" spans="1:58" ht="12.95" customHeight="1">
      <c r="A9" s="1372" t="s">
        <v>2075</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2500</v>
      </c>
      <c r="BE9" s="1249">
        <f>SUMIF($AC$718:$AC$752,"&lt;=40%",$G$718:G$752)-SUM($BE$5:BE8)</f>
        <v>0</v>
      </c>
    </row>
    <row r="10" spans="1:58" ht="12.95" customHeight="1">
      <c r="A10" s="1372" t="s">
        <v>2457</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2509</v>
      </c>
      <c r="BE10" s="1249">
        <f>SUMIF($AC$718:$AC$752,"&lt;=45%",$G$718:G$752)-SUM($BE$5:BE9)</f>
        <v>0</v>
      </c>
    </row>
    <row r="11" spans="1:58" ht="12.95" customHeight="1">
      <c r="A11" s="1372" t="s">
        <v>2603</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2501</v>
      </c>
      <c r="BE11" s="1249">
        <f>SUMIF($AC$718:$AC$752,"&lt;=50%",$G$718:G$752)-SUM($BE$5:BE10)</f>
        <v>29</v>
      </c>
    </row>
    <row r="12" spans="1:58" ht="12.95" customHeight="1">
      <c r="A12" s="1411" t="s">
        <v>2609</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2510</v>
      </c>
      <c r="BE12" s="1249">
        <f>SUMIF($AC$718:$AC$752,"&lt;=55%",$G$718:G$752)-SUM($BE$5:BE11)</f>
        <v>0</v>
      </c>
    </row>
    <row r="13" spans="1:58" ht="12.95" customHeight="1">
      <c r="A13" s="1260" t="s">
        <v>2076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64</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112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2077</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655</v>
      </c>
      <c r="BE16" s="1249" t="str">
        <f>Application!H18</f>
        <v>Asteria Flats</v>
      </c>
    </row>
    <row r="17" spans="1:58" ht="12.95" customHeight="1">
      <c r="BD17" s="1247" t="s">
        <v>2517</v>
      </c>
      <c r="BE17" s="1249">
        <f>Application!AA934</f>
        <v>0</v>
      </c>
    </row>
    <row r="18" spans="1:58" ht="12.95" customHeight="1">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2518</v>
      </c>
      <c r="BE18" s="1249">
        <f>'CalHFA Addendum'!N11</f>
        <v>0</v>
      </c>
    </row>
    <row r="19" spans="1:58" ht="12.95" customHeight="1">
      <c r="BD19" s="1247" t="s">
        <v>2519</v>
      </c>
      <c r="BE19" s="1249">
        <f>Application!M26</f>
        <v>5700460</v>
      </c>
    </row>
    <row r="20" spans="1:58" ht="12.95" customHeight="1">
      <c r="A20" s="1412" t="s">
        <v>872</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2520</v>
      </c>
      <c r="BE20" s="1249">
        <f>Application!M27</f>
        <v>0</v>
      </c>
    </row>
    <row r="21" spans="1:58" ht="12.95" customHeight="1">
      <c r="A21" s="1421" t="s">
        <v>1008</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2521</v>
      </c>
      <c r="BE21" s="1249">
        <f>Application!AM554</f>
        <v>32000000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125440616</v>
      </c>
      <c r="BF22" s="3" t="s">
        <v>2594</v>
      </c>
    </row>
    <row r="23" spans="1:58" ht="12.95" customHeight="1">
      <c r="A23" s="1292" t="s">
        <v>2145</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6065000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262885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2.95" customHeight="1">
      <c r="A26" s="4"/>
      <c r="C26" s="4"/>
      <c r="D26" s="4"/>
      <c r="E26" s="4"/>
      <c r="F26" s="4"/>
      <c r="G26" s="4"/>
      <c r="H26" s="4"/>
      <c r="I26" s="4"/>
      <c r="J26" s="4"/>
      <c r="K26" s="4"/>
      <c r="L26" s="4"/>
      <c r="M26" s="1418">
        <f>'Basis &amp; Credits'!AB56</f>
        <v>5700460</v>
      </c>
      <c r="N26" s="1418"/>
      <c r="O26" s="1418"/>
      <c r="P26" s="1418"/>
      <c r="Q26" s="1418"/>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1266</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13" t="s">
        <v>2146</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2526</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2527</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1277</v>
      </c>
      <c r="C33" s="519"/>
      <c r="D33" s="519"/>
      <c r="E33" s="519"/>
      <c r="F33" s="519"/>
      <c r="G33" s="519"/>
      <c r="H33" s="519"/>
      <c r="I33" s="519"/>
      <c r="J33" s="519"/>
      <c r="K33" s="519"/>
      <c r="L33" s="519"/>
      <c r="M33" s="519"/>
      <c r="N33" s="519"/>
      <c r="O33" s="1332" t="s">
        <v>668</v>
      </c>
      <c r="P33" s="1332"/>
      <c r="Q33" s="1414" t="s">
        <v>2147</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2595</v>
      </c>
      <c r="BE33" s="1249" t="str">
        <f>Application!D220</f>
        <v>Capital Region: El Dorado, Placer, Sacramento, Sutter, Yuba, and Yolo Counties</v>
      </c>
    </row>
    <row r="34" spans="1:57" ht="12.95" customHeight="1">
      <c r="A34" s="1413" t="s">
        <v>2148</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2529</v>
      </c>
      <c r="BE34" s="1249">
        <f>Application!I185</f>
        <v>0</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2530</v>
      </c>
      <c r="BE35" s="1249" t="str">
        <f>IF(Application!E187="","",Application!E187)</f>
        <v>SE corner of Sunrise Blvd and Chrysanthy Blvd</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2531</v>
      </c>
      <c r="BE36" s="1249" t="str">
        <f>Application!I189</f>
        <v>Rancho Cordova</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2532</v>
      </c>
      <c r="BE37" s="1249" t="str">
        <f>Application!T189</f>
        <v>Sacramento</v>
      </c>
    </row>
    <row r="38" spans="1:57" ht="12.95" customHeight="1">
      <c r="A38" s="3"/>
      <c r="AZ38" s="20"/>
      <c r="BD38" s="1248" t="s">
        <v>2533</v>
      </c>
      <c r="BE38" s="1249">
        <f>Application!I190</f>
        <v>95742</v>
      </c>
    </row>
    <row r="39" spans="1:57" ht="12.95"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236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234</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0.59829059829059816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0.59833262215335503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531528.03389830503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10</v>
      </c>
    </row>
    <row r="46" spans="1:57" ht="12.95" customHeight="1">
      <c r="A46" s="1292" t="s">
        <v>2150</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Pacific Housing, Inc.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Mat Eland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Pacific Housing, Inc.</v>
      </c>
    </row>
    <row r="51" spans="1:57" ht="12.95"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Rancho Cordova AGP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Brandon Hodge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Lincoln Avenue Capital LLC</v>
      </c>
    </row>
    <row r="54" spans="1:57" ht="12.95"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Lincoln Avenue Capital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401 Wilshire Blvd, 11th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Santa Monica, CA 90401</v>
      </c>
    </row>
    <row r="60" spans="1:57" ht="12.95"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Brandon Hodge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bhodge@lincolnavenue.com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0.86000016999999995</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2.95" customHeight="1">
      <c r="A65" s="1415" t="s">
        <v>2155</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2592</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2557</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415" t="s">
        <v>2156</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2560</v>
      </c>
      <c r="BE69" s="1249" t="str">
        <f>Application!W700</f>
        <v>California Muncipal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2561</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5" customHeight="1">
      <c r="A72" s="1413" t="s">
        <v>2157</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2563</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85" t="s">
        <v>2158</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7" t="s">
        <v>2566</v>
      </c>
      <c r="BE75" s="1249">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8" t="s">
        <v>2567</v>
      </c>
      <c r="BE76" s="1249">
        <f>'Points System'!AF811</f>
        <v>10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15" t="s">
        <v>2159</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2570</v>
      </c>
      <c r="BE79" s="1249">
        <f>'Points System'!AF815</f>
        <v>10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2571</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2.1365636012887639</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Rancho Cordova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Reed Flory</v>
      </c>
    </row>
    <row r="86" spans="1:57" ht="12.95"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Housing Services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2729 Prospect Park Dr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Rancho Cordova</v>
      </c>
    </row>
    <row r="89" spans="1:57" ht="12.95" customHeight="1">
      <c r="A89" s="1784" t="s">
        <v>2162</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7" t="s">
        <v>2580</v>
      </c>
      <c r="BE89" s="1249">
        <f>Application!O158</f>
        <v>95670</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8" t="s">
        <v>2581</v>
      </c>
      <c r="BE90" s="1249" t="str">
        <f>Application!H16</f>
        <v>Rancho Cordova Owner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401 Wilshire Blvd, 11th Floor</v>
      </c>
    </row>
    <row r="92" spans="1:57" ht="12.95" customHeight="1">
      <c r="A92" s="1785" t="s">
        <v>2163</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8" t="s">
        <v>2583</v>
      </c>
      <c r="BE92" s="1249" t="str">
        <f>Application!M234</f>
        <v>Santa Monica</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7" t="s">
        <v>2584</v>
      </c>
      <c r="BE93" s="1249"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8" t="s">
        <v>2585</v>
      </c>
      <c r="BE94" s="1249">
        <f>Application!AC234</f>
        <v>90401</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7" t="s">
        <v>2586</v>
      </c>
      <c r="BE95" s="1249" t="str">
        <f>Application!M235</f>
        <v>Brandon Hodge</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8" t="s">
        <v>2587</v>
      </c>
      <c r="BE96" s="1249" t="str">
        <f>Application!M237</f>
        <v>bhodge@lincolnavenue.com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7" t="s">
        <v>2588</v>
      </c>
      <c r="BE97" s="1249" t="str">
        <f>Application!M248</f>
        <v>meland@pacifichousing.org</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8" t="s">
        <v>2589</v>
      </c>
      <c r="BE98" s="1249" t="str">
        <f>Application!M256</f>
        <v>bhodge@lincolnavenue.com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786" t="s">
        <v>2164</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8" t="s">
        <v>2591</v>
      </c>
      <c r="BE100" s="1249" t="str">
        <f>Application!L279</f>
        <v>bhodge@lincolnavenue.com</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2596</v>
      </c>
      <c r="BE101">
        <f>'Sources and Uses Budget'!C105</f>
        <v>125440616</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2597</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2165</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7"/>
      <c r="H113" s="1787"/>
      <c r="I113" s="3" t="s">
        <v>181</v>
      </c>
      <c r="L113" s="1787"/>
      <c r="M113" s="1787"/>
      <c r="N113" s="1787"/>
      <c r="O113" s="1787"/>
      <c r="P113" s="1793" t="s">
        <v>2238</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c r="D115" s="1798"/>
      <c r="E115" s="1798"/>
      <c r="F115" s="1798"/>
      <c r="G115" s="1798"/>
      <c r="H115" s="1798"/>
      <c r="I115" s="1798"/>
      <c r="J115" s="1798"/>
      <c r="K115" s="179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87"/>
      <c r="Z117" s="1787"/>
      <c r="AA117" s="1787"/>
      <c r="AB117" s="1787"/>
      <c r="AC117" s="1787"/>
      <c r="AD117" s="1787"/>
      <c r="AE117" s="1787"/>
      <c r="AF117" s="1787"/>
      <c r="AG117" s="1787"/>
      <c r="AH117" s="1787"/>
      <c r="AI117" s="1787"/>
      <c r="AJ117" s="1787"/>
      <c r="AK117" s="178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8" t="s">
        <v>468</v>
      </c>
      <c r="CV122" s="1659"/>
      <c r="CW122" s="14"/>
      <c r="CX122" s="14" t="s">
        <v>633</v>
      </c>
      <c r="CY122" s="14"/>
      <c r="CZ122" s="14"/>
      <c r="DA122" s="14"/>
      <c r="DB122" s="14"/>
      <c r="DC122" s="14"/>
      <c r="DD122" s="14"/>
      <c r="DE122" s="14"/>
      <c r="DF122" s="14"/>
      <c r="DG122" s="1655" t="str">
        <f>T189</f>
        <v>Sacramento</v>
      </c>
      <c r="DH122" s="1656"/>
      <c r="DI122" s="1656"/>
      <c r="DJ122" s="1656"/>
      <c r="DK122" s="1656"/>
      <c r="DL122" s="1656"/>
      <c r="DM122" s="1657"/>
    </row>
    <row r="123" spans="1:117" ht="12.95" customHeight="1">
      <c r="A123" s="3"/>
      <c r="B123" s="3"/>
      <c r="T123" s="3"/>
      <c r="U123" s="3"/>
      <c r="V123" s="3"/>
      <c r="W123" s="3"/>
      <c r="X123" s="3"/>
      <c r="Y123" s="1787"/>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644</v>
      </c>
      <c r="O153" s="1417" t="s">
        <v>2613</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439</v>
      </c>
      <c r="O154" s="1437" t="s">
        <v>2614</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06" t="s">
        <v>2615</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71" t="s">
        <v>2616</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6" t="s">
        <v>2617</v>
      </c>
      <c r="P157" s="1417"/>
      <c r="Q157" s="1417"/>
      <c r="R157" s="1417"/>
      <c r="S157" s="1417"/>
      <c r="T157" s="1417"/>
      <c r="U157" s="1417"/>
      <c r="V157" s="1417"/>
      <c r="W157" s="1417"/>
      <c r="X157" s="141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0">
        <v>95670</v>
      </c>
      <c r="P158" s="1790"/>
      <c r="Q158" s="1790"/>
      <c r="R158" s="179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9">
        <v>9168518700</v>
      </c>
      <c r="P159" s="1779"/>
      <c r="Q159" s="1779"/>
      <c r="R159" s="1779"/>
      <c r="S159" s="1779"/>
      <c r="T159" s="1779"/>
      <c r="V159" s="97" t="s">
        <v>270</v>
      </c>
      <c r="W159" s="1791"/>
      <c r="X159" s="1791"/>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79"/>
      <c r="P160" s="1779"/>
      <c r="Q160" s="1779"/>
      <c r="R160" s="1779"/>
      <c r="S160" s="1779"/>
      <c r="T160" s="177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783" t="s">
        <v>2618</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799" t="s">
        <v>2215</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2" t="s">
        <v>538</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805" t="s">
        <v>370</v>
      </c>
      <c r="K173" s="1805"/>
      <c r="L173" s="1805"/>
      <c r="M173" s="1805"/>
      <c r="N173" s="1805"/>
      <c r="O173" s="1805"/>
      <c r="P173" s="1805"/>
      <c r="Q173" s="1805"/>
      <c r="R173" s="1805"/>
      <c r="S173" s="180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371" t="s">
        <v>2100</v>
      </c>
      <c r="K174" s="1371"/>
      <c r="L174" s="1371"/>
      <c r="M174" s="1371"/>
      <c r="N174" s="1371"/>
      <c r="O174" s="1371"/>
      <c r="P174" s="1371"/>
      <c r="Q174" s="1371"/>
      <c r="R174" s="1371"/>
      <c r="S174" s="1371"/>
      <c r="T174" s="1371"/>
      <c r="U174" s="1371"/>
      <c r="V174" s="1371"/>
      <c r="W174" s="1371"/>
      <c r="X174" s="1371"/>
      <c r="Y174" s="1371"/>
      <c r="Z174" s="1371"/>
      <c r="AA174" s="1371"/>
      <c r="AB174" s="1371"/>
      <c r="BB174" t="s">
        <v>1968</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668</v>
      </c>
      <c r="V175" s="1332"/>
      <c r="BB175" t="s">
        <v>1936</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2078</v>
      </c>
      <c r="T176" s="27" t="s">
        <v>304</v>
      </c>
      <c r="U176" s="1426"/>
      <c r="V176" s="1426"/>
      <c r="W176" s="1" t="s">
        <v>305</v>
      </c>
      <c r="X176" s="1782"/>
      <c r="Y176" s="1782"/>
      <c r="BB176" t="s">
        <v>1969</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668</v>
      </c>
      <c r="S177" s="1332"/>
      <c r="BB177" t="s">
        <v>2212</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2078</v>
      </c>
      <c r="AE178" s="27" t="s">
        <v>304</v>
      </c>
      <c r="AF178" s="1781"/>
      <c r="AG178" s="1781"/>
      <c r="AH178" s="1" t="s">
        <v>305</v>
      </c>
      <c r="AI178" s="1802"/>
      <c r="AJ178" s="1802"/>
      <c r="AK178" s="1802"/>
      <c r="BB178" t="s">
        <v>2213</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2079</v>
      </c>
      <c r="X180" s="1332" t="s">
        <v>668</v>
      </c>
      <c r="Y180" s="133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358" t="str">
        <f>H18</f>
        <v>Asteria Flats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348"/>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1" t="s">
        <v>2619</v>
      </c>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416" t="s">
        <v>2617</v>
      </c>
      <c r="J189" s="1371"/>
      <c r="K189" s="1371"/>
      <c r="L189" s="1371"/>
      <c r="M189" s="1371"/>
      <c r="N189" s="1371"/>
      <c r="O189" s="1371"/>
      <c r="P189" s="1371"/>
      <c r="Q189" t="s">
        <v>581</v>
      </c>
      <c r="T189" s="1371" t="s">
        <v>68</v>
      </c>
      <c r="U189" s="1371"/>
      <c r="V189" s="1371"/>
      <c r="W189" s="1371"/>
      <c r="X189" s="1371"/>
      <c r="Y189" s="1371"/>
      <c r="Z189" s="1371"/>
      <c r="AA189" s="1371"/>
      <c r="AB189" s="1371"/>
      <c r="AC189" s="1371"/>
      <c r="AD189" s="1371"/>
      <c r="AE189" s="1371"/>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48">
        <v>95742</v>
      </c>
      <c r="J190" s="1348"/>
      <c r="K190" s="1348"/>
      <c r="L190" s="1348"/>
      <c r="M190" s="1348"/>
      <c r="N190" s="1348"/>
      <c r="O190" t="s">
        <v>584</v>
      </c>
      <c r="T190" s="1788" t="s">
        <v>2620</v>
      </c>
      <c r="U190" s="1788"/>
      <c r="V190" s="1788"/>
      <c r="W190" s="1788"/>
      <c r="X190" s="1788"/>
      <c r="Y190" s="1788"/>
      <c r="Z190" s="1788"/>
      <c r="AA190" s="1788"/>
      <c r="AB190" s="1788"/>
      <c r="AC190" s="1788"/>
      <c r="AD190" s="1788"/>
      <c r="AE190" s="1788"/>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801" t="s">
        <v>2621</v>
      </c>
      <c r="O191" s="1801"/>
      <c r="P191" s="1801"/>
      <c r="Q191" s="1801"/>
      <c r="R191" s="1801"/>
      <c r="S191" s="1801"/>
      <c r="T191" s="1801"/>
      <c r="U191" s="1801"/>
      <c r="V191" s="1801"/>
      <c r="W191" s="1801"/>
      <c r="X191" s="1801"/>
      <c r="Y191" s="1801"/>
      <c r="Z191" s="1801"/>
      <c r="AA191" s="1801"/>
      <c r="AB191" s="1801"/>
      <c r="AC191" s="1801"/>
      <c r="AD191" s="1801"/>
      <c r="AE191" s="1801"/>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2" t="s">
        <v>1936</v>
      </c>
      <c r="U193" s="1792"/>
      <c r="V193" s="1792"/>
      <c r="W193" s="1792"/>
      <c r="X193" s="1792"/>
      <c r="Y193" s="1792"/>
      <c r="Z193" s="1792"/>
      <c r="AA193" s="1792"/>
      <c r="AB193" s="1792"/>
      <c r="AC193" s="1792"/>
      <c r="AD193" s="1792"/>
      <c r="AE193" s="1792"/>
      <c r="AF193" s="1792"/>
      <c r="AG193" s="1792"/>
      <c r="AH193" s="1792"/>
      <c r="AI193" s="1792"/>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2" t="s">
        <v>668</v>
      </c>
      <c r="AI194" s="1332"/>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332" t="s">
        <v>544</v>
      </c>
      <c r="U195" s="1332"/>
      <c r="W195" t="s">
        <v>683</v>
      </c>
      <c r="AH195" s="1332">
        <v>6</v>
      </c>
      <c r="AI195" s="1332"/>
      <c r="BC195" t="s">
        <v>1855</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2" t="s">
        <v>668</v>
      </c>
      <c r="U196" s="1402"/>
      <c r="W196" t="s">
        <v>684</v>
      </c>
      <c r="AH196" s="1332">
        <v>7</v>
      </c>
      <c r="AI196" s="1332"/>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02" t="s">
        <v>668</v>
      </c>
      <c r="U197" s="1402"/>
      <c r="W197" t="s">
        <v>685</v>
      </c>
      <c r="AH197" s="1332">
        <v>6</v>
      </c>
      <c r="AI197" s="1332"/>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2">
        <v>0</v>
      </c>
      <c r="U198" s="1402"/>
      <c r="V198"/>
      <c r="X198" s="1413" t="s">
        <v>2512</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32" t="s">
        <v>668</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2513</v>
      </c>
      <c r="T200" s="1332" t="s">
        <v>668</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0">
        <f>M26</f>
        <v>5700460</v>
      </c>
      <c r="Q204" s="1780"/>
      <c r="R204" s="1780"/>
      <c r="S204" s="1780"/>
      <c r="T204" s="1780"/>
      <c r="U204" s="178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09" t="s">
        <v>1246</v>
      </c>
      <c r="E205" s="1358"/>
      <c r="F205" s="1358"/>
      <c r="G205" s="1358"/>
      <c r="H205" s="1358"/>
      <c r="I205" s="1358"/>
      <c r="J205" s="1358"/>
      <c r="K205" s="1358"/>
      <c r="L205" s="1358"/>
      <c r="M205" s="1358"/>
      <c r="P205" s="1780">
        <f>M27</f>
        <v>0</v>
      </c>
      <c r="Q205" s="1780"/>
      <c r="R205" s="1780"/>
      <c r="S205" s="1780"/>
      <c r="T205" s="1780"/>
      <c r="U205" s="1780"/>
      <c r="V205" s="28"/>
      <c r="W205" s="3" t="s">
        <v>1719</v>
      </c>
      <c r="Z205" s="1807" t="s">
        <v>1183</v>
      </c>
      <c r="AA205" s="1807"/>
      <c r="AB205" s="1807"/>
      <c r="AC205" s="1807"/>
      <c r="AD205" s="1807"/>
      <c r="AE205" s="1807"/>
      <c r="AF205" s="1807"/>
      <c r="AG205" s="1807"/>
      <c r="AH205" s="1807"/>
      <c r="AI205" s="1807"/>
      <c r="AJ205" s="1807"/>
      <c r="AK205" s="1807"/>
      <c r="AL205" s="1807"/>
      <c r="AM205" s="1807"/>
      <c r="AN205" s="1807"/>
      <c r="AP205" s="1335"/>
      <c r="AQ205" s="133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17" t="s">
        <v>2622</v>
      </c>
      <c r="E208" s="1417"/>
      <c r="F208" s="1417"/>
      <c r="G208" s="1417"/>
      <c r="H208" s="1417"/>
      <c r="I208" s="1417"/>
      <c r="J208" s="1417"/>
      <c r="K208" s="1417"/>
      <c r="L208" s="1417"/>
      <c r="M208" s="1417"/>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1040</v>
      </c>
      <c r="E211" s="1417"/>
      <c r="F211" s="1417"/>
      <c r="G211" s="1417"/>
      <c r="H211" s="1417"/>
      <c r="I211" s="1417"/>
      <c r="J211" s="1417"/>
      <c r="K211" s="1417"/>
      <c r="L211" s="1417"/>
      <c r="M211" s="141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32"/>
      <c r="R212" s="1332"/>
      <c r="T212" s="1794">
        <f>IFERROR(Q212/AG440,0)</f>
        <v>0</v>
      </c>
      <c r="U212" s="179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525</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7" t="s">
        <v>590</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529</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526</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565</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2232</v>
      </c>
      <c r="D218" s="28"/>
      <c r="AC218" s="2" t="s">
        <v>2461</v>
      </c>
      <c r="BC218" t="s">
        <v>528</v>
      </c>
    </row>
    <row r="219" spans="1:108" ht="12.95" customHeight="1">
      <c r="A219" s="2"/>
      <c r="C219" s="2"/>
      <c r="D219" s="3" t="s">
        <v>2462</v>
      </c>
      <c r="AZ219" s="3"/>
      <c r="BA219" s="3"/>
      <c r="BC219" t="s">
        <v>376</v>
      </c>
    </row>
    <row r="220" spans="1:108" ht="12.95" customHeight="1">
      <c r="A220" s="2"/>
      <c r="C220" s="2"/>
      <c r="D220" s="1417" t="s">
        <v>1063</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2466</v>
      </c>
      <c r="AD220" s="1808"/>
      <c r="AE220" s="1808"/>
      <c r="AF220" s="1808"/>
      <c r="AG220" s="1808"/>
      <c r="AH220" s="1808"/>
      <c r="AI220" s="1808"/>
      <c r="AJ220" s="1808"/>
      <c r="AK220" s="1808"/>
      <c r="AL220" s="1808"/>
      <c r="AM220" s="1808"/>
      <c r="AN220" s="1808"/>
      <c r="AO220" s="1808"/>
      <c r="AP220" s="1808"/>
      <c r="AQ220" s="1808"/>
      <c r="BA220" s="3"/>
      <c r="BC220" t="s">
        <v>299</v>
      </c>
    </row>
    <row r="221" spans="1:108" ht="12.95" customHeight="1">
      <c r="A221" s="2"/>
      <c r="B221" s="14"/>
      <c r="C221" s="2"/>
      <c r="BA221" s="3"/>
    </row>
    <row r="222" spans="1:108" ht="12.95" customHeight="1">
      <c r="A222" s="1422" t="s">
        <v>539</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590</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544</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590</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2.95" customHeight="1">
      <c r="A231" s="2" t="s">
        <v>575</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89" t="str">
        <f>H16</f>
        <v>Rancho Cordova Owner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537</v>
      </c>
      <c r="BG232" s="241">
        <f>IF(AND(AND($M$249="nonprofit",$M$257="nonprofit",$M$265="for profit")),2,0)</f>
        <v>0</v>
      </c>
    </row>
    <row r="233" spans="1:59" ht="12.95" customHeight="1">
      <c r="D233" s="4" t="s">
        <v>85</v>
      </c>
      <c r="E233" s="4"/>
      <c r="F233" s="4"/>
      <c r="G233" s="4"/>
      <c r="H233" s="4"/>
      <c r="I233" s="4"/>
      <c r="J233" s="4"/>
      <c r="K233" s="4"/>
      <c r="M233" s="1417" t="s">
        <v>2623</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537</v>
      </c>
      <c r="BG233" s="241">
        <f>IF(AND(AND($M$249="nonprofit",$M$257="for profit",$M$265="nonprofit")),2,0)</f>
        <v>0</v>
      </c>
    </row>
    <row r="234" spans="1:59" ht="12.95" customHeight="1">
      <c r="D234" s="4" t="s">
        <v>579</v>
      </c>
      <c r="E234" s="4"/>
      <c r="M234" s="1417" t="s">
        <v>2624</v>
      </c>
      <c r="N234" s="1417"/>
      <c r="O234" s="1417"/>
      <c r="P234" s="1417"/>
      <c r="Q234" s="1417"/>
      <c r="R234" s="1417"/>
      <c r="S234" s="1417"/>
      <c r="T234" s="1417"/>
      <c r="V234" s="33" t="s">
        <v>86</v>
      </c>
      <c r="W234" s="1437" t="s">
        <v>2625</v>
      </c>
      <c r="X234" s="1437"/>
      <c r="Y234" s="4" t="s">
        <v>582</v>
      </c>
      <c r="AC234" s="1417">
        <v>90401</v>
      </c>
      <c r="AD234" s="1417"/>
      <c r="AE234" s="1417"/>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17" t="s">
        <v>2626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2627</v>
      </c>
      <c r="N236" s="1346"/>
      <c r="O236" s="1346"/>
      <c r="P236" s="1346"/>
      <c r="Q236" s="1346"/>
      <c r="R236" s="1346"/>
      <c r="S236" s="4" t="s">
        <v>205</v>
      </c>
      <c r="T236" s="4"/>
      <c r="U236" s="1437"/>
      <c r="V236" s="1437"/>
      <c r="W236" s="1437"/>
      <c r="X236" s="4" t="s">
        <v>89</v>
      </c>
      <c r="Z236" s="1346"/>
      <c r="AA236" s="1346"/>
      <c r="AB236" s="1346"/>
      <c r="AC236" s="1346"/>
      <c r="AD236" s="1346"/>
      <c r="AE236" s="1346"/>
      <c r="AU236" s="4"/>
      <c r="AV236" s="4"/>
      <c r="AW236" s="4"/>
      <c r="AX236" s="4"/>
      <c r="AY236" s="4"/>
      <c r="AZ236" s="4"/>
      <c r="BB236" s="204" t="s">
        <v>536</v>
      </c>
      <c r="BG236" s="241">
        <f>IF(AND(AND($M$249="nonprofit",$M$257="nonprofit",$M$265="(select one)")),1,0)</f>
        <v>0</v>
      </c>
    </row>
    <row r="237" spans="1:59" ht="12.95" customHeight="1">
      <c r="D237" s="4" t="s">
        <v>90</v>
      </c>
      <c r="E237" s="4"/>
      <c r="F237" s="4"/>
      <c r="M237" s="1783" t="s">
        <v>2628</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8" t="s">
        <v>527</v>
      </c>
      <c r="N238" s="1348"/>
      <c r="O238" s="1348"/>
      <c r="P238" s="1348"/>
      <c r="Q238" s="1348"/>
      <c r="R238" s="1348"/>
      <c r="S238" s="1348"/>
      <c r="T238" s="1348"/>
      <c r="U238" s="204" t="s">
        <v>905</v>
      </c>
      <c r="V238" s="204"/>
      <c r="W238" s="204"/>
      <c r="X238" s="204"/>
      <c r="Y238" s="204"/>
      <c r="Z238" s="204"/>
      <c r="AA238" s="1775" t="s">
        <v>2629</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1" t="s">
        <v>590</v>
      </c>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0" t="s">
        <v>2630</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2632</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2631</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417" t="s">
        <v>68</v>
      </c>
      <c r="N245" s="1417"/>
      <c r="O245" s="1417"/>
      <c r="P245" s="1417"/>
      <c r="Q245" s="1417"/>
      <c r="R245" s="1417"/>
      <c r="S245" s="1417"/>
      <c r="T245" s="1417"/>
      <c r="V245" s="33" t="s">
        <v>86</v>
      </c>
      <c r="W245" s="1437" t="s">
        <v>2625</v>
      </c>
      <c r="X245" s="1437"/>
      <c r="Y245" s="4" t="s">
        <v>582</v>
      </c>
      <c r="AC245" s="1417">
        <v>95816</v>
      </c>
      <c r="AD245" s="1417"/>
      <c r="AE245" s="1417"/>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17" t="s">
        <v>2633</v>
      </c>
      <c r="N246" s="1417"/>
      <c r="O246" s="1417"/>
      <c r="P246" s="1417"/>
      <c r="Q246" s="1417"/>
      <c r="R246" s="1417"/>
      <c r="S246" s="1417"/>
      <c r="T246" s="1417"/>
      <c r="U246" s="1417"/>
      <c r="V246" s="1417"/>
      <c r="W246" s="1417"/>
      <c r="X246" s="1417"/>
      <c r="Y246" s="1417"/>
      <c r="Z246" s="1417"/>
      <c r="AA246" s="1417"/>
      <c r="AB246" s="1417"/>
      <c r="AC246" s="1417"/>
      <c r="AD246" s="1417"/>
      <c r="AE246" s="1417"/>
      <c r="AH246" s="1777">
        <v>1E-3</v>
      </c>
      <c r="AI246" s="1777"/>
      <c r="AJ246" s="1777"/>
      <c r="AK246" s="1777"/>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346" t="s">
        <v>2634</v>
      </c>
      <c r="N247" s="1346"/>
      <c r="O247" s="1346"/>
      <c r="P247" s="1346"/>
      <c r="Q247" s="1346"/>
      <c r="R247" s="1346"/>
      <c r="S247" s="4" t="s">
        <v>205</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2635</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8" t="s">
        <v>533</v>
      </c>
      <c r="N249" s="1348"/>
      <c r="O249" s="1348"/>
      <c r="P249" s="1348"/>
      <c r="Q249" s="1348"/>
      <c r="R249" s="1348"/>
      <c r="S249" s="1348"/>
      <c r="T249" s="1348"/>
      <c r="U249" s="204" t="s">
        <v>905</v>
      </c>
      <c r="V249" s="204"/>
      <c r="W249" s="204"/>
      <c r="X249" s="204"/>
      <c r="Y249" s="204"/>
      <c r="Z249" s="204"/>
      <c r="AA249" s="1775" t="s">
        <v>2630</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0" t="s">
        <v>2636</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1178</v>
      </c>
      <c r="AL252" s="4"/>
      <c r="AM252" s="4"/>
      <c r="AN252" s="4"/>
      <c r="AO252" s="4"/>
      <c r="AP252" s="4"/>
      <c r="AQ252" s="4"/>
      <c r="AR252" s="4"/>
      <c r="AS252" s="4"/>
      <c r="AT252" s="4"/>
      <c r="BN252" s="34"/>
    </row>
    <row r="253" spans="1:67" ht="12.95" customHeight="1">
      <c r="A253" s="19"/>
      <c r="B253" s="4"/>
      <c r="C253" s="4"/>
      <c r="D253" s="4" t="s">
        <v>579</v>
      </c>
      <c r="E253" s="4"/>
      <c r="M253" s="1417" t="s">
        <v>2624</v>
      </c>
      <c r="N253" s="1417"/>
      <c r="O253" s="1417"/>
      <c r="P253" s="1417"/>
      <c r="Q253" s="1417"/>
      <c r="R253" s="1417"/>
      <c r="S253" s="1417"/>
      <c r="T253" s="1417"/>
      <c r="V253" s="33" t="s">
        <v>86</v>
      </c>
      <c r="W253" s="1547" t="s">
        <v>2625</v>
      </c>
      <c r="X253" s="1437"/>
      <c r="Y253" s="4" t="s">
        <v>582</v>
      </c>
      <c r="AC253" s="1417">
        <v>90401</v>
      </c>
      <c r="AD253" s="1417"/>
      <c r="AE253" s="1417"/>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2626</v>
      </c>
      <c r="N254" s="1417"/>
      <c r="O254" s="1417"/>
      <c r="P254" s="1417"/>
      <c r="Q254" s="1417"/>
      <c r="R254" s="1417"/>
      <c r="S254" s="1417"/>
      <c r="T254" s="1417"/>
      <c r="U254" s="1417"/>
      <c r="V254" s="1417"/>
      <c r="W254" s="1417"/>
      <c r="X254" s="1417"/>
      <c r="Y254" s="1417"/>
      <c r="Z254" s="1417"/>
      <c r="AA254" s="1417"/>
      <c r="AB254" s="1417"/>
      <c r="AC254" s="1417"/>
      <c r="AD254" s="1417"/>
      <c r="AE254" s="1417"/>
      <c r="AH254" s="1777">
        <v>8.9999999999999993E-3</v>
      </c>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6" t="s">
        <v>2627</v>
      </c>
      <c r="N255" s="1346"/>
      <c r="O255" s="1346"/>
      <c r="P255" s="1346"/>
      <c r="Q255" s="1346"/>
      <c r="R255" s="1346"/>
      <c r="S255" s="4" t="s">
        <v>205</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t="s">
        <v>2628</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8" t="s">
        <v>535</v>
      </c>
      <c r="N257" s="1348"/>
      <c r="O257" s="1348"/>
      <c r="P257" s="1348"/>
      <c r="Q257" s="1348"/>
      <c r="R257" s="1348"/>
      <c r="S257" s="1348"/>
      <c r="T257" s="1348"/>
      <c r="U257" s="204" t="s">
        <v>905</v>
      </c>
      <c r="V257" s="204"/>
      <c r="W257" s="204"/>
      <c r="X257" s="204"/>
      <c r="Y257" s="204"/>
      <c r="Z257" s="204"/>
      <c r="AA257" s="1775" t="s">
        <v>2629</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17"/>
      <c r="N261" s="1417"/>
      <c r="O261" s="1417"/>
      <c r="P261" s="1417"/>
      <c r="Q261" s="1417"/>
      <c r="R261" s="1417"/>
      <c r="S261" s="1417"/>
      <c r="T261" s="1417"/>
      <c r="V261" s="33" t="s">
        <v>86</v>
      </c>
      <c r="W261" s="1437"/>
      <c r="X261" s="1437"/>
      <c r="Y261" s="4" t="s">
        <v>582</v>
      </c>
      <c r="AC261" s="1417"/>
      <c r="AD261" s="1417"/>
      <c r="AE261" s="1417"/>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8" t="s">
        <v>306</v>
      </c>
      <c r="N265" s="1348"/>
      <c r="O265" s="1348"/>
      <c r="P265" s="1348"/>
      <c r="Q265" s="1348"/>
      <c r="R265" s="1348"/>
      <c r="S265" s="1348"/>
      <c r="T265" s="1348"/>
      <c r="U265" s="204" t="s">
        <v>905</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778" t="str">
        <f>IFERROR(BO245,"")</f>
        <v>Joint Venture</v>
      </c>
      <c r="U267" s="1778"/>
      <c r="V267" s="1778"/>
      <c r="W267" s="1778"/>
      <c r="X267" s="1778"/>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17" t="s">
        <v>279</v>
      </c>
      <c r="E270" s="1417"/>
      <c r="F270" s="1417"/>
      <c r="G270" s="1417"/>
      <c r="H270" s="1417"/>
      <c r="J270" t="s">
        <v>278</v>
      </c>
      <c r="X270" s="1692" t="s">
        <v>590</v>
      </c>
      <c r="Y270" s="1692"/>
      <c r="Z270" s="1692"/>
      <c r="AA270" s="1692"/>
      <c r="AB270" s="1692"/>
      <c r="AC270" s="1692"/>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2629</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2623</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579</v>
      </c>
      <c r="E276" s="4"/>
      <c r="L276" s="1417" t="s">
        <v>2624</v>
      </c>
      <c r="M276" s="1417"/>
      <c r="N276" s="1417"/>
      <c r="O276" s="1417"/>
      <c r="P276" s="1417"/>
      <c r="Q276" s="1417"/>
      <c r="R276" s="1417"/>
      <c r="S276" s="1417"/>
      <c r="U276" s="33" t="s">
        <v>86</v>
      </c>
      <c r="V276" s="1547" t="s">
        <v>2625</v>
      </c>
      <c r="W276" s="1437"/>
      <c r="X276" s="4" t="s">
        <v>582</v>
      </c>
      <c r="AB276" s="1417">
        <v>90401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2626</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2627</v>
      </c>
      <c r="M278" s="1346"/>
      <c r="N278" s="1346"/>
      <c r="O278" s="1346"/>
      <c r="P278" s="1346"/>
      <c r="Q278" s="1346"/>
      <c r="R278" s="4" t="s">
        <v>205</v>
      </c>
      <c r="S278" s="4"/>
      <c r="T278" s="1437"/>
      <c r="U278" s="1437"/>
      <c r="V278" s="1437"/>
      <c r="W278" s="4" t="s">
        <v>89</v>
      </c>
      <c r="Y278" s="1346"/>
      <c r="Z278" s="1346"/>
      <c r="AA278" s="1346"/>
      <c r="AB278" s="1346"/>
      <c r="AC278" s="1346"/>
      <c r="AD278" s="1346"/>
    </row>
    <row r="279" spans="1:51" ht="12.95" customHeight="1">
      <c r="D279" s="4" t="s">
        <v>90</v>
      </c>
      <c r="E279" s="4"/>
      <c r="F279" s="4"/>
      <c r="L279" s="1783" t="s">
        <v>2628</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622</v>
      </c>
      <c r="E280" s="3"/>
      <c r="F280" s="3"/>
      <c r="G280" s="3"/>
      <c r="H280" s="3"/>
      <c r="I280" s="3"/>
      <c r="L280" s="1547" t="s">
        <v>2638</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2" t="s">
        <v>540</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1" t="s">
        <v>2629</v>
      </c>
      <c r="I287" s="1371"/>
      <c r="J287" s="1371"/>
      <c r="K287" s="1371"/>
      <c r="L287" s="1371"/>
      <c r="M287" s="1371"/>
      <c r="N287" s="1371"/>
      <c r="O287" s="1371"/>
      <c r="P287" s="1371"/>
      <c r="Q287" s="1371"/>
      <c r="R287" s="1371"/>
      <c r="T287" s="3" t="s">
        <v>566</v>
      </c>
      <c r="V287" s="3"/>
      <c r="W287" s="3"/>
      <c r="X287" s="3"/>
      <c r="Y287" s="3"/>
      <c r="AA287" s="1371" t="s">
        <v>2640</v>
      </c>
      <c r="AB287" s="1371"/>
      <c r="AC287" s="1371"/>
      <c r="AD287" s="1371"/>
      <c r="AE287" s="1371"/>
      <c r="AF287" s="1371"/>
      <c r="AG287" s="1371"/>
      <c r="AH287" s="1371"/>
      <c r="AI287" s="1371"/>
      <c r="AJ287" s="1371"/>
      <c r="AK287" s="1371"/>
    </row>
    <row r="288" spans="1:51" ht="12.95" customHeight="1">
      <c r="B288" s="3" t="s">
        <v>470</v>
      </c>
      <c r="C288" s="3"/>
      <c r="D288" s="3"/>
      <c r="E288" s="3"/>
      <c r="F288" s="3"/>
      <c r="H288" s="1348" t="s">
        <v>2623</v>
      </c>
      <c r="I288" s="1348"/>
      <c r="J288" s="1348"/>
      <c r="K288" s="1348"/>
      <c r="L288" s="1348"/>
      <c r="M288" s="1348"/>
      <c r="N288" s="1348"/>
      <c r="O288" s="1348"/>
      <c r="P288" s="1348"/>
      <c r="Q288" s="1348"/>
      <c r="R288" s="1348"/>
      <c r="T288" s="3" t="s">
        <v>470</v>
      </c>
      <c r="V288" s="3"/>
      <c r="W288" s="3"/>
      <c r="X288" s="3"/>
      <c r="Y288" s="3"/>
      <c r="AA288" s="1348" t="s">
        <v>2641</v>
      </c>
      <c r="AB288" s="1348"/>
      <c r="AC288" s="1348"/>
      <c r="AD288" s="1348"/>
      <c r="AE288" s="1348"/>
      <c r="AF288" s="1348"/>
      <c r="AG288" s="1348"/>
      <c r="AH288" s="1348"/>
      <c r="AI288" s="1348"/>
      <c r="AJ288" s="1348"/>
      <c r="AK288" s="1348"/>
    </row>
    <row r="289" spans="2:37" ht="12.95" customHeight="1">
      <c r="B289" s="3" t="s">
        <v>471</v>
      </c>
      <c r="C289" s="3"/>
      <c r="D289" s="3"/>
      <c r="E289" s="3"/>
      <c r="F289" s="3"/>
      <c r="H289" s="1348" t="s">
        <v>2639</v>
      </c>
      <c r="I289" s="1348"/>
      <c r="J289" s="1348"/>
      <c r="K289" s="1348"/>
      <c r="L289" s="1348"/>
      <c r="M289" s="1348"/>
      <c r="N289" s="1348"/>
      <c r="O289" s="1348"/>
      <c r="P289" s="1348"/>
      <c r="Q289" s="1348"/>
      <c r="R289" s="1348"/>
      <c r="T289" s="3" t="s">
        <v>75</v>
      </c>
      <c r="V289" s="3"/>
      <c r="W289" s="3"/>
      <c r="X289" s="3"/>
      <c r="Y289" s="3"/>
      <c r="AA289" s="1348" t="s">
        <v>2642</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2626</v>
      </c>
      <c r="I290" s="1348"/>
      <c r="J290" s="1348"/>
      <c r="K290" s="1348"/>
      <c r="L290" s="1348"/>
      <c r="M290" s="1348"/>
      <c r="N290" s="1348"/>
      <c r="O290" s="1348"/>
      <c r="P290" s="1348"/>
      <c r="Q290" s="1348"/>
      <c r="R290" s="1348"/>
      <c r="T290" s="3" t="s">
        <v>87</v>
      </c>
      <c r="V290" s="3"/>
      <c r="W290" s="3"/>
      <c r="X290" s="3"/>
      <c r="Y290" s="3"/>
      <c r="AA290" s="1348" t="s">
        <v>2643</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4" t="s">
        <v>2627</v>
      </c>
      <c r="I291" s="1424"/>
      <c r="J291" s="1424"/>
      <c r="K291" s="1424"/>
      <c r="L291" s="1424"/>
      <c r="M291" s="1424"/>
      <c r="N291" s="4" t="s">
        <v>205</v>
      </c>
      <c r="O291" s="4"/>
      <c r="P291" s="1417"/>
      <c r="Q291" s="1417"/>
      <c r="R291" s="1417"/>
      <c r="S291" s="3"/>
      <c r="T291" s="3" t="s">
        <v>88</v>
      </c>
      <c r="V291" s="3"/>
      <c r="W291" s="3"/>
      <c r="X291" s="3"/>
      <c r="Y291" s="3"/>
      <c r="AA291" s="1424" t="s">
        <v>2644</v>
      </c>
      <c r="AB291" s="1424"/>
      <c r="AC291" s="1424"/>
      <c r="AD291" s="1424"/>
      <c r="AE291" s="1424"/>
      <c r="AF291" s="1424"/>
      <c r="AG291" s="4" t="s">
        <v>205</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2628</v>
      </c>
      <c r="I293" s="1348"/>
      <c r="J293" s="1348"/>
      <c r="K293" s="1348"/>
      <c r="L293" s="1348"/>
      <c r="M293" s="1348"/>
      <c r="N293" s="1371"/>
      <c r="O293" s="1371"/>
      <c r="P293" s="1371"/>
      <c r="Q293" s="1371"/>
      <c r="R293" s="1371"/>
      <c r="S293" s="3"/>
      <c r="T293" s="3" t="s">
        <v>76</v>
      </c>
      <c r="V293" s="3"/>
      <c r="W293" s="3"/>
      <c r="X293" s="3"/>
      <c r="Y293" s="3"/>
      <c r="AA293" s="1348" t="s">
        <v>2645</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1" t="s">
        <v>2652</v>
      </c>
      <c r="I295" s="1371"/>
      <c r="J295" s="1371"/>
      <c r="K295" s="1371"/>
      <c r="L295" s="1371"/>
      <c r="M295" s="1371"/>
      <c r="N295" s="1371"/>
      <c r="O295" s="1371"/>
      <c r="P295" s="1371"/>
      <c r="Q295" s="1371"/>
      <c r="R295" s="1371"/>
      <c r="T295" s="3" t="s">
        <v>363</v>
      </c>
      <c r="V295" s="3"/>
      <c r="W295" s="3"/>
      <c r="X295" s="3"/>
      <c r="Y295" s="3"/>
      <c r="AA295" s="1371" t="s">
        <v>2646</v>
      </c>
      <c r="AB295" s="1371"/>
      <c r="AC295" s="1371"/>
      <c r="AD295" s="1371"/>
      <c r="AE295" s="1371"/>
      <c r="AF295" s="1371"/>
      <c r="AG295" s="1371"/>
      <c r="AH295" s="1371"/>
      <c r="AI295" s="1371"/>
      <c r="AJ295" s="1371"/>
      <c r="AK295" s="1371"/>
    </row>
    <row r="296" spans="2:37" ht="12.95" customHeight="1">
      <c r="B296" s="3" t="s">
        <v>470</v>
      </c>
      <c r="C296" s="3"/>
      <c r="D296" s="3"/>
      <c r="E296" s="3"/>
      <c r="F296" s="3"/>
      <c r="H296" s="1348" t="s">
        <v>2653</v>
      </c>
      <c r="I296" s="1348"/>
      <c r="J296" s="1348"/>
      <c r="K296" s="1348"/>
      <c r="L296" s="1348"/>
      <c r="M296" s="1348"/>
      <c r="N296" s="1348"/>
      <c r="O296" s="1348"/>
      <c r="P296" s="1348"/>
      <c r="Q296" s="1348"/>
      <c r="R296" s="1348"/>
      <c r="T296" s="3" t="s">
        <v>470</v>
      </c>
      <c r="V296" s="3"/>
      <c r="W296" s="3"/>
      <c r="X296" s="3"/>
      <c r="Y296" s="3"/>
      <c r="AA296" s="1348" t="s">
        <v>2647</v>
      </c>
      <c r="AB296" s="1348"/>
      <c r="AC296" s="1348"/>
      <c r="AD296" s="1348"/>
      <c r="AE296" s="1348"/>
      <c r="AF296" s="1348"/>
      <c r="AG296" s="1348"/>
      <c r="AH296" s="1348"/>
      <c r="AI296" s="1348"/>
      <c r="AJ296" s="1348"/>
      <c r="AK296" s="1348"/>
    </row>
    <row r="297" spans="2:37" ht="12.95" customHeight="1">
      <c r="B297" s="3" t="s">
        <v>471</v>
      </c>
      <c r="C297" s="3"/>
      <c r="D297" s="3"/>
      <c r="E297" s="3"/>
      <c r="F297" s="3"/>
      <c r="H297" s="1348" t="s">
        <v>2654</v>
      </c>
      <c r="I297" s="1348"/>
      <c r="J297" s="1348"/>
      <c r="K297" s="1348"/>
      <c r="L297" s="1348"/>
      <c r="M297" s="1348"/>
      <c r="N297" s="1348"/>
      <c r="O297" s="1348"/>
      <c r="P297" s="1348"/>
      <c r="Q297" s="1348"/>
      <c r="R297" s="1348"/>
      <c r="T297" s="3" t="s">
        <v>75</v>
      </c>
      <c r="V297" s="3"/>
      <c r="W297" s="3"/>
      <c r="X297" s="3"/>
      <c r="Y297" s="3"/>
      <c r="AA297" s="1348" t="s">
        <v>2648</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2655</v>
      </c>
      <c r="I298" s="1348"/>
      <c r="J298" s="1348"/>
      <c r="K298" s="1348"/>
      <c r="L298" s="1348"/>
      <c r="M298" s="1348"/>
      <c r="N298" s="1348"/>
      <c r="O298" s="1348"/>
      <c r="P298" s="1348"/>
      <c r="Q298" s="1348"/>
      <c r="R298" s="1348"/>
      <c r="T298" s="3" t="s">
        <v>87</v>
      </c>
      <c r="V298" s="3"/>
      <c r="W298" s="3"/>
      <c r="X298" s="3"/>
      <c r="Y298" s="3"/>
      <c r="AA298" s="1348" t="s">
        <v>2649</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4" t="s">
        <v>2656</v>
      </c>
      <c r="I299" s="1424"/>
      <c r="J299" s="1424"/>
      <c r="K299" s="1424"/>
      <c r="L299" s="1424"/>
      <c r="M299" s="1424"/>
      <c r="N299" s="4" t="s">
        <v>205</v>
      </c>
      <c r="O299" s="4"/>
      <c r="P299" s="1417"/>
      <c r="Q299" s="1417"/>
      <c r="R299" s="1417"/>
      <c r="S299" s="3"/>
      <c r="T299" s="3" t="s">
        <v>88</v>
      </c>
      <c r="V299" s="3"/>
      <c r="W299" s="3"/>
      <c r="X299" s="3"/>
      <c r="Y299" s="3"/>
      <c r="AA299" s="1424" t="s">
        <v>2650</v>
      </c>
      <c r="AB299" s="1424"/>
      <c r="AC299" s="1424"/>
      <c r="AD299" s="1424"/>
      <c r="AE299" s="1424"/>
      <c r="AF299" s="1424"/>
      <c r="AG299" s="4" t="s">
        <v>205</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2657</v>
      </c>
      <c r="I301" s="1348"/>
      <c r="J301" s="1348"/>
      <c r="K301" s="1348"/>
      <c r="L301" s="1348"/>
      <c r="M301" s="1348"/>
      <c r="N301" s="1371"/>
      <c r="O301" s="1371"/>
      <c r="P301" s="1371"/>
      <c r="Q301" s="1371"/>
      <c r="R301" s="1371"/>
      <c r="S301" s="3"/>
      <c r="T301" s="3" t="s">
        <v>76</v>
      </c>
      <c r="V301" s="3"/>
      <c r="W301" s="3"/>
      <c r="X301" s="3"/>
      <c r="Y301" s="3"/>
      <c r="AA301" s="1348" t="s">
        <v>2651</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2658</v>
      </c>
      <c r="I303" s="1371"/>
      <c r="J303" s="1371"/>
      <c r="K303" s="1371"/>
      <c r="L303" s="1371"/>
      <c r="M303" s="1371"/>
      <c r="N303" s="1371"/>
      <c r="O303" s="1371"/>
      <c r="P303" s="1371"/>
      <c r="Q303" s="1371"/>
      <c r="R303" s="1371"/>
      <c r="T303" s="4" t="s">
        <v>877</v>
      </c>
      <c r="V303" s="3"/>
      <c r="W303" s="3"/>
      <c r="X303" s="3"/>
      <c r="Y303" s="3"/>
      <c r="AA303" s="1371" t="s">
        <v>2664</v>
      </c>
      <c r="AB303" s="1371"/>
      <c r="AC303" s="1371"/>
      <c r="AD303" s="1371"/>
      <c r="AE303" s="1371"/>
      <c r="AF303" s="1371"/>
      <c r="AG303" s="1371"/>
      <c r="AH303" s="1371"/>
      <c r="AI303" s="1371"/>
      <c r="AJ303" s="1371"/>
      <c r="AK303" s="1371"/>
    </row>
    <row r="304" spans="2:37" ht="12.95" customHeight="1">
      <c r="B304" s="3" t="s">
        <v>470</v>
      </c>
      <c r="C304" s="3"/>
      <c r="D304" s="3"/>
      <c r="E304" s="3"/>
      <c r="F304" s="3"/>
      <c r="H304" s="1348" t="s">
        <v>2659</v>
      </c>
      <c r="I304" s="1348"/>
      <c r="J304" s="1348"/>
      <c r="K304" s="1348"/>
      <c r="L304" s="1348"/>
      <c r="M304" s="1348"/>
      <c r="N304" s="1348"/>
      <c r="O304" s="1348"/>
      <c r="P304" s="1348"/>
      <c r="Q304" s="1348"/>
      <c r="R304" s="1348"/>
      <c r="T304" s="3" t="s">
        <v>470</v>
      </c>
      <c r="V304" s="3"/>
      <c r="W304" s="3"/>
      <c r="X304" s="3"/>
      <c r="Y304" s="3"/>
      <c r="AA304" s="1348" t="s">
        <v>2665</v>
      </c>
      <c r="AB304" s="1348"/>
      <c r="AC304" s="1348"/>
      <c r="AD304" s="1348"/>
      <c r="AE304" s="1348"/>
      <c r="AF304" s="1348"/>
      <c r="AG304" s="1348"/>
      <c r="AH304" s="1348"/>
      <c r="AI304" s="1348"/>
      <c r="AJ304" s="1348"/>
      <c r="AK304" s="1348"/>
    </row>
    <row r="305" spans="2:37" ht="12.95" customHeight="1">
      <c r="B305" s="3" t="s">
        <v>471</v>
      </c>
      <c r="C305" s="3"/>
      <c r="D305" s="3"/>
      <c r="E305" s="3"/>
      <c r="F305" s="3"/>
      <c r="H305" s="1348" t="s">
        <v>2660</v>
      </c>
      <c r="I305" s="1348"/>
      <c r="J305" s="1348"/>
      <c r="K305" s="1348"/>
      <c r="L305" s="1348"/>
      <c r="M305" s="1348"/>
      <c r="N305" s="1348"/>
      <c r="O305" s="1348"/>
      <c r="P305" s="1348"/>
      <c r="Q305" s="1348"/>
      <c r="R305" s="1348"/>
      <c r="T305" s="3" t="s">
        <v>75</v>
      </c>
      <c r="V305" s="3"/>
      <c r="W305" s="3"/>
      <c r="X305" s="3"/>
      <c r="Y305" s="3"/>
      <c r="AA305" s="1348" t="s">
        <v>2666</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2661</v>
      </c>
      <c r="I306" s="1348"/>
      <c r="J306" s="1348"/>
      <c r="K306" s="1348"/>
      <c r="L306" s="1348"/>
      <c r="M306" s="1348"/>
      <c r="N306" s="1348"/>
      <c r="O306" s="1348"/>
      <c r="P306" s="1348"/>
      <c r="Q306" s="1348"/>
      <c r="R306" s="1348"/>
      <c r="T306" s="3" t="s">
        <v>87</v>
      </c>
      <c r="V306" s="3"/>
      <c r="W306" s="3"/>
      <c r="X306" s="3"/>
      <c r="Y306" s="3"/>
      <c r="AA306" s="1348" t="s">
        <v>2667</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2662</v>
      </c>
      <c r="I307" s="1424"/>
      <c r="J307" s="1424"/>
      <c r="K307" s="1424"/>
      <c r="L307" s="1424"/>
      <c r="M307" s="1424"/>
      <c r="N307" s="4" t="s">
        <v>205</v>
      </c>
      <c r="O307" s="4"/>
      <c r="P307" s="1417"/>
      <c r="Q307" s="1417"/>
      <c r="R307" s="1417"/>
      <c r="S307" s="3"/>
      <c r="T307" s="3" t="s">
        <v>88</v>
      </c>
      <c r="V307" s="3"/>
      <c r="W307" s="3"/>
      <c r="X307" s="3"/>
      <c r="Y307" s="3"/>
      <c r="AA307" s="1424" t="s">
        <v>2668</v>
      </c>
      <c r="AB307" s="1424"/>
      <c r="AC307" s="1424"/>
      <c r="AD307" s="1424"/>
      <c r="AE307" s="1424"/>
      <c r="AF307" s="1424"/>
      <c r="AG307" s="4" t="s">
        <v>205</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2663</v>
      </c>
      <c r="I309" s="1348"/>
      <c r="J309" s="1348"/>
      <c r="K309" s="1348"/>
      <c r="L309" s="1348"/>
      <c r="M309" s="1348"/>
      <c r="N309" s="1371"/>
      <c r="O309" s="1371"/>
      <c r="P309" s="1371"/>
      <c r="Q309" s="1371"/>
      <c r="R309" s="1371"/>
      <c r="S309" s="3"/>
      <c r="T309" s="3" t="s">
        <v>76</v>
      </c>
      <c r="V309" s="3"/>
      <c r="W309" s="3"/>
      <c r="X309" s="3"/>
      <c r="Y309" s="3"/>
      <c r="AA309" s="1348" t="s">
        <v>2669</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1" t="s">
        <v>2658</v>
      </c>
      <c r="I311" s="1371"/>
      <c r="J311" s="1371"/>
      <c r="K311" s="1371"/>
      <c r="L311" s="1371"/>
      <c r="M311" s="1371"/>
      <c r="N311" s="1371"/>
      <c r="O311" s="1371"/>
      <c r="P311" s="1371"/>
      <c r="Q311" s="1371"/>
      <c r="R311" s="1371"/>
      <c r="S311" s="3"/>
      <c r="T311" s="3" t="s">
        <v>364</v>
      </c>
      <c r="V311" s="3"/>
      <c r="W311" s="3"/>
      <c r="X311" s="3"/>
      <c r="Y311" s="3"/>
      <c r="AA311" s="1371" t="s">
        <v>2670</v>
      </c>
      <c r="AB311" s="1371"/>
      <c r="AC311" s="1371"/>
      <c r="AD311" s="1371"/>
      <c r="AE311" s="1371"/>
      <c r="AF311" s="1371"/>
      <c r="AG311" s="1371"/>
      <c r="AH311" s="1371"/>
      <c r="AI311" s="1371"/>
      <c r="AJ311" s="1371"/>
      <c r="AK311" s="1371"/>
    </row>
    <row r="312" spans="2:37" ht="12.95" customHeight="1">
      <c r="B312" s="3" t="s">
        <v>470</v>
      </c>
      <c r="C312" s="3"/>
      <c r="D312" s="3"/>
      <c r="E312" s="3"/>
      <c r="F312" s="3"/>
      <c r="H312" s="1348" t="s">
        <v>2659</v>
      </c>
      <c r="I312" s="1348"/>
      <c r="J312" s="1348"/>
      <c r="K312" s="1348"/>
      <c r="L312" s="1348"/>
      <c r="M312" s="1348"/>
      <c r="N312" s="1348"/>
      <c r="O312" s="1348"/>
      <c r="P312" s="1348"/>
      <c r="Q312" s="1348"/>
      <c r="R312" s="1348"/>
      <c r="S312" s="3"/>
      <c r="T312" s="3" t="s">
        <v>470</v>
      </c>
      <c r="V312" s="3"/>
      <c r="W312" s="3"/>
      <c r="X312" s="3"/>
      <c r="Y312" s="3"/>
      <c r="AA312" s="1348" t="s">
        <v>2671</v>
      </c>
      <c r="AB312" s="1348"/>
      <c r="AC312" s="1348"/>
      <c r="AD312" s="1348"/>
      <c r="AE312" s="1348"/>
      <c r="AF312" s="1348"/>
      <c r="AG312" s="1348"/>
      <c r="AH312" s="1348"/>
      <c r="AI312" s="1348"/>
      <c r="AJ312" s="1348"/>
      <c r="AK312" s="1348"/>
    </row>
    <row r="313" spans="2:37" ht="12.95" customHeight="1">
      <c r="B313" s="3" t="s">
        <v>471</v>
      </c>
      <c r="C313" s="3"/>
      <c r="D313" s="3"/>
      <c r="E313" s="3"/>
      <c r="F313" s="3"/>
      <c r="H313" s="1348" t="s">
        <v>2660</v>
      </c>
      <c r="I313" s="1348"/>
      <c r="J313" s="1348"/>
      <c r="K313" s="1348"/>
      <c r="L313" s="1348"/>
      <c r="M313" s="1348"/>
      <c r="N313" s="1348"/>
      <c r="O313" s="1348"/>
      <c r="P313" s="1348"/>
      <c r="Q313" s="1348"/>
      <c r="R313" s="1348"/>
      <c r="S313" s="3"/>
      <c r="T313" s="3" t="s">
        <v>75</v>
      </c>
      <c r="V313" s="3"/>
      <c r="W313" s="3"/>
      <c r="X313" s="3"/>
      <c r="Y313" s="3"/>
      <c r="AA313" s="1348" t="s">
        <v>2672</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2661</v>
      </c>
      <c r="I314" s="1348"/>
      <c r="J314" s="1348"/>
      <c r="K314" s="1348"/>
      <c r="L314" s="1348"/>
      <c r="M314" s="1348"/>
      <c r="N314" s="1348"/>
      <c r="O314" s="1348"/>
      <c r="P314" s="1348"/>
      <c r="Q314" s="1348"/>
      <c r="R314" s="1348"/>
      <c r="S314" s="3"/>
      <c r="T314" s="3" t="s">
        <v>87</v>
      </c>
      <c r="V314" s="3"/>
      <c r="W314" s="3"/>
      <c r="X314" s="3"/>
      <c r="Y314" s="3"/>
      <c r="AA314" s="1348" t="s">
        <v>2673</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t="s">
        <v>2662</v>
      </c>
      <c r="I315" s="1424"/>
      <c r="J315" s="1424"/>
      <c r="K315" s="1424"/>
      <c r="L315" s="1424"/>
      <c r="M315" s="1424"/>
      <c r="N315" s="4" t="s">
        <v>205</v>
      </c>
      <c r="O315" s="4"/>
      <c r="P315" s="1417"/>
      <c r="Q315" s="1417"/>
      <c r="R315" s="1417"/>
      <c r="S315" s="3"/>
      <c r="T315" s="3" t="s">
        <v>88</v>
      </c>
      <c r="V315" s="3"/>
      <c r="W315" s="3"/>
      <c r="X315" s="3"/>
      <c r="Y315" s="3"/>
      <c r="AA315" s="1424" t="s">
        <v>2674</v>
      </c>
      <c r="AB315" s="1424"/>
      <c r="AC315" s="1424"/>
      <c r="AD315" s="1424"/>
      <c r="AE315" s="1424"/>
      <c r="AF315" s="1424"/>
      <c r="AG315" s="4" t="s">
        <v>205</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2663</v>
      </c>
      <c r="I317" s="1348"/>
      <c r="J317" s="1348"/>
      <c r="K317" s="1348"/>
      <c r="L317" s="1348"/>
      <c r="M317" s="1348"/>
      <c r="N317" s="1371"/>
      <c r="O317" s="1371"/>
      <c r="P317" s="1371"/>
      <c r="Q317" s="1371"/>
      <c r="R317" s="1371"/>
      <c r="S317" s="3"/>
      <c r="T317" s="3" t="s">
        <v>76</v>
      </c>
      <c r="V317" s="3"/>
      <c r="W317" s="3"/>
      <c r="X317" s="3"/>
      <c r="Y317" s="3"/>
      <c r="AA317" s="1348" t="s">
        <v>2675</v>
      </c>
      <c r="AB317" s="1348"/>
      <c r="AC317" s="1348"/>
      <c r="AD317" s="1348"/>
      <c r="AE317" s="1348"/>
      <c r="AF317" s="1348"/>
      <c r="AG317" s="1371"/>
      <c r="AH317" s="1371"/>
      <c r="AI317" s="1371"/>
      <c r="AJ317" s="1371"/>
      <c r="AK317" s="1371"/>
    </row>
    <row r="318" spans="2:37" ht="12.95" customHeight="1"/>
    <row r="319" spans="2:37" ht="12.95" customHeight="1">
      <c r="B319" s="4" t="s">
        <v>907</v>
      </c>
      <c r="C319" s="3"/>
      <c r="D319" s="3"/>
      <c r="E319" s="3"/>
      <c r="F319" s="3"/>
      <c r="H319" s="1371"/>
      <c r="I319" s="1371"/>
      <c r="J319" s="1371"/>
      <c r="K319" s="1371"/>
      <c r="L319" s="1371"/>
      <c r="M319" s="1371"/>
      <c r="N319" s="1371"/>
      <c r="O319" s="1371"/>
      <c r="P319" s="1371"/>
      <c r="Q319" s="1371"/>
      <c r="R319" s="1371"/>
      <c r="T319" s="3" t="s">
        <v>365</v>
      </c>
      <c r="V319" s="3"/>
      <c r="W319" s="3"/>
      <c r="X319" s="3"/>
      <c r="Y319" s="3"/>
      <c r="AA319" s="1371" t="s">
        <v>2676</v>
      </c>
      <c r="AB319" s="1371"/>
      <c r="AC319" s="1371"/>
      <c r="AD319" s="1371"/>
      <c r="AE319" s="1371"/>
      <c r="AF319" s="1371"/>
      <c r="AG319" s="1371"/>
      <c r="AH319" s="1371"/>
      <c r="AI319" s="1371"/>
      <c r="AJ319" s="1371"/>
      <c r="AK319" s="1371"/>
    </row>
    <row r="320" spans="2:37" ht="12.95" customHeight="1">
      <c r="B320" s="3" t="s">
        <v>470</v>
      </c>
      <c r="C320" s="3"/>
      <c r="D320" s="3"/>
      <c r="E320" s="3"/>
      <c r="F320" s="3"/>
      <c r="H320" s="1348"/>
      <c r="I320" s="1348"/>
      <c r="J320" s="1348"/>
      <c r="K320" s="1348"/>
      <c r="L320" s="1348"/>
      <c r="M320" s="1348"/>
      <c r="N320" s="1348"/>
      <c r="O320" s="1348"/>
      <c r="P320" s="1348"/>
      <c r="Q320" s="1348"/>
      <c r="R320" s="1348"/>
      <c r="T320" s="3" t="s">
        <v>470</v>
      </c>
      <c r="V320" s="3"/>
      <c r="W320" s="3"/>
      <c r="X320" s="3"/>
      <c r="Y320" s="3"/>
      <c r="AA320" s="1348" t="s">
        <v>2677</v>
      </c>
      <c r="AB320" s="1348"/>
      <c r="AC320" s="1348"/>
      <c r="AD320" s="1348"/>
      <c r="AE320" s="1348"/>
      <c r="AF320" s="1348"/>
      <c r="AG320" s="1348"/>
      <c r="AH320" s="1348"/>
      <c r="AI320" s="1348"/>
      <c r="AJ320" s="1348"/>
      <c r="AK320" s="1348"/>
    </row>
    <row r="321" spans="2:37" ht="12.95" customHeight="1">
      <c r="B321" s="3" t="s">
        <v>471</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2678</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2679</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c r="I323" s="1424"/>
      <c r="J323" s="1424"/>
      <c r="K323" s="1424"/>
      <c r="L323" s="1424"/>
      <c r="M323" s="1424"/>
      <c r="N323" s="4" t="s">
        <v>205</v>
      </c>
      <c r="O323" s="4"/>
      <c r="P323" s="1417"/>
      <c r="Q323" s="1417"/>
      <c r="R323" s="1417"/>
      <c r="S323" s="3"/>
      <c r="T323" s="3" t="s">
        <v>88</v>
      </c>
      <c r="V323" s="3"/>
      <c r="W323" s="3"/>
      <c r="X323" s="3"/>
      <c r="Y323" s="3"/>
      <c r="AA323" s="1424" t="s">
        <v>2680</v>
      </c>
      <c r="AB323" s="1424"/>
      <c r="AC323" s="1424"/>
      <c r="AD323" s="1424"/>
      <c r="AE323" s="1424"/>
      <c r="AF323" s="1424"/>
      <c r="AG323" s="4" t="s">
        <v>205</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2681</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1" t="s">
        <v>2682</v>
      </c>
      <c r="I327" s="1371"/>
      <c r="J327" s="1371"/>
      <c r="K327" s="1371"/>
      <c r="L327" s="1371"/>
      <c r="M327" s="1371"/>
      <c r="N327" s="1371"/>
      <c r="O327" s="1371"/>
      <c r="P327" s="1371"/>
      <c r="Q327" s="1371"/>
      <c r="R327" s="1371"/>
      <c r="T327" s="3" t="s">
        <v>367</v>
      </c>
      <c r="V327" s="3"/>
      <c r="W327" s="3"/>
      <c r="X327" s="3"/>
      <c r="Y327" s="3"/>
      <c r="AA327" s="1371"/>
      <c r="AB327" s="1371"/>
      <c r="AC327" s="1371"/>
      <c r="AD327" s="1371"/>
      <c r="AE327" s="1371"/>
      <c r="AF327" s="1371"/>
      <c r="AG327" s="1371"/>
      <c r="AH327" s="1371"/>
      <c r="AI327" s="1371"/>
      <c r="AJ327" s="1371"/>
      <c r="AK327" s="1371"/>
    </row>
    <row r="328" spans="2:37" ht="12.95" customHeight="1">
      <c r="B328" s="3" t="s">
        <v>470</v>
      </c>
      <c r="C328" s="3"/>
      <c r="D328" s="3"/>
      <c r="E328" s="3"/>
      <c r="F328" s="3"/>
      <c r="H328" s="1348" t="s">
        <v>2683</v>
      </c>
      <c r="I328" s="1348"/>
      <c r="J328" s="1348"/>
      <c r="K328" s="1348"/>
      <c r="L328" s="1348"/>
      <c r="M328" s="1348"/>
      <c r="N328" s="1348"/>
      <c r="O328" s="1348"/>
      <c r="P328" s="1348"/>
      <c r="Q328" s="1348"/>
      <c r="R328" s="1348"/>
      <c r="T328" s="3" t="s">
        <v>470</v>
      </c>
      <c r="V328" s="3"/>
      <c r="W328" s="3"/>
      <c r="X328" s="3"/>
      <c r="Y328" s="3"/>
      <c r="AA328" s="1348"/>
      <c r="AB328" s="1348"/>
      <c r="AC328" s="1348"/>
      <c r="AD328" s="1348"/>
      <c r="AE328" s="1348"/>
      <c r="AF328" s="1348"/>
      <c r="AG328" s="1348"/>
      <c r="AH328" s="1348"/>
      <c r="AI328" s="1348"/>
      <c r="AJ328" s="1348"/>
      <c r="AK328" s="1348"/>
    </row>
    <row r="329" spans="2:37" ht="12.95" customHeight="1">
      <c r="B329" s="3" t="s">
        <v>471</v>
      </c>
      <c r="C329" s="3"/>
      <c r="D329" s="3"/>
      <c r="E329" s="3"/>
      <c r="F329" s="3"/>
      <c r="H329" s="1348" t="s">
        <v>2684</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t="s">
        <v>2685</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t="s">
        <v>2686</v>
      </c>
      <c r="I331" s="1424"/>
      <c r="J331" s="1424"/>
      <c r="K331" s="1424"/>
      <c r="L331" s="1424"/>
      <c r="M331" s="1424"/>
      <c r="N331" s="4" t="s">
        <v>205</v>
      </c>
      <c r="O331" s="4"/>
      <c r="P331" s="1417"/>
      <c r="Q331" s="1417"/>
      <c r="R331" s="1417"/>
      <c r="S331" s="3"/>
      <c r="T331" s="3" t="s">
        <v>88</v>
      </c>
      <c r="V331" s="3"/>
      <c r="W331" s="3"/>
      <c r="X331" s="3"/>
      <c r="Y331" s="3"/>
      <c r="AA331" s="1424"/>
      <c r="AB331" s="1424"/>
      <c r="AC331" s="1424"/>
      <c r="AD331" s="1424"/>
      <c r="AE331" s="1424"/>
      <c r="AF331" s="1424"/>
      <c r="AG331" s="4" t="s">
        <v>205</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2687</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1" t="s">
        <v>2688</v>
      </c>
      <c r="I335" s="1371"/>
      <c r="J335" s="1371"/>
      <c r="K335" s="1371"/>
      <c r="L335" s="1371"/>
      <c r="M335" s="1371"/>
      <c r="N335" s="1371"/>
      <c r="O335" s="1371"/>
      <c r="P335" s="1371"/>
      <c r="Q335" s="1371"/>
      <c r="R335" s="1371"/>
      <c r="T335" s="204" t="s">
        <v>885</v>
      </c>
      <c r="V335" s="3"/>
      <c r="W335" s="3"/>
      <c r="X335" s="3"/>
      <c r="Y335" s="3"/>
      <c r="AA335" s="1371" t="s">
        <v>2695</v>
      </c>
      <c r="AB335" s="1371"/>
      <c r="AC335" s="1371"/>
      <c r="AD335" s="1371"/>
      <c r="AE335" s="1371"/>
      <c r="AF335" s="1371"/>
      <c r="AG335" s="1371"/>
      <c r="AH335" s="1371"/>
      <c r="AI335" s="1371"/>
      <c r="AJ335" s="1371"/>
      <c r="AK335" s="1371"/>
    </row>
    <row r="336" spans="2:37" ht="12.95" customHeight="1">
      <c r="B336" s="3" t="s">
        <v>470</v>
      </c>
      <c r="C336" s="3"/>
      <c r="D336" s="3"/>
      <c r="E336" s="3"/>
      <c r="F336" s="3"/>
      <c r="H336" s="1348" t="s">
        <v>2689</v>
      </c>
      <c r="I336" s="1348"/>
      <c r="J336" s="1348"/>
      <c r="K336" s="1348"/>
      <c r="L336" s="1348"/>
      <c r="M336" s="1348"/>
      <c r="N336" s="1348"/>
      <c r="O336" s="1348"/>
      <c r="P336" s="1348"/>
      <c r="Q336" s="1348"/>
      <c r="R336" s="1348"/>
      <c r="T336" s="3" t="s">
        <v>470</v>
      </c>
      <c r="V336" s="3"/>
      <c r="W336" s="3"/>
      <c r="X336" s="3"/>
      <c r="Y336" s="3"/>
      <c r="AA336" s="1348" t="s">
        <v>2696</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2690</v>
      </c>
      <c r="I337" s="1348"/>
      <c r="J337" s="1348"/>
      <c r="K337" s="1348"/>
      <c r="L337" s="1348"/>
      <c r="M337" s="1348"/>
      <c r="N337" s="1348"/>
      <c r="O337" s="1348"/>
      <c r="P337" s="1348"/>
      <c r="Q337" s="1348"/>
      <c r="R337" s="1348"/>
      <c r="T337" s="3" t="s">
        <v>75</v>
      </c>
      <c r="V337" s="3"/>
      <c r="W337" s="3"/>
      <c r="X337" s="3"/>
      <c r="Y337" s="3"/>
      <c r="AA337" s="1348" t="s">
        <v>2697</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2691</v>
      </c>
      <c r="I338" s="1348"/>
      <c r="J338" s="1348"/>
      <c r="K338" s="1348"/>
      <c r="L338" s="1348"/>
      <c r="M338" s="1348"/>
      <c r="N338" s="1348"/>
      <c r="O338" s="1348"/>
      <c r="P338" s="1348"/>
      <c r="Q338" s="1348"/>
      <c r="R338" s="1348"/>
      <c r="T338" s="3" t="s">
        <v>87</v>
      </c>
      <c r="V338" s="3"/>
      <c r="W338" s="3"/>
      <c r="X338" s="3"/>
      <c r="Y338" s="3"/>
      <c r="AA338" s="1348" t="s">
        <v>2698</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4" t="s">
        <v>2692</v>
      </c>
      <c r="I339" s="1424"/>
      <c r="J339" s="1424"/>
      <c r="K339" s="1424"/>
      <c r="L339" s="1424"/>
      <c r="M339" s="1424"/>
      <c r="N339" s="4" t="s">
        <v>205</v>
      </c>
      <c r="O339" s="4"/>
      <c r="P339" s="1417"/>
      <c r="Q339" s="1417"/>
      <c r="R339" s="1417"/>
      <c r="S339" s="3"/>
      <c r="T339" s="3" t="s">
        <v>88</v>
      </c>
      <c r="V339" s="3"/>
      <c r="W339" s="3"/>
      <c r="X339" s="3"/>
      <c r="Y339" s="3"/>
      <c r="AA339" s="1424" t="s">
        <v>2699</v>
      </c>
      <c r="AB339" s="1424"/>
      <c r="AC339" s="1424"/>
      <c r="AD339" s="1424"/>
      <c r="AE339" s="1424"/>
      <c r="AF339" s="1424"/>
      <c r="AG339" s="4" t="s">
        <v>205</v>
      </c>
      <c r="AH339" s="4"/>
      <c r="AI339" s="1417"/>
      <c r="AJ339" s="1417"/>
      <c r="AK339" s="1417"/>
    </row>
    <row r="340" spans="1:66" ht="12.95" customHeight="1">
      <c r="B340" s="3" t="s">
        <v>89</v>
      </c>
      <c r="C340" s="3"/>
      <c r="D340" s="3"/>
      <c r="E340" s="3"/>
      <c r="F340" s="3"/>
      <c r="G340" s="3"/>
      <c r="H340" s="1346" t="s">
        <v>2693</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2694</v>
      </c>
      <c r="I341" s="1348"/>
      <c r="J341" s="1348"/>
      <c r="K341" s="1348"/>
      <c r="L341" s="1348"/>
      <c r="M341" s="1348"/>
      <c r="N341" s="1371"/>
      <c r="O341" s="1371"/>
      <c r="P341" s="1371"/>
      <c r="Q341" s="1371"/>
      <c r="R341" s="1371"/>
      <c r="S341" s="3"/>
      <c r="T341" s="3" t="s">
        <v>76</v>
      </c>
      <c r="V341" s="3"/>
      <c r="W341" s="3"/>
      <c r="X341" s="3"/>
      <c r="Y341" s="3"/>
      <c r="AA341" s="1348" t="s">
        <v>2700</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71"/>
      <c r="Q343" s="1371"/>
      <c r="R343" s="1371"/>
      <c r="S343" s="1371"/>
      <c r="T343" s="1371"/>
      <c r="U343" s="1371"/>
      <c r="V343" s="1371"/>
      <c r="W343" s="1371"/>
      <c r="X343" s="1371"/>
      <c r="Y343" s="1371"/>
      <c r="Z343" s="1371"/>
      <c r="AA343" s="1371"/>
      <c r="AB343" s="1371"/>
      <c r="AC343" s="1371"/>
      <c r="AD343" s="1371"/>
      <c r="AE343" s="1371"/>
      <c r="BN343" t="s">
        <v>668</v>
      </c>
    </row>
    <row r="344" spans="1:66" ht="12.95" customHeight="1">
      <c r="B344" s="4"/>
      <c r="C344" s="4"/>
      <c r="D344" s="4"/>
      <c r="E344" s="4"/>
      <c r="F344" s="4"/>
      <c r="I344" s="4" t="s">
        <v>470</v>
      </c>
      <c r="P344" s="1348"/>
      <c r="Q344" s="1348"/>
      <c r="R344" s="1348"/>
      <c r="S344" s="1348"/>
      <c r="T344" s="1348"/>
      <c r="U344" s="1348"/>
      <c r="V344" s="1348"/>
      <c r="W344" s="1348"/>
      <c r="X344" s="1348"/>
      <c r="Y344" s="1348"/>
      <c r="Z344" s="1348"/>
      <c r="AA344" s="1348"/>
      <c r="AB344" s="1348"/>
      <c r="AC344" s="1348"/>
      <c r="AD344" s="1348"/>
      <c r="AE344" s="1348"/>
      <c r="BN344" t="s">
        <v>544</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541</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2097</v>
      </c>
      <c r="M355" s="1332" t="s">
        <v>544</v>
      </c>
      <c r="N355" s="1332"/>
      <c r="P355" t="s">
        <v>1649</v>
      </c>
      <c r="AJ355" s="1332" t="s">
        <v>668</v>
      </c>
      <c r="AK355" s="1332"/>
    </row>
    <row r="356" spans="1:46" ht="12.95" customHeight="1">
      <c r="D356" s="3" t="s">
        <v>1638</v>
      </c>
      <c r="M356" s="1332" t="s">
        <v>590</v>
      </c>
      <c r="N356" s="1332"/>
      <c r="P356" s="3" t="s">
        <v>1718</v>
      </c>
      <c r="AJ356" s="1448">
        <v>0</v>
      </c>
      <c r="AK356" s="1448"/>
    </row>
    <row r="357" spans="1:46" ht="12.95" customHeight="1">
      <c r="D357" s="3" t="s">
        <v>703</v>
      </c>
      <c r="M357" s="1332" t="s">
        <v>590</v>
      </c>
      <c r="N357" s="1332"/>
      <c r="P357" t="s">
        <v>1648</v>
      </c>
      <c r="AJ357" s="1332" t="s">
        <v>590</v>
      </c>
      <c r="AK357" s="1332"/>
    </row>
    <row r="358" spans="1:46" ht="12.95" customHeight="1">
      <c r="D358" s="3" t="s">
        <v>704</v>
      </c>
      <c r="M358" s="1332" t="s">
        <v>590</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590</v>
      </c>
      <c r="O363" s="1332"/>
      <c r="P363" s="40"/>
      <c r="Q363" s="40"/>
      <c r="R363" s="40"/>
      <c r="S363" s="40"/>
      <c r="T363" s="40"/>
      <c r="U363" s="40"/>
      <c r="V363" s="40"/>
      <c r="W363" s="40"/>
      <c r="X363" s="40"/>
      <c r="Y363" s="40"/>
      <c r="Z363" s="40"/>
      <c r="AC363" s="40"/>
      <c r="AD363" s="40"/>
      <c r="AE363" s="40"/>
    </row>
    <row r="364" spans="1:46" ht="12.95" customHeight="1">
      <c r="E364" t="s">
        <v>369</v>
      </c>
      <c r="Y364" s="1332" t="s">
        <v>590</v>
      </c>
      <c r="Z364" s="1332"/>
    </row>
    <row r="365" spans="1:46" ht="12.95" customHeight="1">
      <c r="D365" s="4" t="s">
        <v>977</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590</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705</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447</v>
      </c>
      <c r="F370" s="4"/>
      <c r="G370" s="4"/>
      <c r="H370" s="4"/>
      <c r="I370" s="4"/>
      <c r="J370" s="4"/>
      <c r="K370" s="4"/>
      <c r="L370" s="4"/>
      <c r="N370" s="1664"/>
      <c r="O370" s="1664"/>
      <c r="P370" s="1664"/>
      <c r="Q370" s="1664"/>
      <c r="R370" s="4"/>
      <c r="U370" s="4" t="s">
        <v>448</v>
      </c>
      <c r="V370" s="4"/>
      <c r="W370" s="4"/>
      <c r="X370" s="4"/>
      <c r="Y370" s="4"/>
      <c r="Z370" s="4"/>
      <c r="AA370" s="4"/>
      <c r="AB370" s="4"/>
      <c r="AC370" s="1664"/>
      <c r="AD370" s="1664"/>
      <c r="AE370" s="1664"/>
      <c r="AF370" s="1664"/>
    </row>
    <row r="371" spans="1:34" ht="12.95" customHeight="1">
      <c r="E371" s="4" t="s">
        <v>449</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304</v>
      </c>
      <c r="S377" s="1813"/>
      <c r="T377" s="1813"/>
      <c r="U377" s="1" t="s">
        <v>305</v>
      </c>
      <c r="V377" s="1813"/>
      <c r="W377" s="1813"/>
      <c r="Y377" t="s">
        <v>2078</v>
      </c>
      <c r="AC377" s="27" t="s">
        <v>304</v>
      </c>
      <c r="AD377" s="1813"/>
      <c r="AE377" s="1813"/>
      <c r="AF377" s="1" t="s">
        <v>305</v>
      </c>
      <c r="AG377" s="1813"/>
      <c r="AH377" s="1813"/>
    </row>
    <row r="378" spans="1:34" ht="12.95" customHeight="1">
      <c r="E378" s="4" t="s">
        <v>986</v>
      </c>
      <c r="F378" s="4"/>
      <c r="G378" s="4"/>
      <c r="H378" s="4"/>
      <c r="I378" s="4"/>
      <c r="J378" s="4"/>
      <c r="K378" s="4"/>
      <c r="L378" s="4"/>
      <c r="N378" s="1813"/>
      <c r="O378" s="1813"/>
      <c r="P378" s="1813"/>
    </row>
    <row r="379" spans="1:34" ht="12.95" customHeight="1">
      <c r="E379" s="204" t="s">
        <v>2084</v>
      </c>
      <c r="F379" s="4"/>
      <c r="G379" s="4"/>
      <c r="H379" s="4"/>
      <c r="I379" s="4"/>
      <c r="J379" s="4"/>
      <c r="K379" s="4"/>
      <c r="L379" s="4"/>
      <c r="AG379" s="1802" t="s">
        <v>590</v>
      </c>
      <c r="AH379" s="1802"/>
    </row>
    <row r="380" spans="1:34" ht="12.95" customHeight="1">
      <c r="E380" s="4"/>
      <c r="F380" s="4"/>
      <c r="G380" s="4" t="s">
        <v>2085</v>
      </c>
      <c r="H380" s="4"/>
      <c r="I380" s="4"/>
      <c r="J380" s="4"/>
      <c r="K380" s="4"/>
      <c r="L380" s="4"/>
      <c r="AG380" s="1802" t="s">
        <v>590</v>
      </c>
      <c r="AH380" s="1802"/>
    </row>
    <row r="381" spans="1:34" ht="12.95" customHeight="1">
      <c r="E381" s="4"/>
      <c r="F381" s="4"/>
      <c r="G381" s="320" t="s">
        <v>987</v>
      </c>
      <c r="H381" s="4"/>
      <c r="I381" s="4"/>
      <c r="J381" s="4"/>
      <c r="K381" s="4"/>
      <c r="L381" s="4"/>
      <c r="V381" s="1332" t="s">
        <v>590</v>
      </c>
      <c r="W381" s="1332"/>
      <c r="Y381" s="22" t="s">
        <v>979</v>
      </c>
    </row>
    <row r="382" spans="1:34" ht="12.95" customHeight="1">
      <c r="E382" s="4" t="s">
        <v>980</v>
      </c>
      <c r="F382" s="4"/>
      <c r="G382" s="4"/>
      <c r="H382" s="4"/>
      <c r="I382" s="4"/>
      <c r="J382" s="4"/>
      <c r="K382" s="4"/>
      <c r="L382" s="4"/>
      <c r="V382" s="1332" t="s">
        <v>590</v>
      </c>
      <c r="W382" s="1332"/>
      <c r="Y382" s="4" t="s">
        <v>981</v>
      </c>
    </row>
    <row r="383" spans="1:34" ht="12.95" customHeight="1"/>
    <row r="384" spans="1:34" ht="12.95" customHeight="1">
      <c r="A384" s="2" t="s">
        <v>78</v>
      </c>
      <c r="B384" s="2"/>
    </row>
    <row r="385" spans="4:36" ht="12.95" customHeight="1">
      <c r="D385" t="s">
        <v>427</v>
      </c>
      <c r="J385" s="1371" t="s">
        <v>2701</v>
      </c>
      <c r="K385" s="1371"/>
      <c r="L385" s="1371"/>
      <c r="M385" s="1371"/>
      <c r="N385" s="1371"/>
      <c r="O385" s="1371"/>
      <c r="P385" s="1371"/>
      <c r="Q385" s="1371"/>
      <c r="R385" s="1371"/>
      <c r="S385" s="1371"/>
      <c r="T385" s="1371"/>
      <c r="U385" s="1371"/>
      <c r="V385" s="8" t="s">
        <v>83</v>
      </c>
      <c r="W385" s="8"/>
      <c r="X385" s="8"/>
      <c r="Y385" s="8"/>
      <c r="Z385" s="8"/>
      <c r="AA385" s="8"/>
      <c r="AB385" s="8"/>
      <c r="AC385" s="1371" t="s">
        <v>2702</v>
      </c>
      <c r="AD385" s="1371"/>
      <c r="AE385" s="1371"/>
      <c r="AF385" s="1371"/>
      <c r="AG385" s="1371"/>
      <c r="AH385" s="1371"/>
      <c r="AI385" s="1371"/>
      <c r="AJ385" s="1371"/>
    </row>
    <row r="386" spans="4:36" ht="12.95" customHeight="1">
      <c r="D386" s="3" t="s">
        <v>1181</v>
      </c>
      <c r="J386" s="1348" t="s">
        <v>2703</v>
      </c>
      <c r="K386" s="1348"/>
      <c r="L386" s="1348"/>
      <c r="M386" s="1348"/>
      <c r="N386" s="1348"/>
      <c r="O386" s="1348"/>
      <c r="P386" s="1348"/>
      <c r="Q386" s="1348"/>
      <c r="R386" s="1348"/>
      <c r="S386" s="1348"/>
      <c r="T386" s="1348"/>
      <c r="U386" s="1348"/>
      <c r="V386" s="3" t="s">
        <v>1181</v>
      </c>
      <c r="W386" s="8"/>
      <c r="X386" s="8"/>
      <c r="Y386" s="8"/>
      <c r="Z386" s="8"/>
      <c r="AA386" s="8"/>
      <c r="AB386" s="8"/>
      <c r="AC386" s="1371"/>
      <c r="AD386" s="1371"/>
      <c r="AE386" s="1371"/>
      <c r="AF386" s="1371"/>
      <c r="AG386" s="1371"/>
      <c r="AH386" s="1371"/>
      <c r="AI386" s="1371"/>
      <c r="AJ386" s="1371"/>
    </row>
    <row r="387" spans="4:36" ht="12.95" customHeight="1">
      <c r="D387" s="3" t="s">
        <v>440</v>
      </c>
      <c r="J387" s="1348" t="s">
        <v>2704</v>
      </c>
      <c r="K387" s="1348"/>
      <c r="L387" s="1348"/>
      <c r="M387" s="1348"/>
      <c r="N387" s="1348"/>
      <c r="O387" s="1348"/>
      <c r="P387" s="1348"/>
      <c r="Q387" s="1348"/>
      <c r="R387" s="1348"/>
      <c r="S387" s="1348"/>
      <c r="T387" s="1348"/>
      <c r="U387" s="1348"/>
      <c r="V387" s="3" t="s">
        <v>440</v>
      </c>
      <c r="W387" s="8"/>
      <c r="X387" s="8"/>
      <c r="Y387" s="8"/>
      <c r="Z387" s="8"/>
      <c r="AA387" s="8"/>
      <c r="AB387" s="8"/>
      <c r="AC387" s="1371"/>
      <c r="AD387" s="1371"/>
      <c r="AE387" s="1371"/>
      <c r="AF387" s="1371"/>
      <c r="AG387" s="1371"/>
      <c r="AH387" s="1371"/>
      <c r="AI387" s="1371"/>
      <c r="AJ387" s="1371"/>
    </row>
    <row r="388" spans="4:36" ht="12.95" customHeight="1">
      <c r="D388" t="s">
        <v>1177</v>
      </c>
      <c r="J388" s="1823" t="s">
        <v>2623</v>
      </c>
      <c r="K388" s="1402"/>
      <c r="L388" s="1402"/>
      <c r="M388" s="1402"/>
      <c r="N388" s="1402"/>
      <c r="O388" s="1402"/>
      <c r="P388" s="1402"/>
      <c r="Q388" s="1402"/>
      <c r="R388" s="1402"/>
      <c r="S388" s="1402"/>
      <c r="T388" s="1402"/>
      <c r="U388" s="1402"/>
      <c r="V388" s="1416" t="s">
        <v>2639</v>
      </c>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45876</v>
      </c>
      <c r="R389" s="1751"/>
      <c r="S389" s="1751"/>
      <c r="T389" s="1751"/>
      <c r="U389" s="1751"/>
      <c r="V389" t="s">
        <v>308</v>
      </c>
      <c r="AI389" s="1332" t="s">
        <v>544</v>
      </c>
      <c r="AJ389" s="1332"/>
    </row>
    <row r="390" spans="4:36" ht="12.95" customHeight="1">
      <c r="D390" t="s">
        <v>5</v>
      </c>
      <c r="Q390" s="1535">
        <v>46387</v>
      </c>
      <c r="R390" s="1818"/>
      <c r="S390" s="1818"/>
      <c r="T390" s="1818"/>
      <c r="U390" s="1818"/>
      <c r="W390" s="21" t="s">
        <v>74</v>
      </c>
      <c r="AG390" s="1816">
        <v>0</v>
      </c>
      <c r="AH390" s="1816"/>
      <c r="AI390" s="1816"/>
      <c r="AJ390" s="1816"/>
    </row>
    <row r="391" spans="4:36" ht="12.95" customHeight="1">
      <c r="D391" t="s">
        <v>426</v>
      </c>
      <c r="Q391" s="1828">
        <v>6065000</v>
      </c>
      <c r="R391" s="1828"/>
      <c r="S391" s="1828"/>
      <c r="T391" s="1828"/>
      <c r="U391" s="1828"/>
      <c r="V391" s="3" t="s">
        <v>1180</v>
      </c>
      <c r="AG391" s="1817">
        <v>46143</v>
      </c>
      <c r="AH391" s="1817"/>
      <c r="AI391" s="1817"/>
      <c r="AJ391" s="1817"/>
    </row>
    <row r="392" spans="4:36" ht="12.95" customHeight="1">
      <c r="D392" t="s">
        <v>88</v>
      </c>
      <c r="I392" s="1423" t="s">
        <v>590</v>
      </c>
      <c r="J392" s="1424"/>
      <c r="K392" s="1424"/>
      <c r="L392" s="1424"/>
      <c r="M392" s="1424"/>
      <c r="N392" s="1424"/>
      <c r="Q392" s="4" t="s">
        <v>205</v>
      </c>
      <c r="S392" s="1827"/>
      <c r="T392" s="1827"/>
      <c r="U392" s="1827"/>
      <c r="V392" t="s">
        <v>73</v>
      </c>
      <c r="AI392" s="1332" t="s">
        <v>668</v>
      </c>
      <c r="AJ392" s="1332"/>
    </row>
    <row r="393" spans="4:36" ht="12.95" customHeight="1">
      <c r="D393" t="s">
        <v>309</v>
      </c>
      <c r="Q393" s="1408">
        <v>11139.74</v>
      </c>
      <c r="R393" s="1408"/>
      <c r="S393" s="1408"/>
      <c r="T393" s="1408"/>
      <c r="U393" s="1408"/>
      <c r="V393" t="s">
        <v>310</v>
      </c>
      <c r="AG393" s="1815">
        <v>153677.84</v>
      </c>
      <c r="AH393" s="1816"/>
      <c r="AI393" s="1816"/>
      <c r="AJ393" s="1816"/>
    </row>
    <row r="394" spans="4:36" ht="12.95" customHeight="1">
      <c r="D394" t="s">
        <v>311</v>
      </c>
      <c r="Q394" s="1755">
        <v>1.0581999999999999E-2</v>
      </c>
      <c r="R394" s="1755"/>
      <c r="S394" s="1755"/>
      <c r="T394" s="1755"/>
      <c r="U394" s="1755"/>
      <c r="V394" t="s">
        <v>1162</v>
      </c>
      <c r="AG394" s="1816">
        <v>0</v>
      </c>
      <c r="AH394" s="1816"/>
      <c r="AI394" s="1816"/>
      <c r="AJ394" s="1816"/>
    </row>
    <row r="395" spans="4:36" ht="12.95" customHeight="1">
      <c r="D395" t="s">
        <v>1161</v>
      </c>
      <c r="AG395" s="1816">
        <v>0</v>
      </c>
      <c r="AH395" s="1816"/>
      <c r="AI395" s="1816"/>
      <c r="AJ395" s="1816"/>
    </row>
    <row r="396" spans="4:36" ht="12.95" customHeight="1">
      <c r="AG396" s="456"/>
      <c r="AH396" s="456"/>
      <c r="AI396" s="456"/>
      <c r="AJ396" s="456"/>
    </row>
    <row r="397" spans="4:36" ht="12.95" customHeight="1">
      <c r="D397" s="3" t="s">
        <v>2141</v>
      </c>
      <c r="AG397" s="456"/>
      <c r="AH397" s="456"/>
      <c r="AI397" s="1332" t="s">
        <v>668</v>
      </c>
      <c r="AJ397" s="1332"/>
    </row>
    <row r="398" spans="4:36" ht="12.95" customHeight="1">
      <c r="D398" s="3" t="s">
        <v>1666</v>
      </c>
      <c r="T398" s="1749" t="s">
        <v>590</v>
      </c>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1665</v>
      </c>
      <c r="T399" s="1750" t="s">
        <v>590</v>
      </c>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1659</v>
      </c>
      <c r="S401" s="1750" t="s">
        <v>668</v>
      </c>
      <c r="T401" s="1750"/>
      <c r="U401" s="1750"/>
      <c r="V401" t="s">
        <v>1660</v>
      </c>
      <c r="AG401" s="1820"/>
      <c r="AH401" s="1820"/>
      <c r="AI401" s="1820"/>
      <c r="AJ401" s="1820"/>
    </row>
    <row r="402" spans="1:36" ht="12.95" customHeight="1">
      <c r="D402" s="3" t="s">
        <v>1657</v>
      </c>
      <c r="S402" s="1750" t="s">
        <v>590</v>
      </c>
      <c r="T402" s="1750"/>
      <c r="U402" s="1750"/>
      <c r="V402" t="s">
        <v>1662</v>
      </c>
      <c r="AE402" s="1814"/>
      <c r="AF402" s="1814"/>
      <c r="AG402" s="1814"/>
      <c r="AH402" s="1814"/>
      <c r="AI402" s="1814"/>
      <c r="AJ402" s="1814"/>
    </row>
    <row r="403" spans="1:36" ht="12.95" customHeight="1">
      <c r="D403" s="3" t="s">
        <v>1658</v>
      </c>
      <c r="K403" s="1796" t="s">
        <v>590</v>
      </c>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1661</v>
      </c>
      <c r="K404" s="1796" t="s">
        <v>590</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1664</v>
      </c>
      <c r="E405" s="477"/>
      <c r="F405" s="477"/>
      <c r="G405" s="477"/>
      <c r="H405" s="477"/>
      <c r="I405" s="477"/>
      <c r="J405" s="477"/>
      <c r="K405" s="477"/>
      <c r="L405" s="477"/>
      <c r="M405" s="477"/>
      <c r="N405" s="477"/>
      <c r="O405" s="477"/>
      <c r="P405" s="477"/>
      <c r="Q405" s="477"/>
      <c r="R405" s="477"/>
      <c r="S405" s="1826" t="s">
        <v>1183</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416" t="s">
        <v>2705</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590</v>
      </c>
      <c r="S411" s="1332"/>
      <c r="AC411" s="27" t="s">
        <v>569</v>
      </c>
      <c r="AD411" s="1664"/>
      <c r="AE411" s="1664"/>
    </row>
    <row r="412" spans="1:36" ht="12.95" customHeight="1">
      <c r="E412" t="s">
        <v>107</v>
      </c>
      <c r="R412" s="1332" t="s">
        <v>544</v>
      </c>
      <c r="S412" s="1332"/>
      <c r="AC412" s="27" t="s">
        <v>569</v>
      </c>
      <c r="AD412" s="1664">
        <v>3</v>
      </c>
      <c r="AE412" s="1664"/>
    </row>
    <row r="413" spans="1:36" ht="12.95" customHeight="1">
      <c r="E413" t="s">
        <v>108</v>
      </c>
      <c r="S413" s="1332" t="s">
        <v>590</v>
      </c>
      <c r="T413" s="1332"/>
    </row>
    <row r="414" spans="1:36" ht="12.95" customHeight="1">
      <c r="E414" t="s">
        <v>169</v>
      </c>
      <c r="H414" s="1756" t="s">
        <v>2748</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589</v>
      </c>
      <c r="B417" s="2"/>
      <c r="C417" s="2"/>
      <c r="D417" s="2" t="s">
        <v>114</v>
      </c>
      <c r="AF417" s="2" t="s">
        <v>956</v>
      </c>
    </row>
    <row r="418" spans="1:39" ht="12.95" customHeight="1">
      <c r="E418" s="1813"/>
      <c r="F418" s="1813"/>
      <c r="G418" s="1813"/>
      <c r="H418" s="13" t="s">
        <v>115</v>
      </c>
      <c r="I418" s="1813"/>
      <c r="J418" s="1813"/>
      <c r="K418" s="1813"/>
      <c r="L418" t="s">
        <v>116</v>
      </c>
      <c r="N418" s="27" t="s">
        <v>574</v>
      </c>
      <c r="P418" s="1759">
        <v>11.76</v>
      </c>
      <c r="Q418" s="1759"/>
      <c r="R418" s="1759"/>
      <c r="S418" t="s">
        <v>117</v>
      </c>
      <c r="W418" s="1825">
        <f>IF(E418&gt;0,(E418*I418),(P418*43560))</f>
        <v>512265.6</v>
      </c>
      <c r="X418" s="1825"/>
      <c r="Y418" s="1825"/>
      <c r="Z418" t="s">
        <v>118</v>
      </c>
      <c r="AF418" s="1760">
        <f>IFERROR(IF(P418&gt;0,(AG437/P418),(AG437/(W418/43560))),0)</f>
        <v>20.068027210884352</v>
      </c>
      <c r="AG418" s="1760"/>
      <c r="AH418" s="1760"/>
      <c r="AM418" s="3"/>
    </row>
    <row r="419" spans="1:39" ht="12.95" customHeight="1">
      <c r="E419" t="s">
        <v>51</v>
      </c>
    </row>
    <row r="420" spans="1:39" ht="12.95"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5" customHeight="1">
      <c r="E421" s="118" t="s">
        <v>1735</v>
      </c>
      <c r="F421" s="1013"/>
      <c r="G421" s="1013"/>
      <c r="H421" s="1013"/>
      <c r="I421" s="1758">
        <v>11.13</v>
      </c>
      <c r="J421" s="1758"/>
      <c r="K421" s="1758"/>
      <c r="L421" s="1013"/>
      <c r="M421" s="118"/>
      <c r="N421" s="1013"/>
      <c r="O421" s="1013"/>
      <c r="P421" s="1441">
        <f>(DU755+DU778+DU800)/I421</f>
        <v>52.650494159928115</v>
      </c>
      <c r="Q421" s="1441"/>
      <c r="R421" s="1441"/>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v>12</v>
      </c>
      <c r="Q424" s="1332"/>
      <c r="S424" t="s">
        <v>188</v>
      </c>
      <c r="AE424" s="1332">
        <v>10</v>
      </c>
      <c r="AF424" s="1332"/>
    </row>
    <row r="425" spans="1:39" ht="12.95" customHeight="1">
      <c r="E425" t="s">
        <v>189</v>
      </c>
      <c r="P425" s="1332">
        <v>2</v>
      </c>
      <c r="Q425" s="1332"/>
      <c r="S425" t="s">
        <v>131</v>
      </c>
      <c r="AE425" s="1332" t="s">
        <v>590</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607</v>
      </c>
      <c r="P429" s="1"/>
      <c r="Q429" s="1332" t="s">
        <v>544</v>
      </c>
      <c r="R429" s="1332"/>
    </row>
    <row r="430" spans="1:39" ht="12.95" customHeight="1">
      <c r="F430" t="s">
        <v>608</v>
      </c>
      <c r="P430" s="1"/>
      <c r="Q430" s="1"/>
      <c r="AF430" s="1332" t="s">
        <v>590</v>
      </c>
      <c r="AG430" s="1822"/>
    </row>
    <row r="431" spans="1:39" ht="12.95" customHeight="1"/>
    <row r="432" spans="1:39" ht="12.95" customHeight="1">
      <c r="A432" s="2"/>
      <c r="B432" s="2"/>
      <c r="C432" s="2"/>
      <c r="E432" s="4" t="s">
        <v>307</v>
      </c>
      <c r="Z432" s="1332" t="s">
        <v>668</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2" t="s">
        <v>590</v>
      </c>
      <c r="AA434" s="1332"/>
    </row>
    <row r="435" spans="1:55" ht="12.95" customHeight="1"/>
    <row r="436" spans="1:55" ht="12.95" customHeight="1">
      <c r="A436" s="2" t="s">
        <v>466</v>
      </c>
      <c r="B436" s="2"/>
      <c r="C436" s="2"/>
      <c r="D436" s="2" t="s">
        <v>763</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1"/>
      <c r="AG437" s="1819">
        <v>236</v>
      </c>
      <c r="AH437" s="1819"/>
      <c r="AI437" s="1819"/>
      <c r="AJ437" s="1819"/>
    </row>
    <row r="438" spans="1:55" ht="12.95" customHeight="1">
      <c r="D438" s="1742" t="s">
        <v>1221</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4"/>
      <c r="AI438" s="1614"/>
      <c r="AJ438" s="1614"/>
    </row>
    <row r="439" spans="1:55" ht="12.95" customHeight="1">
      <c r="D439" s="1742" t="s">
        <v>1030</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9">
        <v>234</v>
      </c>
      <c r="AH439" s="1819"/>
      <c r="AI439" s="1819"/>
      <c r="AJ439" s="1819"/>
    </row>
    <row r="440" spans="1:55" ht="12.95" customHeight="1">
      <c r="D440" s="1742" t="s">
        <v>1031</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9">
        <v>234</v>
      </c>
      <c r="AH440" s="1819"/>
      <c r="AI440" s="1819"/>
      <c r="AJ440" s="1819"/>
    </row>
    <row r="441" spans="1:55" ht="12.95" customHeight="1">
      <c r="D441" s="1742" t="s">
        <v>1033</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4">
        <f>IF(ISERROR(AG440/AG439),0,AG440/AG439)</f>
        <v>1</v>
      </c>
      <c r="AH441" s="1804"/>
      <c r="AI441" s="1804"/>
      <c r="AJ441" s="1804"/>
    </row>
    <row r="442" spans="1:55" ht="12.95" customHeight="1">
      <c r="D442" s="1742" t="s">
        <v>1032</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253034</v>
      </c>
      <c r="AH442" s="1695"/>
      <c r="AI442" s="1695"/>
      <c r="AJ442" s="1695"/>
    </row>
    <row r="443" spans="1:55" ht="12.95" customHeight="1">
      <c r="D443" s="1742" t="s">
        <v>1034</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253034</v>
      </c>
      <c r="AH443" s="1695"/>
      <c r="AI443" s="1695"/>
      <c r="AJ443" s="1695"/>
    </row>
    <row r="444" spans="1:55" ht="12.95" customHeight="1">
      <c r="D444" s="1742" t="s">
        <v>1035</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4">
        <f>IF(ISERROR(AG443/AG442),0,AG443/AG442)</f>
        <v>1</v>
      </c>
      <c r="AH444" s="1804"/>
      <c r="AI444" s="1804"/>
      <c r="AJ444" s="1804"/>
    </row>
    <row r="445" spans="1:55" ht="12.95" customHeight="1">
      <c r="D445" s="1742" t="s">
        <v>1036</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4">
        <f>MIN(IF(AG441&gt;AG444,AG444,AG441),1)</f>
        <v>1</v>
      </c>
      <c r="AH445" s="1804"/>
      <c r="AI445" s="1804"/>
      <c r="AJ445" s="1804"/>
    </row>
    <row r="446" spans="1:55" ht="12.95" customHeight="1">
      <c r="D446" s="1742" t="s">
        <v>2086</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1"/>
      <c r="AG446" s="1695">
        <f>7483</f>
        <v>7483</v>
      </c>
      <c r="AH446" s="1695"/>
      <c r="AI446" s="1695"/>
      <c r="AJ446" s="1695"/>
      <c r="AZ446" s="34"/>
      <c r="BA446" s="34"/>
      <c r="BB446" s="34"/>
      <c r="BC446" s="34"/>
    </row>
    <row r="447" spans="1:55" ht="12.95" customHeight="1">
      <c r="D447" s="1626" t="s">
        <v>568</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1"/>
      <c r="AG447" s="1695">
        <v>0</v>
      </c>
      <c r="AH447" s="1695"/>
      <c r="AI447" s="1695"/>
      <c r="AJ447" s="1695"/>
      <c r="AZ447" s="3"/>
      <c r="BA447" s="3"/>
      <c r="BB447" s="3"/>
      <c r="BC447" s="3"/>
    </row>
    <row r="448" spans="1:55" ht="12.95" customHeight="1">
      <c r="D448" s="1742" t="s">
        <v>1204</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1"/>
      <c r="AG448" s="1695">
        <v>2368</v>
      </c>
      <c r="AH448" s="1695"/>
      <c r="AI448" s="1695"/>
      <c r="AJ448" s="1695"/>
      <c r="AZ448" s="3"/>
      <c r="BA448" s="3"/>
      <c r="BB448" s="3"/>
      <c r="BC448" s="3"/>
    </row>
    <row r="449" spans="1:55" ht="12.95" customHeight="1">
      <c r="D449" s="1742" t="s">
        <v>1037</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1"/>
      <c r="AG449" s="1695">
        <v>0</v>
      </c>
      <c r="AH449" s="1695"/>
      <c r="AI449" s="1695"/>
      <c r="AJ449" s="1695"/>
      <c r="BB449" s="3"/>
      <c r="BC449" s="3"/>
    </row>
    <row r="450" spans="1:55" ht="12.95" customHeight="1">
      <c r="D450" s="1766" t="s">
        <v>1038</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262885</v>
      </c>
      <c r="AH450" s="1844"/>
      <c r="AI450" s="1844"/>
      <c r="AJ450" s="1844"/>
      <c r="AZ450" s="3"/>
      <c r="BA450" s="3"/>
      <c r="BB450" s="3"/>
      <c r="BC450" s="3"/>
    </row>
    <row r="451" spans="1:55" ht="12.95" customHeight="1">
      <c r="D451" s="1745" t="s">
        <v>1205</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531528.03389830503</v>
      </c>
      <c r="AD454" s="1810"/>
      <c r="AE454" s="1810"/>
      <c r="AF454" s="1810"/>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531528.03389830503</v>
      </c>
      <c r="AD455" s="1810"/>
      <c r="AE455" s="1810"/>
      <c r="AF455" s="1810"/>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464556.00847457629</v>
      </c>
      <c r="AD456" s="1810"/>
      <c r="AE456" s="1810"/>
      <c r="AF456" s="1810"/>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2098</v>
      </c>
      <c r="E465" s="1753"/>
      <c r="F465" s="1753"/>
      <c r="G465" s="1753"/>
      <c r="H465" s="1753"/>
      <c r="I465" s="1753"/>
      <c r="J465" s="1753"/>
      <c r="K465" s="1753"/>
      <c r="L465" s="1753"/>
      <c r="M465" s="1753"/>
      <c r="N465" s="1753"/>
      <c r="O465" s="1753"/>
      <c r="P465" s="1753"/>
      <c r="Q465" s="1753"/>
      <c r="R465" s="1753"/>
      <c r="S465" s="1753"/>
      <c r="T465" s="1753"/>
      <c r="U465" s="1753"/>
      <c r="V465" s="1754"/>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692</v>
      </c>
      <c r="E466" s="1753"/>
      <c r="F466" s="1753"/>
      <c r="G466" s="1753"/>
      <c r="H466" s="1753"/>
      <c r="I466" s="1753"/>
      <c r="J466" s="1753"/>
      <c r="K466" s="1753"/>
      <c r="L466" s="1753"/>
      <c r="M466" s="1753"/>
      <c r="N466" s="1753"/>
      <c r="O466" s="1753"/>
      <c r="P466" s="1753"/>
      <c r="Q466" s="1753"/>
      <c r="R466" s="1753"/>
      <c r="S466" s="1753"/>
      <c r="T466" s="1753"/>
      <c r="U466" s="1753"/>
      <c r="V466" s="1754"/>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693</v>
      </c>
      <c r="E467" s="1753"/>
      <c r="F467" s="1753"/>
      <c r="G467" s="1753"/>
      <c r="H467" s="1753"/>
      <c r="I467" s="1753"/>
      <c r="J467" s="1753"/>
      <c r="K467" s="1753"/>
      <c r="L467" s="1753"/>
      <c r="M467" s="1753"/>
      <c r="N467" s="1753"/>
      <c r="O467" s="1753"/>
      <c r="P467" s="1753"/>
      <c r="Q467" s="1753"/>
      <c r="R467" s="1753"/>
      <c r="S467" s="1753"/>
      <c r="T467" s="1753"/>
      <c r="U467" s="1753"/>
      <c r="V467" s="1754"/>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694</v>
      </c>
      <c r="E468" s="1753"/>
      <c r="F468" s="1753"/>
      <c r="G468" s="1753"/>
      <c r="H468" s="1753"/>
      <c r="I468" s="1753"/>
      <c r="J468" s="1753"/>
      <c r="K468" s="1753"/>
      <c r="L468" s="1753"/>
      <c r="M468" s="1753"/>
      <c r="N468" s="1753"/>
      <c r="O468" s="1753"/>
      <c r="P468" s="1753"/>
      <c r="Q468" s="1753"/>
      <c r="R468" s="1753"/>
      <c r="S468" s="1753"/>
      <c r="T468" s="1753"/>
      <c r="U468" s="1753"/>
      <c r="V468" s="1754"/>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880</v>
      </c>
      <c r="E469" s="1753"/>
      <c r="F469" s="1753"/>
      <c r="G469" s="1753"/>
      <c r="H469" s="1753"/>
      <c r="I469" s="1753"/>
      <c r="J469" s="1753"/>
      <c r="K469" s="1753"/>
      <c r="L469" s="1753"/>
      <c r="M469" s="1753"/>
      <c r="N469" s="1753"/>
      <c r="O469" s="1753"/>
      <c r="P469" s="1753"/>
      <c r="Q469" s="1753"/>
      <c r="R469" s="1753"/>
      <c r="S469" s="1753"/>
      <c r="T469" s="1753"/>
      <c r="U469" s="1753"/>
      <c r="V469" s="1754"/>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695</v>
      </c>
      <c r="E470" s="1753"/>
      <c r="F470" s="1753"/>
      <c r="G470" s="1753"/>
      <c r="H470" s="1753"/>
      <c r="I470" s="1753"/>
      <c r="J470" s="1753"/>
      <c r="K470" s="1753"/>
      <c r="L470" s="1753"/>
      <c r="M470" s="1753"/>
      <c r="N470" s="1753"/>
      <c r="O470" s="1753"/>
      <c r="P470" s="1753"/>
      <c r="Q470" s="1753"/>
      <c r="R470" s="1753"/>
      <c r="S470" s="1753"/>
      <c r="T470" s="1753"/>
      <c r="U470" s="1753"/>
      <c r="V470" s="1754"/>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1011</v>
      </c>
      <c r="E471" s="1753"/>
      <c r="F471" s="1753"/>
      <c r="G471" s="1753"/>
      <c r="H471" s="1753"/>
      <c r="I471" s="1753"/>
      <c r="J471" s="1753"/>
      <c r="K471" s="1753"/>
      <c r="L471" s="1753"/>
      <c r="M471" s="1753"/>
      <c r="N471" s="1753"/>
      <c r="O471" s="1753"/>
      <c r="P471" s="1753"/>
      <c r="Q471" s="1753"/>
      <c r="R471" s="1753"/>
      <c r="S471" s="1753"/>
      <c r="T471" s="1753"/>
      <c r="U471" s="1753"/>
      <c r="V471" s="1754"/>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2189</v>
      </c>
      <c r="E472" s="1848"/>
      <c r="F472" s="1848"/>
      <c r="G472" s="1848"/>
      <c r="H472" s="1848"/>
      <c r="I472" s="1848"/>
      <c r="J472" s="1848"/>
      <c r="K472" s="1848"/>
      <c r="L472" s="1848"/>
      <c r="M472" s="1848"/>
      <c r="N472" s="1848"/>
      <c r="O472" s="1848"/>
      <c r="P472" s="1848"/>
      <c r="Q472" s="1848"/>
      <c r="R472" s="1848"/>
      <c r="S472" s="1848"/>
      <c r="T472" s="1848"/>
      <c r="U472" s="1848"/>
      <c r="V472" s="1849"/>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1653</v>
      </c>
      <c r="E473" s="1753"/>
      <c r="F473" s="1753"/>
      <c r="G473" s="1753"/>
      <c r="H473" s="1753"/>
      <c r="I473" s="1753"/>
      <c r="J473" s="1753"/>
      <c r="K473" s="1753"/>
      <c r="L473" s="1753"/>
      <c r="M473" s="1753"/>
      <c r="N473" s="1753"/>
      <c r="O473" s="1753"/>
      <c r="P473" s="1753"/>
      <c r="Q473" s="1753"/>
      <c r="R473" s="1753"/>
      <c r="S473" s="1753"/>
      <c r="T473" s="1753"/>
      <c r="U473" s="1753"/>
      <c r="V473" s="1754"/>
      <c r="W473" s="1666">
        <v>36</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7"/>
      <c r="H474" s="1698"/>
      <c r="I474" s="1698"/>
      <c r="J474" s="1698"/>
      <c r="K474" s="1698"/>
      <c r="L474" s="1698"/>
      <c r="M474" s="1698"/>
      <c r="N474" s="1698"/>
      <c r="O474" s="1698"/>
      <c r="P474" s="1698"/>
      <c r="Q474" s="1698"/>
      <c r="R474" s="1698"/>
      <c r="S474" s="1698"/>
      <c r="T474" s="1698"/>
      <c r="U474" s="1698"/>
      <c r="V474" s="1699"/>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809</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8" t="s">
        <v>2706</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9"/>
      <c r="AZ486" s="3"/>
      <c r="BB486" s="3"/>
      <c r="BC486" s="3"/>
    </row>
    <row r="487" spans="1:55" ht="12.95" customHeight="1">
      <c r="B487" s="45" t="s">
        <v>394</v>
      </c>
      <c r="C487" s="5"/>
      <c r="D487" s="5"/>
      <c r="E487" s="5"/>
      <c r="F487" s="5"/>
      <c r="G487" s="5"/>
      <c r="H487" s="5"/>
      <c r="I487" s="5"/>
      <c r="J487" s="5"/>
      <c r="K487" s="5"/>
      <c r="L487" s="5"/>
      <c r="M487" s="5"/>
      <c r="N487" s="5"/>
      <c r="O487" s="5"/>
      <c r="P487" s="5"/>
      <c r="Q487" s="1578" t="s">
        <v>2707</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9"/>
      <c r="AZ487" s="3"/>
      <c r="BB487" s="3"/>
      <c r="BC487" s="3"/>
    </row>
    <row r="488" spans="1:55" ht="12.95" customHeight="1">
      <c r="B488" s="45" t="s">
        <v>395</v>
      </c>
      <c r="C488" s="5"/>
      <c r="D488" s="5"/>
      <c r="E488" s="5"/>
      <c r="F488" s="5"/>
      <c r="G488" s="5"/>
      <c r="H488" s="5"/>
      <c r="I488" s="5"/>
      <c r="J488" s="5"/>
      <c r="K488" s="5"/>
      <c r="L488" s="5"/>
      <c r="M488" s="5"/>
      <c r="N488" s="5"/>
      <c r="O488" s="5"/>
      <c r="P488" s="5"/>
      <c r="Q488" s="1578" t="s">
        <v>2707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9"/>
      <c r="AZ488" s="3"/>
      <c r="BA488" s="3"/>
      <c r="BB488" s="3"/>
      <c r="BC488" s="3"/>
    </row>
    <row r="489" spans="1:55" ht="12.95" customHeight="1">
      <c r="B489" s="1832" t="s">
        <v>396</v>
      </c>
      <c r="C489" s="1833"/>
      <c r="D489" s="1833"/>
      <c r="E489" s="1833"/>
      <c r="F489" s="1833"/>
      <c r="G489" s="1833"/>
      <c r="H489" s="1833"/>
      <c r="I489" s="1833"/>
      <c r="J489" s="1833"/>
      <c r="K489" s="1833"/>
      <c r="L489" s="1833"/>
      <c r="M489" s="1833"/>
      <c r="N489" s="1833"/>
      <c r="O489" s="1833"/>
      <c r="P489" s="1834"/>
      <c r="Q489" s="1838" t="s">
        <v>668</v>
      </c>
      <c r="R489" s="1839"/>
      <c r="S489" s="1769"/>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5" t="s">
        <v>668</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8" t="s">
        <v>2708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9"/>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8" t="s">
        <v>2709</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9"/>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8">
        <v>457</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9"/>
      <c r="AZ494" s="3"/>
      <c r="BA494" s="3"/>
      <c r="BB494" s="3"/>
      <c r="BC494" s="3"/>
    </row>
    <row r="495" spans="1:55" ht="12.95" customHeight="1">
      <c r="B495" s="121" t="s">
        <v>1668</v>
      </c>
      <c r="C495" s="5"/>
      <c r="D495" s="5"/>
      <c r="E495" s="5"/>
      <c r="F495" s="5"/>
      <c r="G495" s="5"/>
      <c r="H495" s="5"/>
      <c r="I495" s="5"/>
      <c r="J495" s="5"/>
      <c r="K495" s="5"/>
      <c r="L495" s="5"/>
      <c r="M495" s="1447">
        <v>100</v>
      </c>
      <c r="N495" s="1448"/>
      <c r="O495" s="1448"/>
      <c r="P495" s="1449"/>
      <c r="Q495" s="121" t="s">
        <v>1669</v>
      </c>
      <c r="R495" s="5"/>
      <c r="S495" s="5"/>
      <c r="T495" s="5"/>
      <c r="U495" s="5"/>
      <c r="V495" s="5"/>
      <c r="W495" s="5"/>
      <c r="X495" s="5"/>
      <c r="Y495" s="5"/>
      <c r="Z495" s="5"/>
      <c r="AA495" s="5"/>
      <c r="AB495" s="5"/>
      <c r="AC495" s="5"/>
      <c r="AD495" s="5"/>
      <c r="AE495" s="5"/>
      <c r="AF495" s="5"/>
      <c r="AG495" s="5"/>
      <c r="AH495" s="1447">
        <v>357</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3"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3"/>
      <c r="AD501" s="1664"/>
      <c r="AE501" s="1664"/>
      <c r="AF501" s="1664"/>
      <c r="AG501" s="13" t="s">
        <v>402</v>
      </c>
      <c r="AH501" s="1402"/>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4"/>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3">
        <v>5</v>
      </c>
      <c r="AD502" s="1664"/>
      <c r="AE502" s="1664"/>
      <c r="AF502" s="1664"/>
      <c r="AG502" s="38" t="s">
        <v>402</v>
      </c>
      <c r="AH502" s="1402">
        <v>2026</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3"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3"/>
      <c r="AD503" s="1664"/>
      <c r="AE503" s="1664"/>
      <c r="AF503" s="1664"/>
      <c r="AG503" s="13" t="s">
        <v>402</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4"/>
      <c r="C504" s="1433"/>
      <c r="D504" s="1433"/>
      <c r="E504" s="1433"/>
      <c r="F504" s="1433"/>
      <c r="G504" s="1433"/>
      <c r="H504" s="1434"/>
      <c r="I504" t="s">
        <v>409</v>
      </c>
      <c r="AC504" s="1663"/>
      <c r="AD504" s="1664"/>
      <c r="AE504" s="1664"/>
      <c r="AF504" s="1664"/>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4"/>
      <c r="C505" s="1433"/>
      <c r="D505" s="1433"/>
      <c r="E505" s="1433"/>
      <c r="F505" s="1433"/>
      <c r="G505" s="1433"/>
      <c r="H505" s="1434"/>
      <c r="I505" t="s">
        <v>410</v>
      </c>
      <c r="AC505" s="1663"/>
      <c r="AD505" s="1664"/>
      <c r="AE505" s="1664"/>
      <c r="AF505" s="1664"/>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4"/>
      <c r="C506" s="1433"/>
      <c r="D506" s="1433"/>
      <c r="E506" s="1433"/>
      <c r="F506" s="1433"/>
      <c r="G506" s="1433"/>
      <c r="H506" s="1434"/>
      <c r="I506" t="s">
        <v>411</v>
      </c>
      <c r="AC506" s="1663">
        <v>5</v>
      </c>
      <c r="AD506" s="1664"/>
      <c r="AE506" s="1664"/>
      <c r="AF506" s="1664"/>
      <c r="AG506" s="13" t="s">
        <v>402</v>
      </c>
      <c r="AH506" s="1402">
        <v>2026</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4"/>
      <c r="C507" s="1433"/>
      <c r="D507" s="1433"/>
      <c r="E507" s="1433"/>
      <c r="F507" s="1433"/>
      <c r="G507" s="1433"/>
      <c r="H507" s="1434"/>
      <c r="I507" s="3" t="s">
        <v>412</v>
      </c>
      <c r="AC507" s="1337">
        <v>5</v>
      </c>
      <c r="AD507" s="1338"/>
      <c r="AE507" s="1338"/>
      <c r="AF507" s="1338"/>
      <c r="AG507" s="13" t="s">
        <v>402</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4"/>
      <c r="C508" s="1433"/>
      <c r="D508" s="1433"/>
      <c r="E508" s="1433"/>
      <c r="F508" s="1433"/>
      <c r="G508" s="1433"/>
      <c r="H508" s="1434"/>
      <c r="I508" s="896"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3"/>
      <c r="AC508" s="1663" t="s">
        <v>590</v>
      </c>
      <c r="AD508" s="1664"/>
      <c r="AE508" s="1664"/>
      <c r="AF508" s="1664"/>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19" t="s">
        <v>668</v>
      </c>
      <c r="AD509" s="1819"/>
      <c r="AE509" s="1819"/>
      <c r="AF509" s="1819"/>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2"/>
      <c r="AZ513" s="3"/>
      <c r="BA513" s="3"/>
      <c r="BB513" s="3"/>
      <c r="BC513" s="3"/>
      <c r="BD513" s="3"/>
      <c r="BE513" s="3"/>
      <c r="BF513" s="3"/>
      <c r="BG513" s="3"/>
      <c r="BH513" s="3"/>
      <c r="BI513" s="3"/>
      <c r="BJ513" s="3"/>
      <c r="BK513" s="3"/>
      <c r="BL513" s="3"/>
      <c r="BM513" s="3"/>
      <c r="BN513" s="3" t="s">
        <v>2103</v>
      </c>
    </row>
    <row r="514" spans="2:66" ht="12.95" customHeight="1">
      <c r="B514" s="1673"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3">
        <v>8</v>
      </c>
      <c r="AD514" s="1664"/>
      <c r="AE514" s="1664"/>
      <c r="AF514" s="1664"/>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2104</v>
      </c>
    </row>
    <row r="515" spans="2:66" ht="12.95" customHeight="1">
      <c r="B515" s="1674"/>
      <c r="C515" s="1433"/>
      <c r="D515" s="1433"/>
      <c r="E515" s="1433"/>
      <c r="F515" s="1433"/>
      <c r="G515" s="1433"/>
      <c r="H515" s="1434"/>
      <c r="I515" t="s">
        <v>415</v>
      </c>
      <c r="AC515" s="1663">
        <v>8</v>
      </c>
      <c r="AD515" s="1664"/>
      <c r="AE515" s="1664"/>
      <c r="AF515" s="1664"/>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2105</v>
      </c>
    </row>
    <row r="516" spans="2:66" ht="12.95" customHeight="1">
      <c r="B516" s="1674"/>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3">
        <v>5</v>
      </c>
      <c r="AD516" s="1664"/>
      <c r="AE516" s="1664"/>
      <c r="AF516" s="1664"/>
      <c r="AG516" s="38" t="s">
        <v>402</v>
      </c>
      <c r="AH516" s="1402">
        <v>2026</v>
      </c>
      <c r="AI516" s="1402"/>
      <c r="AJ516" s="1402"/>
      <c r="AK516" s="1403"/>
      <c r="AZ516" s="3"/>
      <c r="BA516" s="3"/>
      <c r="BB516" s="3"/>
      <c r="BC516" s="3"/>
      <c r="BD516" s="3"/>
      <c r="BE516" s="3"/>
      <c r="BF516" s="3"/>
      <c r="BG516" s="3"/>
      <c r="BH516" s="3"/>
      <c r="BI516" s="3"/>
      <c r="BJ516" s="3"/>
      <c r="BK516" s="3"/>
      <c r="BL516" s="3"/>
      <c r="BM516" s="3"/>
      <c r="BN516" s="3" t="s">
        <v>2106</v>
      </c>
    </row>
    <row r="517" spans="2:66" ht="12.95" customHeight="1">
      <c r="B517" s="1673"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2107</v>
      </c>
    </row>
    <row r="518" spans="2:66" ht="12.95" customHeight="1">
      <c r="B518" s="1674"/>
      <c r="C518" s="1433"/>
      <c r="D518" s="1433"/>
      <c r="E518" s="1433"/>
      <c r="F518" s="1433"/>
      <c r="G518" s="1433"/>
      <c r="H518" s="1434"/>
      <c r="I518" t="s">
        <v>415</v>
      </c>
      <c r="AC518" s="1663">
        <v>8</v>
      </c>
      <c r="AD518" s="1664"/>
      <c r="AE518" s="1664"/>
      <c r="AF518" s="1664"/>
      <c r="AG518" s="13" t="s">
        <v>402</v>
      </c>
      <c r="AH518" s="1402">
        <v>2025</v>
      </c>
      <c r="AI518" s="1402"/>
      <c r="AJ518" s="1402"/>
      <c r="AK518" s="1403"/>
      <c r="BB518" s="3"/>
      <c r="BC518" s="3"/>
      <c r="BD518" s="3"/>
      <c r="BE518" s="3"/>
      <c r="BF518" s="3"/>
      <c r="BG518" s="3"/>
      <c r="BH518" s="3"/>
      <c r="BI518" s="3"/>
      <c r="BJ518" s="3"/>
      <c r="BK518" s="3"/>
      <c r="BL518" s="3"/>
      <c r="BM518" s="3"/>
      <c r="BN518" s="3" t="s">
        <v>2108</v>
      </c>
    </row>
    <row r="519" spans="2:66" ht="12.95" customHeight="1">
      <c r="B519" s="1675"/>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402</v>
      </c>
      <c r="AH519" s="1402">
        <v>2026</v>
      </c>
      <c r="AI519" s="1402"/>
      <c r="AJ519" s="1402"/>
      <c r="AK519" s="1403"/>
      <c r="BB519" s="3"/>
      <c r="BC519" s="3"/>
      <c r="BD519" s="3"/>
      <c r="BE519" s="3"/>
      <c r="BF519" s="3"/>
      <c r="BG519" s="3"/>
      <c r="BH519" s="3"/>
      <c r="BI519" s="3"/>
      <c r="BJ519" s="3"/>
      <c r="BK519" s="3"/>
      <c r="BL519" s="3"/>
      <c r="BM519" s="3"/>
      <c r="BN519" s="3" t="s">
        <v>2109</v>
      </c>
    </row>
    <row r="520" spans="2:66" ht="12.95" customHeight="1">
      <c r="B520" s="1673" t="s">
        <v>418</v>
      </c>
      <c r="C520" s="1431"/>
      <c r="D520" s="1431"/>
      <c r="E520" s="1431"/>
      <c r="F520" s="1431"/>
      <c r="G520" s="1431"/>
      <c r="H520" s="1432"/>
      <c r="I520" s="41" t="s">
        <v>419</v>
      </c>
      <c r="J520" s="42"/>
      <c r="K520" s="42"/>
      <c r="L520" s="42"/>
      <c r="M520" s="42"/>
      <c r="N520" s="42"/>
      <c r="O520" s="1749" t="s">
        <v>2710</v>
      </c>
      <c r="P520" s="1750"/>
      <c r="Q520" s="1750"/>
      <c r="R520" s="1750"/>
      <c r="S520" s="1750"/>
      <c r="T520" s="1750"/>
      <c r="U520" s="1750"/>
      <c r="V520" s="1750"/>
      <c r="W520" s="1750"/>
      <c r="X520" s="1750"/>
      <c r="Y520" s="1750"/>
      <c r="Z520" s="1750"/>
      <c r="AA520" s="1750"/>
      <c r="AB520" s="58"/>
      <c r="AC520" s="1337" t="s">
        <v>590</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2110</v>
      </c>
    </row>
    <row r="521" spans="2:66" ht="12.95" customHeight="1">
      <c r="B521" s="1674"/>
      <c r="C521" s="1433"/>
      <c r="D521" s="1433"/>
      <c r="E521" s="1433"/>
      <c r="F521" s="1433"/>
      <c r="G521" s="1433"/>
      <c r="H521" s="1434"/>
      <c r="I521" s="114" t="s">
        <v>420</v>
      </c>
      <c r="AB521" s="65"/>
      <c r="AC521" s="1663">
        <v>8</v>
      </c>
      <c r="AD521" s="1664"/>
      <c r="AE521" s="1664"/>
      <c r="AF521" s="1664"/>
      <c r="AG521" s="13" t="s">
        <v>402</v>
      </c>
      <c r="AH521" s="1402">
        <v>2025</v>
      </c>
      <c r="AI521" s="1402"/>
      <c r="AJ521" s="1402"/>
      <c r="AK521" s="1403"/>
      <c r="AZ521" s="3"/>
      <c r="BB521" s="3"/>
      <c r="BC521" s="3"/>
      <c r="BD521" s="3"/>
      <c r="BE521" s="3"/>
      <c r="BF521" s="3"/>
      <c r="BG521" s="3"/>
      <c r="BH521" s="3"/>
      <c r="BI521" s="3"/>
      <c r="BJ521" s="3"/>
      <c r="BK521" s="3"/>
      <c r="BL521" s="3"/>
      <c r="BM521" s="3"/>
      <c r="BN521" s="3" t="s">
        <v>2111</v>
      </c>
    </row>
    <row r="522" spans="2:66" ht="12.95" customHeight="1">
      <c r="B522" s="1674"/>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3">
        <v>5</v>
      </c>
      <c r="AD522" s="1664"/>
      <c r="AE522" s="1664"/>
      <c r="AF522" s="1664"/>
      <c r="AG522" s="38" t="s">
        <v>402</v>
      </c>
      <c r="AH522" s="1402">
        <v>2026</v>
      </c>
      <c r="AI522" s="1402"/>
      <c r="AJ522" s="1402"/>
      <c r="AK522" s="1403"/>
      <c r="AZ522" s="3"/>
      <c r="BA522" s="3"/>
      <c r="BB522" s="3"/>
      <c r="BC522" s="3"/>
      <c r="BD522" s="3"/>
      <c r="BE522" s="3"/>
      <c r="BF522" s="3"/>
      <c r="BG522" s="3"/>
      <c r="BH522" s="3"/>
      <c r="BI522" s="3"/>
      <c r="BJ522" s="3"/>
      <c r="BK522" s="3"/>
      <c r="BL522" s="3"/>
      <c r="BM522" s="3"/>
      <c r="BN522" s="3" t="s">
        <v>2112</v>
      </c>
    </row>
    <row r="523" spans="2:66" ht="12.95" customHeight="1">
      <c r="B523" s="1674"/>
      <c r="C523" s="1433"/>
      <c r="D523" s="1433"/>
      <c r="E523" s="1433"/>
      <c r="F523" s="1433"/>
      <c r="G523" s="1433"/>
      <c r="H523" s="1434"/>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3" t="s">
        <v>590</v>
      </c>
      <c r="AD523" s="1664"/>
      <c r="AE523" s="1664"/>
      <c r="AF523" s="1664"/>
      <c r="AG523" s="13" t="s">
        <v>402</v>
      </c>
      <c r="AH523" s="1402"/>
      <c r="AI523" s="1402"/>
      <c r="AJ523" s="1402"/>
      <c r="AK523" s="1403"/>
      <c r="AZ523" s="3"/>
      <c r="BA523" s="3"/>
      <c r="BB523" s="3"/>
      <c r="BC523" s="3"/>
      <c r="BD523" s="3"/>
      <c r="BE523" s="3"/>
      <c r="BF523" s="3"/>
      <c r="BG523" s="3"/>
      <c r="BH523" s="3"/>
      <c r="BI523" s="3"/>
      <c r="BJ523" s="3"/>
      <c r="BK523" s="3"/>
      <c r="BL523" s="3"/>
      <c r="BM523" s="3"/>
      <c r="BN523" s="3" t="s">
        <v>2113</v>
      </c>
    </row>
    <row r="524" spans="2:66" ht="12.95" customHeight="1">
      <c r="B524" s="1674"/>
      <c r="C524" s="1433"/>
      <c r="D524" s="1433"/>
      <c r="E524" s="1433"/>
      <c r="F524" s="1433"/>
      <c r="G524" s="1433"/>
      <c r="H524" s="1434"/>
      <c r="I524" t="s">
        <v>420</v>
      </c>
      <c r="AC524" s="1663" t="s">
        <v>590</v>
      </c>
      <c r="AD524" s="1664"/>
      <c r="AE524" s="1664"/>
      <c r="AF524" s="1664"/>
      <c r="AG524" s="13" t="s">
        <v>402</v>
      </c>
      <c r="AH524" s="1402"/>
      <c r="AI524" s="1402"/>
      <c r="AJ524" s="1402"/>
      <c r="AK524" s="1403"/>
      <c r="AZ524" s="3"/>
      <c r="BA524" s="3"/>
      <c r="BB524" s="3"/>
      <c r="BC524" s="3"/>
      <c r="BD524" s="3"/>
      <c r="BE524" s="3"/>
      <c r="BF524" s="3"/>
      <c r="BG524" s="3"/>
      <c r="BH524" s="3"/>
      <c r="BI524" s="3"/>
      <c r="BJ524" s="3"/>
      <c r="BK524" s="3"/>
      <c r="BL524" s="3"/>
      <c r="BM524" s="3"/>
      <c r="BN524" s="3" t="s">
        <v>2114</v>
      </c>
    </row>
    <row r="525" spans="2:66" ht="12.95" customHeight="1">
      <c r="B525" s="1674"/>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3" t="s">
        <v>590</v>
      </c>
      <c r="AD525" s="1664"/>
      <c r="AE525" s="1664"/>
      <c r="AF525" s="1664"/>
      <c r="AG525" s="38" t="s">
        <v>402</v>
      </c>
      <c r="AH525" s="1402"/>
      <c r="AI525" s="1402"/>
      <c r="AJ525" s="1402"/>
      <c r="AK525" s="1403"/>
      <c r="AZ525" s="3"/>
      <c r="BA525" s="3"/>
      <c r="BB525" s="3"/>
      <c r="BC525" s="3"/>
      <c r="BD525" s="3"/>
      <c r="BE525" s="3"/>
      <c r="BF525" s="3"/>
      <c r="BG525" s="3"/>
      <c r="BH525" s="3"/>
      <c r="BI525" s="3"/>
      <c r="BJ525" s="3"/>
      <c r="BK525" s="3"/>
      <c r="BL525" s="3"/>
      <c r="BM525" s="3"/>
      <c r="BN525" s="3" t="s">
        <v>2115</v>
      </c>
    </row>
    <row r="526" spans="2:66" ht="12.95" customHeight="1">
      <c r="B526" s="1674"/>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3" t="s">
        <v>590</v>
      </c>
      <c r="AD526" s="1664"/>
      <c r="AE526" s="1664"/>
      <c r="AF526" s="1664"/>
      <c r="AG526" s="13" t="s">
        <v>402</v>
      </c>
      <c r="AH526" s="1402"/>
      <c r="AI526" s="1402"/>
      <c r="AJ526" s="1402"/>
      <c r="AK526" s="1403"/>
      <c r="AZ526" s="3"/>
      <c r="BA526" s="3"/>
      <c r="BB526" s="3"/>
      <c r="BC526" s="3"/>
      <c r="BD526" s="3"/>
      <c r="BE526" s="3"/>
      <c r="BF526" s="3"/>
      <c r="BG526" s="3"/>
      <c r="BH526" s="3"/>
      <c r="BI526" s="3"/>
      <c r="BJ526" s="3"/>
      <c r="BK526" s="3"/>
      <c r="BL526" s="3"/>
      <c r="BM526" s="3"/>
      <c r="BN526" s="3" t="s">
        <v>2116</v>
      </c>
    </row>
    <row r="527" spans="2:66" ht="12.95" customHeight="1">
      <c r="B527" s="1674"/>
      <c r="C527" s="1433"/>
      <c r="D527" s="1433"/>
      <c r="E527" s="1433"/>
      <c r="F527" s="1433"/>
      <c r="G527" s="1433"/>
      <c r="H527" s="1434"/>
      <c r="I527" t="s">
        <v>420</v>
      </c>
      <c r="AC527" s="1663" t="s">
        <v>590</v>
      </c>
      <c r="AD527" s="1664"/>
      <c r="AE527" s="1664"/>
      <c r="AF527" s="1664"/>
      <c r="AG527" s="13" t="s">
        <v>402</v>
      </c>
      <c r="AH527" s="1402"/>
      <c r="AI527" s="1402"/>
      <c r="AJ527" s="1402"/>
      <c r="AK527" s="1403"/>
      <c r="AZ527" s="3"/>
      <c r="BA527" s="3"/>
      <c r="BB527" s="3"/>
      <c r="BC527" s="3"/>
      <c r="BD527" s="3"/>
      <c r="BE527" s="3"/>
      <c r="BF527" s="3"/>
      <c r="BG527" s="3"/>
      <c r="BH527" s="3"/>
      <c r="BI527" s="3"/>
      <c r="BJ527" s="3"/>
      <c r="BK527" s="3"/>
      <c r="BL527" s="3"/>
      <c r="BM527" s="3"/>
      <c r="BN527" s="3" t="s">
        <v>2117</v>
      </c>
    </row>
    <row r="528" spans="2:66" ht="12.95" customHeight="1">
      <c r="B528" s="1674"/>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3" t="s">
        <v>590</v>
      </c>
      <c r="AD528" s="1664"/>
      <c r="AE528" s="1664"/>
      <c r="AF528" s="1664"/>
      <c r="AG528" s="38" t="s">
        <v>402</v>
      </c>
      <c r="AH528" s="1402"/>
      <c r="AI528" s="1402"/>
      <c r="AJ528" s="1402"/>
      <c r="AK528" s="1403"/>
      <c r="AZ528" s="3"/>
      <c r="BA528" s="3"/>
      <c r="BB528" s="3"/>
      <c r="BC528" s="3"/>
      <c r="BD528" s="3"/>
      <c r="BE528" s="3"/>
      <c r="BF528" s="3"/>
      <c r="BG528" s="3"/>
      <c r="BH528" s="3"/>
      <c r="BI528" s="3"/>
      <c r="BJ528" s="3"/>
      <c r="BK528" s="3"/>
      <c r="BL528" s="3"/>
      <c r="BM528" s="3"/>
      <c r="BN528" s="3" t="s">
        <v>2118</v>
      </c>
    </row>
    <row r="529" spans="1:66" ht="12.95" customHeight="1">
      <c r="B529" s="1674"/>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3" t="s">
        <v>590</v>
      </c>
      <c r="AD529" s="1664"/>
      <c r="AE529" s="1664"/>
      <c r="AF529" s="1664"/>
      <c r="AG529" s="13" t="s">
        <v>402</v>
      </c>
      <c r="AH529" s="1402"/>
      <c r="AI529" s="1402"/>
      <c r="AJ529" s="1402"/>
      <c r="AK529" s="1403"/>
      <c r="AZ529" s="3"/>
      <c r="BA529" s="3"/>
      <c r="BB529" s="3"/>
      <c r="BC529" s="3"/>
      <c r="BD529" s="3"/>
      <c r="BE529" s="3"/>
      <c r="BF529" s="3"/>
      <c r="BG529" s="3"/>
      <c r="BH529" s="3"/>
      <c r="BI529" s="3"/>
      <c r="BJ529" s="3"/>
      <c r="BK529" s="3"/>
      <c r="BL529" s="3"/>
      <c r="BM529" s="3"/>
      <c r="BN529" s="3" t="s">
        <v>2119</v>
      </c>
    </row>
    <row r="530" spans="1:66" ht="12.95" customHeight="1">
      <c r="B530" s="1674"/>
      <c r="C530" s="1433"/>
      <c r="D530" s="1433"/>
      <c r="E530" s="1433"/>
      <c r="F530" s="1433"/>
      <c r="G530" s="1433"/>
      <c r="H530" s="1434"/>
      <c r="I530" t="s">
        <v>420</v>
      </c>
      <c r="AC530" s="1663" t="s">
        <v>590</v>
      </c>
      <c r="AD530" s="1664"/>
      <c r="AE530" s="1664"/>
      <c r="AF530" s="1664"/>
      <c r="AG530" s="13" t="s">
        <v>402</v>
      </c>
      <c r="AH530" s="1402"/>
      <c r="AI530" s="1402"/>
      <c r="AJ530" s="1402"/>
      <c r="AK530" s="1403"/>
      <c r="AZ530" s="3"/>
      <c r="BA530" s="3"/>
      <c r="BB530" s="3"/>
      <c r="BC530" s="3"/>
      <c r="BD530" s="3"/>
      <c r="BE530" s="3"/>
      <c r="BF530" s="3"/>
      <c r="BG530" s="3"/>
      <c r="BH530" s="3"/>
      <c r="BI530" s="3"/>
      <c r="BJ530" s="3"/>
      <c r="BK530" s="3"/>
      <c r="BL530" s="3"/>
      <c r="BM530" s="3"/>
      <c r="BN530" s="3" t="s">
        <v>2120</v>
      </c>
    </row>
    <row r="531" spans="1:66" ht="12.95" customHeight="1">
      <c r="B531" s="1674"/>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3" t="s">
        <v>590</v>
      </c>
      <c r="AD531" s="1664"/>
      <c r="AE531" s="1664"/>
      <c r="AF531" s="1664"/>
      <c r="AG531" s="38" t="s">
        <v>402</v>
      </c>
      <c r="AH531" s="1402"/>
      <c r="AI531" s="1402"/>
      <c r="AJ531" s="1402"/>
      <c r="AK531" s="1403"/>
      <c r="AZ531" s="3"/>
      <c r="BA531" s="3"/>
      <c r="BB531" s="3"/>
      <c r="BC531" s="3"/>
      <c r="BD531" s="3"/>
      <c r="BE531" s="3"/>
      <c r="BF531" s="3"/>
      <c r="BG531" s="3"/>
      <c r="BH531" s="3"/>
      <c r="BI531" s="3"/>
      <c r="BJ531" s="3"/>
      <c r="BK531" s="3"/>
      <c r="BL531" s="3"/>
      <c r="BM531" s="3"/>
      <c r="BN531" s="3" t="s">
        <v>2121</v>
      </c>
    </row>
    <row r="532" spans="1:66" ht="12.95" customHeight="1">
      <c r="B532" s="1674"/>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3" t="s">
        <v>590</v>
      </c>
      <c r="AD532" s="1664"/>
      <c r="AE532" s="1664"/>
      <c r="AF532" s="1664"/>
      <c r="AG532" s="13" t="s">
        <v>402</v>
      </c>
      <c r="AH532" s="1402"/>
      <c r="AI532" s="1402"/>
      <c r="AJ532" s="1402"/>
      <c r="AK532" s="1403"/>
      <c r="AZ532" s="3"/>
      <c r="BA532" s="3"/>
      <c r="BB532" s="3"/>
      <c r="BC532" s="3"/>
      <c r="BD532" s="3"/>
      <c r="BE532" s="3"/>
      <c r="BF532" s="3"/>
      <c r="BG532" s="3"/>
      <c r="BH532" s="3"/>
      <c r="BI532" s="3"/>
      <c r="BJ532" s="3"/>
      <c r="BK532" s="3"/>
      <c r="BL532" s="3"/>
      <c r="BM532" s="3"/>
      <c r="BN532" s="3" t="s">
        <v>2122</v>
      </c>
    </row>
    <row r="533" spans="1:66" ht="12.95" customHeight="1">
      <c r="B533" s="1674"/>
      <c r="C533" s="1433"/>
      <c r="D533" s="1433"/>
      <c r="E533" s="1433"/>
      <c r="F533" s="1433"/>
      <c r="G533" s="1433"/>
      <c r="H533" s="1434"/>
      <c r="I533" t="s">
        <v>420</v>
      </c>
      <c r="AC533" s="1663" t="s">
        <v>590</v>
      </c>
      <c r="AD533" s="1664"/>
      <c r="AE533" s="1664"/>
      <c r="AF533" s="1664"/>
      <c r="AG533" s="38" t="s">
        <v>402</v>
      </c>
      <c r="AH533" s="1402"/>
      <c r="AI533" s="1402"/>
      <c r="AJ533" s="1402"/>
      <c r="AK533" s="1403"/>
      <c r="AZ533" s="3"/>
      <c r="BA533" s="3"/>
      <c r="BB533" s="3"/>
      <c r="BC533" s="3"/>
      <c r="BD533" s="3"/>
      <c r="BE533" s="3"/>
      <c r="BF533" s="3"/>
      <c r="BG533" s="3"/>
      <c r="BH533" s="3"/>
      <c r="BI533" s="3"/>
      <c r="BJ533" s="3"/>
      <c r="BK533" s="3"/>
      <c r="BL533" s="3"/>
      <c r="BM533" s="3"/>
      <c r="BN533" s="3" t="s">
        <v>2123</v>
      </c>
    </row>
    <row r="534" spans="1:66" ht="12.95" customHeight="1">
      <c r="B534" s="1674"/>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3" t="s">
        <v>590</v>
      </c>
      <c r="AD534" s="1664"/>
      <c r="AE534" s="1664"/>
      <c r="AF534" s="1664"/>
      <c r="AG534" s="13" t="s">
        <v>402</v>
      </c>
      <c r="AH534" s="1402"/>
      <c r="AI534" s="1402"/>
      <c r="AJ534" s="1402"/>
      <c r="AK534" s="1403"/>
      <c r="AZ534" s="3"/>
      <c r="BA534" s="3"/>
      <c r="BB534" s="3"/>
      <c r="BC534" s="3"/>
      <c r="BD534" s="3"/>
      <c r="BE534" s="3"/>
      <c r="BF534" s="3"/>
      <c r="BG534" s="3"/>
      <c r="BH534" s="3"/>
      <c r="BI534" s="3"/>
      <c r="BJ534" s="3"/>
      <c r="BK534" s="3"/>
      <c r="BL534" s="3"/>
      <c r="BM534" s="3"/>
      <c r="BN534" s="3" t="s">
        <v>2124</v>
      </c>
    </row>
    <row r="535" spans="1:66" ht="12.95" customHeight="1">
      <c r="B535" s="1674"/>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3" t="s">
        <v>590</v>
      </c>
      <c r="AD535" s="1664"/>
      <c r="AE535" s="1664"/>
      <c r="AF535" s="1664"/>
      <c r="AG535" s="38" t="s">
        <v>402</v>
      </c>
      <c r="AH535" s="1402"/>
      <c r="AI535" s="1402"/>
      <c r="AJ535" s="1402"/>
      <c r="AK535" s="1403"/>
      <c r="AZ535" s="3"/>
      <c r="BA535" s="3"/>
      <c r="BB535" s="3"/>
      <c r="BC535" s="3"/>
      <c r="BD535" s="3"/>
      <c r="BE535" s="3"/>
      <c r="BF535" s="3"/>
      <c r="BG535" s="3"/>
      <c r="BH535" s="3"/>
      <c r="BI535" s="3"/>
      <c r="BJ535" s="3"/>
      <c r="BK535" s="3"/>
      <c r="BL535" s="3"/>
      <c r="BM535" s="3"/>
      <c r="BN535" s="3" t="s">
        <v>2125</v>
      </c>
    </row>
    <row r="536" spans="1:66" ht="12.95" customHeight="1">
      <c r="B536" s="1674"/>
      <c r="C536" s="1433"/>
      <c r="D536" s="1433"/>
      <c r="E536" s="1433"/>
      <c r="F536" s="1433"/>
      <c r="G536" s="1433"/>
      <c r="H536" s="1434"/>
      <c r="I536" t="s">
        <v>420</v>
      </c>
      <c r="AC536" s="1663" t="s">
        <v>590</v>
      </c>
      <c r="AD536" s="1664"/>
      <c r="AE536" s="1664"/>
      <c r="AF536" s="1664"/>
      <c r="AG536" s="13" t="s">
        <v>402</v>
      </c>
      <c r="AH536" s="1402"/>
      <c r="AI536" s="1402"/>
      <c r="AJ536" s="1402"/>
      <c r="AK536" s="1403"/>
      <c r="AZ536" s="3"/>
      <c r="BA536" s="3"/>
      <c r="BB536" s="3"/>
      <c r="BC536" s="3"/>
      <c r="BD536" s="3"/>
      <c r="BE536" s="3"/>
      <c r="BF536" s="3"/>
      <c r="BG536" s="3"/>
      <c r="BH536" s="3"/>
      <c r="BI536" s="3"/>
      <c r="BJ536" s="3"/>
      <c r="BK536" s="3"/>
      <c r="BL536" s="3"/>
      <c r="BM536" s="3"/>
      <c r="BN536" s="3" t="s">
        <v>2126</v>
      </c>
    </row>
    <row r="537" spans="1:66" ht="12.95" customHeight="1">
      <c r="B537" s="1674"/>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3" t="s">
        <v>590</v>
      </c>
      <c r="AD537" s="1664"/>
      <c r="AE537" s="1664"/>
      <c r="AF537" s="1664"/>
      <c r="AG537" s="38" t="s">
        <v>402</v>
      </c>
      <c r="AH537" s="1402"/>
      <c r="AI537" s="1402"/>
      <c r="AJ537" s="1402"/>
      <c r="AK537" s="1403"/>
      <c r="AZ537" s="3"/>
      <c r="BA537" s="3"/>
      <c r="BB537" s="3"/>
      <c r="BC537" s="3"/>
      <c r="BD537" s="3"/>
      <c r="BE537" s="3"/>
      <c r="BF537" s="3"/>
      <c r="BG537" s="3"/>
      <c r="BH537" s="3"/>
      <c r="BI537" s="3"/>
      <c r="BJ537" s="3"/>
      <c r="BK537" s="3"/>
      <c r="BL537" s="3"/>
      <c r="BM537" s="3"/>
      <c r="BN537" s="3" t="s">
        <v>2127</v>
      </c>
    </row>
    <row r="538" spans="1:66" ht="12.95" customHeight="1">
      <c r="B538" s="1674"/>
      <c r="C538" s="1433"/>
      <c r="D538" s="1433"/>
      <c r="E538" s="1433"/>
      <c r="F538" s="1433"/>
      <c r="G538" s="1433"/>
      <c r="H538" s="1434"/>
      <c r="I538" s="42" t="s">
        <v>561</v>
      </c>
      <c r="J538" s="42"/>
      <c r="K538" s="42"/>
      <c r="L538" s="42"/>
      <c r="M538" s="42"/>
      <c r="N538" s="42"/>
      <c r="O538" s="42"/>
      <c r="P538" s="42"/>
      <c r="Q538" s="42"/>
      <c r="R538" s="42"/>
      <c r="S538" s="42"/>
      <c r="T538" s="42"/>
      <c r="U538" s="42"/>
      <c r="V538" s="42"/>
      <c r="W538" s="42"/>
      <c r="AC538" s="1663">
        <v>5</v>
      </c>
      <c r="AD538" s="1664"/>
      <c r="AE538" s="1664"/>
      <c r="AF538" s="1664"/>
      <c r="AG538" s="38" t="s">
        <v>402</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4"/>
      <c r="C539" s="1433"/>
      <c r="D539" s="1433"/>
      <c r="E539" s="1433"/>
      <c r="F539" s="1433"/>
      <c r="G539" s="1433"/>
      <c r="H539" s="1434"/>
      <c r="I539" t="s">
        <v>562</v>
      </c>
      <c r="AC539" s="1663">
        <v>5</v>
      </c>
      <c r="AD539" s="1664"/>
      <c r="AE539" s="1664"/>
      <c r="AF539" s="1664"/>
      <c r="AG539" s="13" t="s">
        <v>402</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4"/>
      <c r="C540" s="1433"/>
      <c r="D540" s="1433"/>
      <c r="E540" s="1433"/>
      <c r="F540" s="1433"/>
      <c r="G540" s="1433"/>
      <c r="H540" s="1434"/>
      <c r="I540" t="s">
        <v>563</v>
      </c>
      <c r="AC540" s="1663">
        <v>3</v>
      </c>
      <c r="AD540" s="1664"/>
      <c r="AE540" s="1664"/>
      <c r="AF540" s="1664"/>
      <c r="AG540" s="38" t="s">
        <v>402</v>
      </c>
      <c r="AH540" s="1402">
        <v>2028</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4"/>
      <c r="C541" s="1433"/>
      <c r="D541" s="1433"/>
      <c r="E541" s="1433"/>
      <c r="F541" s="1433"/>
      <c r="G541" s="1433"/>
      <c r="H541" s="1434"/>
      <c r="I541" t="s">
        <v>564</v>
      </c>
      <c r="AC541" s="1663">
        <v>3</v>
      </c>
      <c r="AD541" s="1664"/>
      <c r="AE541" s="1664"/>
      <c r="AF541" s="1664"/>
      <c r="AG541" s="38" t="s">
        <v>402</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5"/>
      <c r="C542" s="1435"/>
      <c r="D542" s="1435"/>
      <c r="E542" s="1435"/>
      <c r="F542" s="1435"/>
      <c r="G542" s="1435"/>
      <c r="H542" s="1436"/>
      <c r="I542" s="48" t="s">
        <v>450</v>
      </c>
      <c r="J542" s="48"/>
      <c r="K542" s="48"/>
      <c r="L542" s="48"/>
      <c r="M542" s="48"/>
      <c r="N542" s="48"/>
      <c r="O542" s="48"/>
      <c r="P542" s="48"/>
      <c r="Q542" s="48"/>
      <c r="R542" s="48"/>
      <c r="S542" s="48"/>
      <c r="T542" s="48"/>
      <c r="U542" s="48"/>
      <c r="V542" s="48"/>
      <c r="W542" s="48"/>
      <c r="X542" s="48"/>
      <c r="Y542" s="48"/>
      <c r="Z542" s="48"/>
      <c r="AA542" s="48"/>
      <c r="AB542" s="48"/>
      <c r="AC542" s="1663">
        <v>6</v>
      </c>
      <c r="AD542" s="1664"/>
      <c r="AE542" s="1664"/>
      <c r="AF542" s="1664"/>
      <c r="AG542" s="38" t="s">
        <v>402</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2101</v>
      </c>
      <c r="C551" s="1431"/>
      <c r="D551" s="1431"/>
      <c r="E551" s="1431"/>
      <c r="F551" s="1431"/>
      <c r="G551" s="1431"/>
      <c r="H551" s="1431"/>
      <c r="I551" s="1431"/>
      <c r="J551" s="1431"/>
      <c r="K551" s="1431"/>
      <c r="L551" s="1432"/>
      <c r="M551" s="1673" t="s">
        <v>2102</v>
      </c>
      <c r="N551" s="1431"/>
      <c r="O551" s="1431"/>
      <c r="P551" s="1432"/>
      <c r="Q551" s="1673" t="s">
        <v>2128</v>
      </c>
      <c r="R551" s="1431"/>
      <c r="S551" s="1432"/>
      <c r="T551" s="1673" t="s">
        <v>2129</v>
      </c>
      <c r="U551" s="1431"/>
      <c r="V551" s="1432"/>
      <c r="W551" s="1673" t="s">
        <v>452</v>
      </c>
      <c r="X551" s="1431"/>
      <c r="Y551" s="1432"/>
      <c r="Z551" s="1673" t="s">
        <v>1850</v>
      </c>
      <c r="AA551" s="1431"/>
      <c r="AB551" s="1431"/>
      <c r="AC551" s="1431"/>
      <c r="AD551" s="1432"/>
      <c r="AE551" s="1673" t="s">
        <v>1675</v>
      </c>
      <c r="AF551" s="1431"/>
      <c r="AG551" s="1431"/>
      <c r="AH551" s="1432"/>
      <c r="AI551" s="1673" t="s">
        <v>1676</v>
      </c>
      <c r="AJ551" s="1431"/>
      <c r="AK551" s="1431"/>
      <c r="AL551" s="1432"/>
      <c r="AM551" s="1673" t="s">
        <v>453</v>
      </c>
      <c r="AN551" s="1431"/>
      <c r="AO551" s="1431"/>
      <c r="AP551" s="1431"/>
      <c r="AQ551" s="1431"/>
      <c r="AR551" s="1431"/>
      <c r="AS551" s="1432"/>
      <c r="BB551" s="3"/>
      <c r="BC551" s="3"/>
      <c r="BD551" s="3"/>
      <c r="BE551" s="3"/>
      <c r="BF551" s="3"/>
      <c r="BG551" s="3"/>
      <c r="BH551" s="3" t="s">
        <v>580</v>
      </c>
      <c r="BI551" s="3" t="str">
        <f>AG657</f>
        <v>Yes</v>
      </c>
    </row>
    <row r="552" spans="1:61" ht="12.95" customHeight="1">
      <c r="B552" s="1674"/>
      <c r="C552" s="1433"/>
      <c r="D552" s="1433"/>
      <c r="E552" s="1433"/>
      <c r="F552" s="1433"/>
      <c r="G552" s="1433"/>
      <c r="H552" s="1433"/>
      <c r="I552" s="1433"/>
      <c r="J552" s="1433"/>
      <c r="K552" s="1433"/>
      <c r="L552" s="1434"/>
      <c r="M552" s="1674"/>
      <c r="N552" s="1433"/>
      <c r="O552" s="1433"/>
      <c r="P552" s="1434"/>
      <c r="Q552" s="1674"/>
      <c r="R552" s="1433"/>
      <c r="S552" s="1434"/>
      <c r="T552" s="1674"/>
      <c r="U552" s="1433"/>
      <c r="V552" s="1434"/>
      <c r="W552" s="1674"/>
      <c r="X552" s="1433"/>
      <c r="Y552" s="1434"/>
      <c r="Z552" s="1674"/>
      <c r="AA552" s="1433"/>
      <c r="AB552" s="1433"/>
      <c r="AC552" s="1433"/>
      <c r="AD552" s="1434"/>
      <c r="AE552" s="1674"/>
      <c r="AF552" s="1433"/>
      <c r="AG552" s="1433"/>
      <c r="AH552" s="1434"/>
      <c r="AI552" s="1674"/>
      <c r="AJ552" s="1433"/>
      <c r="AK552" s="1433"/>
      <c r="AL552" s="1434"/>
      <c r="AM552" s="1674"/>
      <c r="AN552" s="1433"/>
      <c r="AO552" s="1433"/>
      <c r="AP552" s="1433"/>
      <c r="AQ552" s="1433"/>
      <c r="AR552" s="1433"/>
      <c r="AS552" s="1434"/>
      <c r="AU552" s="1147"/>
      <c r="BB552" s="3"/>
      <c r="BC552" s="3"/>
      <c r="BD552" s="3"/>
      <c r="BE552" s="3"/>
      <c r="BF552" s="3"/>
      <c r="BG552" s="3"/>
      <c r="BH552" s="3"/>
      <c r="BI552" s="3"/>
    </row>
    <row r="553" spans="1:61" ht="12.95" customHeight="1">
      <c r="B553" s="1675"/>
      <c r="C553" s="1435"/>
      <c r="D553" s="1435"/>
      <c r="E553" s="1435"/>
      <c r="F553" s="1435"/>
      <c r="G553" s="1435"/>
      <c r="H553" s="1435"/>
      <c r="I553" s="1435"/>
      <c r="J553" s="1435"/>
      <c r="K553" s="1435"/>
      <c r="L553" s="1436"/>
      <c r="M553" s="1675"/>
      <c r="N553" s="1435"/>
      <c r="O553" s="1435"/>
      <c r="P553" s="1436"/>
      <c r="Q553" s="1675"/>
      <c r="R553" s="1435"/>
      <c r="S553" s="1436"/>
      <c r="T553" s="1675"/>
      <c r="U553" s="1435"/>
      <c r="V553" s="1436"/>
      <c r="W553" s="1675"/>
      <c r="X553" s="1435"/>
      <c r="Y553" s="1436"/>
      <c r="Z553" s="1675"/>
      <c r="AA553" s="1435"/>
      <c r="AB553" s="1435"/>
      <c r="AC553" s="1435"/>
      <c r="AD553" s="1436"/>
      <c r="AE553" s="1675"/>
      <c r="AF553" s="1435"/>
      <c r="AG553" s="1435"/>
      <c r="AH553" s="1436"/>
      <c r="AI553" s="1675"/>
      <c r="AJ553" s="1435"/>
      <c r="AK553" s="1435"/>
      <c r="AL553" s="1436"/>
      <c r="AM553" s="1675"/>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2711</v>
      </c>
      <c r="D554" s="1693"/>
      <c r="E554" s="1693"/>
      <c r="F554" s="1693"/>
      <c r="G554" s="1693"/>
      <c r="H554" s="1693"/>
      <c r="I554" s="1693"/>
      <c r="J554" s="1693"/>
      <c r="K554" s="1693"/>
      <c r="L554" s="1693"/>
      <c r="M554" s="1693" t="s">
        <v>2118</v>
      </c>
      <c r="N554" s="1693"/>
      <c r="O554" s="1693"/>
      <c r="P554" s="1693"/>
      <c r="Q554" s="1454">
        <v>36</v>
      </c>
      <c r="R554" s="1454"/>
      <c r="S554" s="1455"/>
      <c r="T554" s="1453">
        <v>36</v>
      </c>
      <c r="U554" s="1454"/>
      <c r="V554" s="1455"/>
      <c r="W554" s="1456">
        <v>6.1499999999999999E-2</v>
      </c>
      <c r="X554" s="1457"/>
      <c r="Y554" s="1458"/>
      <c r="Z554" s="1694" t="s">
        <v>2716</v>
      </c>
      <c r="AA554" s="1694"/>
      <c r="AB554" s="1694"/>
      <c r="AC554" s="1694"/>
      <c r="AD554" s="1694"/>
      <c r="AE554" s="1676">
        <v>1</v>
      </c>
      <c r="AF554" s="1677"/>
      <c r="AG554" s="1677"/>
      <c r="AH554" s="1678"/>
      <c r="AI554" s="1679"/>
      <c r="AJ554" s="1680"/>
      <c r="AK554" s="1680"/>
      <c r="AL554" s="1681"/>
      <c r="AM554" s="1669">
        <v>32000000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2712</v>
      </c>
      <c r="D555" s="1682"/>
      <c r="E555" s="1682"/>
      <c r="F555" s="1682"/>
      <c r="G555" s="1682"/>
      <c r="H555" s="1682"/>
      <c r="I555" s="1682"/>
      <c r="J555" s="1682"/>
      <c r="K555" s="1682"/>
      <c r="L555" s="1682"/>
      <c r="M555" s="1693" t="s">
        <v>2119</v>
      </c>
      <c r="N555" s="1693"/>
      <c r="O555" s="1693"/>
      <c r="P555" s="1693"/>
      <c r="Q555" s="1453">
        <v>36</v>
      </c>
      <c r="R555" s="1454"/>
      <c r="S555" s="1455"/>
      <c r="T555" s="1453">
        <v>36</v>
      </c>
      <c r="U555" s="1454"/>
      <c r="V555" s="1455"/>
      <c r="W555" s="1456">
        <v>0.08</v>
      </c>
      <c r="X555" s="1457"/>
      <c r="Y555" s="1458"/>
      <c r="Z555" s="1694" t="s">
        <v>2716</v>
      </c>
      <c r="AA555" s="1694"/>
      <c r="AB555" s="1694"/>
      <c r="AC555" s="1694"/>
      <c r="AD555" s="1694"/>
      <c r="AE555" s="1676">
        <v>2</v>
      </c>
      <c r="AF555" s="1677"/>
      <c r="AG555" s="1677"/>
      <c r="AH555" s="1678"/>
      <c r="AI555" s="1679"/>
      <c r="AJ555" s="1680"/>
      <c r="AK555" s="1680"/>
      <c r="AL555" s="1681"/>
      <c r="AM555" s="1669">
        <v>8000000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2711</v>
      </c>
      <c r="D556" s="1682"/>
      <c r="E556" s="1682"/>
      <c r="F556" s="1682"/>
      <c r="G556" s="1682"/>
      <c r="H556" s="1682"/>
      <c r="I556" s="1682"/>
      <c r="J556" s="1682"/>
      <c r="K556" s="1682"/>
      <c r="L556" s="1682"/>
      <c r="M556" s="1693" t="s">
        <v>2117</v>
      </c>
      <c r="N556" s="1693"/>
      <c r="O556" s="1693"/>
      <c r="P556" s="1693"/>
      <c r="Q556" s="1453">
        <v>36</v>
      </c>
      <c r="R556" s="1454"/>
      <c r="S556" s="1455"/>
      <c r="T556" s="1453">
        <v>36</v>
      </c>
      <c r="U556" s="1454"/>
      <c r="V556" s="1455"/>
      <c r="W556" s="1456">
        <v>6.6500000000000004E-2</v>
      </c>
      <c r="X556" s="1457"/>
      <c r="Y556" s="1458"/>
      <c r="Z556" s="1694" t="s">
        <v>2716</v>
      </c>
      <c r="AA556" s="1694"/>
      <c r="AB556" s="1694"/>
      <c r="AC556" s="1694"/>
      <c r="AD556" s="1694"/>
      <c r="AE556" s="1676">
        <v>1</v>
      </c>
      <c r="AF556" s="1677"/>
      <c r="AG556" s="1677"/>
      <c r="AH556" s="1678"/>
      <c r="AI556" s="1679"/>
      <c r="AJ556" s="1680"/>
      <c r="AK556" s="1680"/>
      <c r="AL556" s="1681"/>
      <c r="AM556" s="1669">
        <v>60210452</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580</v>
      </c>
      <c r="C557" s="1682" t="s">
        <v>2713</v>
      </c>
      <c r="D557" s="1682"/>
      <c r="E557" s="1682"/>
      <c r="F557" s="1682"/>
      <c r="G557" s="1682"/>
      <c r="H557" s="1682"/>
      <c r="I557" s="1682"/>
      <c r="J557" s="1682"/>
      <c r="K557" s="1682"/>
      <c r="L557" s="1682"/>
      <c r="M557" s="1693" t="s">
        <v>2109</v>
      </c>
      <c r="N557" s="1693"/>
      <c r="O557" s="1693"/>
      <c r="P557" s="1693"/>
      <c r="Q557" s="1453"/>
      <c r="R557" s="1454"/>
      <c r="S557" s="1455"/>
      <c r="T557" s="1453"/>
      <c r="U557" s="1454"/>
      <c r="V557" s="1455"/>
      <c r="W557" s="1456"/>
      <c r="X557" s="1457"/>
      <c r="Y557" s="1458"/>
      <c r="Z557" s="1694" t="s">
        <v>590</v>
      </c>
      <c r="AA557" s="1694"/>
      <c r="AB557" s="1694"/>
      <c r="AC557" s="1694"/>
      <c r="AD557" s="1694"/>
      <c r="AE557" s="1676"/>
      <c r="AF557" s="1677"/>
      <c r="AG557" s="1677"/>
      <c r="AH557" s="1678"/>
      <c r="AI557" s="1679"/>
      <c r="AJ557" s="1680"/>
      <c r="AK557" s="1680"/>
      <c r="AL557" s="1681"/>
      <c r="AM557" s="1669">
        <v>4902397</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762</v>
      </c>
      <c r="C558" s="1682" t="s">
        <v>2714</v>
      </c>
      <c r="D558" s="1682"/>
      <c r="E558" s="1682"/>
      <c r="F558" s="1682"/>
      <c r="G558" s="1682"/>
      <c r="H558" s="1682"/>
      <c r="I558" s="1682"/>
      <c r="J558" s="1682"/>
      <c r="K558" s="1682"/>
      <c r="L558" s="1682"/>
      <c r="M558" s="1693" t="s">
        <v>2108</v>
      </c>
      <c r="N558" s="1693"/>
      <c r="O558" s="1693"/>
      <c r="P558" s="1693"/>
      <c r="Q558" s="1453"/>
      <c r="R558" s="1454"/>
      <c r="S558" s="1455"/>
      <c r="T558" s="1453"/>
      <c r="U558" s="1454"/>
      <c r="V558" s="1455"/>
      <c r="W558" s="1456"/>
      <c r="X558" s="1457"/>
      <c r="Y558" s="1458"/>
      <c r="Z558" s="1694" t="s">
        <v>590</v>
      </c>
      <c r="AA558" s="1694"/>
      <c r="AB558" s="1694"/>
      <c r="AC558" s="1694"/>
      <c r="AD558" s="1694"/>
      <c r="AE558" s="1676"/>
      <c r="AF558" s="1677"/>
      <c r="AG558" s="1677"/>
      <c r="AH558" s="1678"/>
      <c r="AI558" s="1679"/>
      <c r="AJ558" s="1680"/>
      <c r="AK558" s="1680"/>
      <c r="AL558" s="1681"/>
      <c r="AM558" s="1669">
        <v>100</v>
      </c>
      <c r="AN558" s="1670"/>
      <c r="AO558" s="1670"/>
      <c r="AP558" s="1670"/>
      <c r="AQ558" s="1670"/>
      <c r="AR558" s="1670"/>
      <c r="AS558" s="1671"/>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682" t="s">
        <v>2319</v>
      </c>
      <c r="D559" s="1682"/>
      <c r="E559" s="1682"/>
      <c r="F559" s="1682"/>
      <c r="G559" s="1682"/>
      <c r="H559" s="1682"/>
      <c r="I559" s="1682"/>
      <c r="J559" s="1682"/>
      <c r="K559" s="1682"/>
      <c r="L559" s="1682"/>
      <c r="M559" s="1693" t="s">
        <v>2105</v>
      </c>
      <c r="N559" s="1693"/>
      <c r="O559" s="1693"/>
      <c r="P559" s="1693"/>
      <c r="Q559" s="1453"/>
      <c r="R559" s="1454"/>
      <c r="S559" s="1455"/>
      <c r="T559" s="1453"/>
      <c r="U559" s="1454"/>
      <c r="V559" s="1455"/>
      <c r="W559" s="1456"/>
      <c r="X559" s="1457"/>
      <c r="Y559" s="1458"/>
      <c r="Z559" s="1694" t="s">
        <v>590</v>
      </c>
      <c r="AA559" s="1694"/>
      <c r="AB559" s="1694"/>
      <c r="AC559" s="1694"/>
      <c r="AD559" s="1694"/>
      <c r="AE559" s="1676"/>
      <c r="AF559" s="1677"/>
      <c r="AG559" s="1677"/>
      <c r="AH559" s="1678"/>
      <c r="AI559" s="1679"/>
      <c r="AJ559" s="1680"/>
      <c r="AK559" s="1680"/>
      <c r="AL559" s="1681"/>
      <c r="AM559" s="1669">
        <v>8878800</v>
      </c>
      <c r="AN559" s="1670"/>
      <c r="AO559" s="1670"/>
      <c r="AP559" s="1670"/>
      <c r="AQ559" s="1670"/>
      <c r="AR559" s="1670"/>
      <c r="AS559" s="1671"/>
      <c r="AT559" s="1148" t="str">
        <f t="shared" si="0"/>
        <v/>
      </c>
      <c r="AU559" s="1147"/>
      <c r="BB559" s="3"/>
      <c r="BC559" s="3"/>
      <c r="BD559" s="3"/>
      <c r="BE559" s="3"/>
      <c r="BF559" s="3"/>
      <c r="BG559" s="3"/>
      <c r="BH559" s="3" t="s">
        <v>583</v>
      </c>
      <c r="BI559" s="3" t="str">
        <f>AG665</f>
        <v>Yes</v>
      </c>
    </row>
    <row r="560" spans="1:61" ht="12.95" customHeight="1">
      <c r="B560" s="52" t="s">
        <v>454</v>
      </c>
      <c r="C560" s="1682" t="s">
        <v>2733</v>
      </c>
      <c r="D560" s="1682"/>
      <c r="E560" s="1682"/>
      <c r="F560" s="1682"/>
      <c r="G560" s="1682"/>
      <c r="H560" s="1682"/>
      <c r="I560" s="1682"/>
      <c r="J560" s="1682"/>
      <c r="K560" s="1682"/>
      <c r="L560" s="1682"/>
      <c r="M560" s="1693" t="s">
        <v>2121</v>
      </c>
      <c r="N560" s="1693"/>
      <c r="O560" s="1693"/>
      <c r="P560" s="1693"/>
      <c r="Q560" s="1453"/>
      <c r="R560" s="1454"/>
      <c r="S560" s="1455"/>
      <c r="T560" s="1453"/>
      <c r="U560" s="1454"/>
      <c r="V560" s="1455"/>
      <c r="W560" s="1456"/>
      <c r="X560" s="1457"/>
      <c r="Y560" s="1458"/>
      <c r="Z560" s="1694" t="s">
        <v>590</v>
      </c>
      <c r="AA560" s="1694"/>
      <c r="AB560" s="1694"/>
      <c r="AC560" s="1694"/>
      <c r="AD560" s="1694"/>
      <c r="AE560" s="1676"/>
      <c r="AF560" s="1677"/>
      <c r="AG560" s="1677"/>
      <c r="AH560" s="1678"/>
      <c r="AI560" s="1679"/>
      <c r="AJ560" s="1680"/>
      <c r="AK560" s="1680"/>
      <c r="AL560" s="1681"/>
      <c r="AM560" s="1669">
        <v>2246933</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455</v>
      </c>
      <c r="C561" s="1682" t="s">
        <v>2715</v>
      </c>
      <c r="D561" s="1682"/>
      <c r="E561" s="1682"/>
      <c r="F561" s="1682"/>
      <c r="G561" s="1682"/>
      <c r="H561" s="1682"/>
      <c r="I561" s="1682"/>
      <c r="J561" s="1682"/>
      <c r="K561" s="1682"/>
      <c r="L561" s="1682"/>
      <c r="M561" s="1693" t="s">
        <v>2104</v>
      </c>
      <c r="N561" s="1693"/>
      <c r="O561" s="1693"/>
      <c r="P561" s="1693"/>
      <c r="Q561" s="1453"/>
      <c r="R561" s="1454"/>
      <c r="S561" s="1455"/>
      <c r="T561" s="1453"/>
      <c r="U561" s="1454"/>
      <c r="V561" s="1455"/>
      <c r="W561" s="1456"/>
      <c r="X561" s="1457"/>
      <c r="Y561" s="1458"/>
      <c r="Z561" s="1694" t="s">
        <v>590</v>
      </c>
      <c r="AA561" s="1694"/>
      <c r="AB561" s="1694"/>
      <c r="AC561" s="1694"/>
      <c r="AD561" s="1694"/>
      <c r="AE561" s="1676"/>
      <c r="AF561" s="1677"/>
      <c r="AG561" s="1677"/>
      <c r="AH561" s="1678"/>
      <c r="AI561" s="1679"/>
      <c r="AJ561" s="1680"/>
      <c r="AK561" s="1680"/>
      <c r="AL561" s="1681"/>
      <c r="AM561" s="1669">
        <v>9201934.4734050035</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460</v>
      </c>
      <c r="C562" s="1682"/>
      <c r="D562" s="1682"/>
      <c r="E562" s="1682"/>
      <c r="F562" s="1682"/>
      <c r="G562" s="1682"/>
      <c r="H562" s="1682"/>
      <c r="I562" s="1682"/>
      <c r="J562" s="1682"/>
      <c r="K562" s="1682"/>
      <c r="L562" s="1682"/>
      <c r="M562" s="1693" t="s">
        <v>1183</v>
      </c>
      <c r="N562" s="1693"/>
      <c r="O562" s="1693"/>
      <c r="P562" s="1693"/>
      <c r="Q562" s="1453"/>
      <c r="R562" s="1454"/>
      <c r="S562" s="1455"/>
      <c r="T562" s="1453"/>
      <c r="U562" s="1454"/>
      <c r="V562" s="1455"/>
      <c r="W562" s="1456"/>
      <c r="X562" s="1457"/>
      <c r="Y562" s="1458"/>
      <c r="Z562" s="1694" t="s">
        <v>1183</v>
      </c>
      <c r="AA562" s="1694"/>
      <c r="AB562" s="1694"/>
      <c r="AC562" s="1694"/>
      <c r="AD562" s="1694"/>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645</v>
      </c>
      <c r="C563" s="1682"/>
      <c r="D563" s="1682"/>
      <c r="E563" s="1682"/>
      <c r="F563" s="1682"/>
      <c r="G563" s="1682"/>
      <c r="H563" s="1682"/>
      <c r="I563" s="1682"/>
      <c r="J563" s="1682"/>
      <c r="K563" s="1682"/>
      <c r="L563" s="1682"/>
      <c r="M563" s="1693" t="s">
        <v>1183</v>
      </c>
      <c r="N563" s="1693"/>
      <c r="O563" s="1693"/>
      <c r="P563" s="1693"/>
      <c r="Q563" s="1453"/>
      <c r="R563" s="1454"/>
      <c r="S563" s="1455"/>
      <c r="T563" s="1453"/>
      <c r="U563" s="1454"/>
      <c r="V563" s="1455"/>
      <c r="W563" s="1456"/>
      <c r="X563" s="1457"/>
      <c r="Y563" s="1458"/>
      <c r="Z563" s="1694" t="s">
        <v>1183</v>
      </c>
      <c r="AA563" s="1694"/>
      <c r="AB563" s="1694"/>
      <c r="AC563" s="1694"/>
      <c r="AD563" s="1694"/>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361</v>
      </c>
      <c r="C564" s="1682"/>
      <c r="D564" s="1682"/>
      <c r="E564" s="1682"/>
      <c r="F564" s="1682"/>
      <c r="G564" s="1682"/>
      <c r="H564" s="1682"/>
      <c r="I564" s="1682"/>
      <c r="J564" s="1682"/>
      <c r="K564" s="1682"/>
      <c r="L564" s="1682"/>
      <c r="M564" s="1693" t="s">
        <v>1183</v>
      </c>
      <c r="N564" s="1693"/>
      <c r="O564" s="1693"/>
      <c r="P564" s="1693"/>
      <c r="Q564" s="1453"/>
      <c r="R564" s="1454"/>
      <c r="S564" s="1455"/>
      <c r="T564" s="1453"/>
      <c r="U564" s="1454"/>
      <c r="V564" s="1455"/>
      <c r="W564" s="1456"/>
      <c r="X564" s="1457"/>
      <c r="Y564" s="1458"/>
      <c r="Z564" s="1694" t="s">
        <v>1183</v>
      </c>
      <c r="AA564" s="1694"/>
      <c r="AB564" s="1694"/>
      <c r="AC564" s="1694"/>
      <c r="AD564" s="1694"/>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362</v>
      </c>
      <c r="C565" s="1682"/>
      <c r="D565" s="1682"/>
      <c r="E565" s="1682"/>
      <c r="F565" s="1682"/>
      <c r="G565" s="1682"/>
      <c r="H565" s="1682"/>
      <c r="I565" s="1682"/>
      <c r="J565" s="1682"/>
      <c r="K565" s="1682"/>
      <c r="L565" s="1682"/>
      <c r="M565" s="1693" t="s">
        <v>1183</v>
      </c>
      <c r="N565" s="1693"/>
      <c r="O565" s="1693"/>
      <c r="P565" s="1693"/>
      <c r="Q565" s="1453"/>
      <c r="R565" s="1454"/>
      <c r="S565" s="1455"/>
      <c r="T565" s="1453"/>
      <c r="U565" s="1454"/>
      <c r="V565" s="1455"/>
      <c r="W565" s="1456"/>
      <c r="X565" s="1457"/>
      <c r="Y565" s="1458"/>
      <c r="Z565" s="1694" t="s">
        <v>1183</v>
      </c>
      <c r="AA565" s="1694"/>
      <c r="AB565" s="1694"/>
      <c r="AC565" s="1694"/>
      <c r="AD565" s="1694"/>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125440616.473405</v>
      </c>
      <c r="AN566" s="1617"/>
      <c r="AO566" s="1617"/>
      <c r="AP566" s="1617"/>
      <c r="AQ566" s="1617"/>
      <c r="AR566" s="1617"/>
      <c r="AS566" s="1618"/>
      <c r="BB566" s="3"/>
      <c r="BC566" s="3"/>
      <c r="BD566" s="3"/>
      <c r="BE566" s="3"/>
      <c r="BF566" s="3"/>
      <c r="BG566" s="3"/>
      <c r="BH566" s="3" t="s">
        <v>454</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Yes</v>
      </c>
    </row>
    <row r="568" spans="1:61" ht="12.95" customHeight="1">
      <c r="A568" s="55" t="s">
        <v>112</v>
      </c>
      <c r="B568" t="s">
        <v>462</v>
      </c>
      <c r="G568" s="1358" t="str">
        <f>C554</f>
        <v>Citibank, N.A.</v>
      </c>
      <c r="H568" s="1358"/>
      <c r="I568" s="1358"/>
      <c r="J568" s="1358"/>
      <c r="K568" s="1358"/>
      <c r="L568" s="1358"/>
      <c r="M568" s="1358"/>
      <c r="N568" s="1358"/>
      <c r="O568" s="1358"/>
      <c r="P568" s="1358"/>
      <c r="Q568" s="1358"/>
      <c r="R568" s="1358"/>
      <c r="S568" s="8"/>
      <c r="T568" s="55" t="s">
        <v>113</v>
      </c>
      <c r="U568" t="s">
        <v>462</v>
      </c>
      <c r="Z568" s="1358" t="str">
        <f>C555</f>
        <v>Jefferies LLC</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2717</v>
      </c>
      <c r="H569" s="1371"/>
      <c r="I569" s="1371"/>
      <c r="J569" s="1371"/>
      <c r="K569" s="1371"/>
      <c r="L569" s="1371"/>
      <c r="M569" s="1371"/>
      <c r="N569" s="1371"/>
      <c r="O569" s="1371"/>
      <c r="P569" s="1371"/>
      <c r="Q569" s="1371"/>
      <c r="R569" s="1371"/>
      <c r="S569" s="8"/>
      <c r="T569" s="22"/>
      <c r="U569" t="s">
        <v>85</v>
      </c>
      <c r="Z569" s="1371" t="s">
        <v>2720</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579</v>
      </c>
      <c r="G570" s="1371" t="s">
        <v>2718</v>
      </c>
      <c r="H570" s="1371"/>
      <c r="I570" s="1371"/>
      <c r="J570" s="1371"/>
      <c r="K570" s="1371"/>
      <c r="L570" s="1371"/>
      <c r="M570" s="1371"/>
      <c r="N570" s="1371"/>
      <c r="O570" s="1371"/>
      <c r="P570" s="1371"/>
      <c r="Q570" s="1371"/>
      <c r="R570" s="1371"/>
      <c r="T570" s="22"/>
      <c r="U570" t="s">
        <v>579</v>
      </c>
      <c r="Z570" s="1348" t="s">
        <v>2721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2719</v>
      </c>
      <c r="H571" s="1371"/>
      <c r="I571" s="1371"/>
      <c r="J571" s="1371"/>
      <c r="K571" s="1371"/>
      <c r="L571" s="1371"/>
      <c r="M571" s="1371"/>
      <c r="N571" s="1371"/>
      <c r="O571" s="1371"/>
      <c r="P571" s="1371"/>
      <c r="Q571" s="1371"/>
      <c r="R571" s="1371"/>
      <c r="S571" s="8"/>
      <c r="T571" s="22"/>
      <c r="U571" t="s">
        <v>17</v>
      </c>
      <c r="Z571" s="1348" t="s">
        <v>2722</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t="s">
        <v>2725</v>
      </c>
      <c r="H572" s="1346"/>
      <c r="I572" s="1346"/>
      <c r="J572" s="1346"/>
      <c r="K572" s="1346"/>
      <c r="L572" s="1346"/>
      <c r="O572" s="33" t="s">
        <v>205</v>
      </c>
      <c r="P572" s="1437"/>
      <c r="Q572" s="1437"/>
      <c r="R572" s="1437"/>
      <c r="S572" s="10"/>
      <c r="T572" s="22"/>
      <c r="U572" t="s">
        <v>315</v>
      </c>
      <c r="Z572" s="1346" t="s">
        <v>2728</v>
      </c>
      <c r="AA572" s="1346"/>
      <c r="AB572" s="1346"/>
      <c r="AC572" s="1346"/>
      <c r="AD572" s="1346"/>
      <c r="AE572" s="1346"/>
      <c r="AH572" s="33" t="s">
        <v>205</v>
      </c>
      <c r="AI572" s="1437"/>
      <c r="AJ572" s="1437"/>
      <c r="AK572" s="1437"/>
      <c r="BB572" s="3"/>
      <c r="BC572" s="3"/>
      <c r="BD572" s="3"/>
      <c r="BE572" s="3"/>
      <c r="BF572" s="3"/>
      <c r="BG572" s="3"/>
      <c r="BH572" s="3"/>
      <c r="BI572" s="3"/>
    </row>
    <row r="573" spans="1:61" ht="12.95" customHeight="1">
      <c r="A573" s="22"/>
      <c r="B573" t="s">
        <v>18</v>
      </c>
      <c r="H573" s="1371" t="s">
        <v>2726</v>
      </c>
      <c r="I573" s="1371"/>
      <c r="J573" s="1371"/>
      <c r="K573" s="1371"/>
      <c r="L573" s="1371"/>
      <c r="M573" s="1371"/>
      <c r="N573" s="1371"/>
      <c r="O573" s="1371"/>
      <c r="P573" s="1371"/>
      <c r="Q573" s="1371"/>
      <c r="R573" s="1371"/>
      <c r="S573" s="8"/>
      <c r="T573" s="22"/>
      <c r="U573" t="s">
        <v>18</v>
      </c>
      <c r="AA573" s="1371" t="s">
        <v>2729</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1184</v>
      </c>
      <c r="H574" s="8"/>
      <c r="I574" s="8"/>
      <c r="J574" s="8"/>
      <c r="K574" s="8"/>
      <c r="L574" s="8"/>
      <c r="M574" s="1696"/>
      <c r="N574" s="1696"/>
      <c r="O574" s="1696"/>
      <c r="P574" s="1696"/>
      <c r="Q574" s="1696"/>
      <c r="R574" s="1696"/>
      <c r="S574" s="8"/>
      <c r="T574" s="22"/>
      <c r="U574" s="320" t="s">
        <v>1184</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544</v>
      </c>
      <c r="O575" s="1332"/>
      <c r="T575" s="22"/>
      <c r="U575" t="s">
        <v>20</v>
      </c>
      <c r="AG575" s="1332" t="s">
        <v>544</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8" t="str">
        <f>C556</f>
        <v>Citibank, N.A.</v>
      </c>
      <c r="H577" s="1358"/>
      <c r="I577" s="1358"/>
      <c r="J577" s="1358"/>
      <c r="K577" s="1358"/>
      <c r="L577" s="1358"/>
      <c r="M577" s="1358"/>
      <c r="N577" s="1358"/>
      <c r="O577" s="1358"/>
      <c r="P577" s="1358"/>
      <c r="Q577" s="1358"/>
      <c r="R577" s="1358"/>
      <c r="T577" s="55" t="s">
        <v>580</v>
      </c>
      <c r="U577" t="s">
        <v>462</v>
      </c>
      <c r="Z577" s="1358" t="str">
        <f>C557</f>
        <v>National Equity Fund, Inc</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2717</v>
      </c>
      <c r="H578" s="1371"/>
      <c r="I578" s="1371"/>
      <c r="J578" s="1371"/>
      <c r="K578" s="1371"/>
      <c r="L578" s="1371"/>
      <c r="M578" s="1371"/>
      <c r="N578" s="1371"/>
      <c r="O578" s="1371"/>
      <c r="P578" s="1371"/>
      <c r="Q578" s="1371"/>
      <c r="R578" s="1371"/>
      <c r="T578" s="22"/>
      <c r="U578" t="s">
        <v>85</v>
      </c>
      <c r="Z578" s="1371" t="s">
        <v>2723</v>
      </c>
      <c r="AA578" s="1371"/>
      <c r="AB578" s="1371"/>
      <c r="AC578" s="1371"/>
      <c r="AD578" s="1371"/>
      <c r="AE578" s="1371"/>
      <c r="AF578" s="1371"/>
      <c r="AG578" s="1371"/>
      <c r="AH578" s="1371"/>
      <c r="AI578" s="1371"/>
      <c r="AJ578" s="1371"/>
      <c r="AK578" s="1371"/>
      <c r="BB578" s="3"/>
      <c r="BC578" s="3"/>
    </row>
    <row r="579" spans="1:55" ht="12.95" customHeight="1">
      <c r="A579" s="22"/>
      <c r="B579" t="s">
        <v>579</v>
      </c>
      <c r="G579" s="1348" t="s">
        <v>2718</v>
      </c>
      <c r="H579" s="1348"/>
      <c r="I579" s="1348"/>
      <c r="J579" s="1348"/>
      <c r="K579" s="1348"/>
      <c r="L579" s="1348"/>
      <c r="M579" s="1348"/>
      <c r="N579" s="1348"/>
      <c r="O579" s="1348"/>
      <c r="P579" s="1348"/>
      <c r="Q579" s="1348"/>
      <c r="R579" s="1348"/>
      <c r="T579" s="22"/>
      <c r="U579" t="s">
        <v>579</v>
      </c>
      <c r="Z579" s="1348" t="s">
        <v>2672</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2719</v>
      </c>
      <c r="H580" s="1348"/>
      <c r="I580" s="1348"/>
      <c r="J580" s="1348"/>
      <c r="K580" s="1348"/>
      <c r="L580" s="1348"/>
      <c r="M580" s="1348"/>
      <c r="N580" s="1348"/>
      <c r="O580" s="1348"/>
      <c r="P580" s="1348"/>
      <c r="Q580" s="1348"/>
      <c r="R580" s="1348"/>
      <c r="T580" s="22"/>
      <c r="U580" t="s">
        <v>17</v>
      </c>
      <c r="Z580" s="1348" t="s">
        <v>2673</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t="s">
        <v>2725</v>
      </c>
      <c r="H581" s="1346"/>
      <c r="I581" s="1346"/>
      <c r="J581" s="1346"/>
      <c r="K581" s="1346"/>
      <c r="L581" s="1346"/>
      <c r="O581" s="33" t="s">
        <v>205</v>
      </c>
      <c r="P581" s="1437"/>
      <c r="Q581" s="1437"/>
      <c r="R581" s="1437"/>
      <c r="T581" s="22"/>
      <c r="U581" t="s">
        <v>315</v>
      </c>
      <c r="Z581" s="1346" t="s">
        <v>2674</v>
      </c>
      <c r="AA581" s="1346"/>
      <c r="AB581" s="1346"/>
      <c r="AC581" s="1346"/>
      <c r="AD581" s="1346"/>
      <c r="AE581" s="1346"/>
      <c r="AH581" s="33" t="s">
        <v>205</v>
      </c>
      <c r="AI581" s="1437"/>
      <c r="AJ581" s="1437"/>
      <c r="AK581" s="1437"/>
      <c r="BB581" s="3"/>
      <c r="BC581" s="3"/>
    </row>
    <row r="582" spans="1:55" ht="12.95" customHeight="1">
      <c r="A582" s="22"/>
      <c r="B582" t="s">
        <v>18</v>
      </c>
      <c r="H582" s="1416" t="s">
        <v>2727</v>
      </c>
      <c r="I582" s="1371"/>
      <c r="J582" s="1371"/>
      <c r="K582" s="1371"/>
      <c r="L582" s="1371"/>
      <c r="M582" s="1371"/>
      <c r="N582" s="1371"/>
      <c r="O582" s="1371"/>
      <c r="P582" s="1371"/>
      <c r="Q582" s="1371"/>
      <c r="R582" s="1371"/>
      <c r="T582" s="22"/>
      <c r="U582" t="s">
        <v>18</v>
      </c>
      <c r="AA582" s="1371" t="s">
        <v>2730</v>
      </c>
      <c r="AB582" s="1371"/>
      <c r="AC582" s="1371"/>
      <c r="AD582" s="1371"/>
      <c r="AE582" s="1371"/>
      <c r="AF582" s="1371"/>
      <c r="AG582" s="1371"/>
      <c r="AH582" s="1371"/>
      <c r="AI582" s="1371"/>
      <c r="AJ582" s="1371"/>
      <c r="AK582" s="1371"/>
      <c r="BB582" s="3"/>
      <c r="BC582" s="3"/>
    </row>
    <row r="583" spans="1:55" ht="12.95" customHeight="1">
      <c r="A583" s="22"/>
      <c r="B583" t="s">
        <v>20</v>
      </c>
      <c r="N583" s="1332" t="s">
        <v>544</v>
      </c>
      <c r="O583" s="1332"/>
      <c r="T583" s="22"/>
      <c r="U583" t="s">
        <v>20</v>
      </c>
      <c r="AG583" s="1332" t="s">
        <v>544</v>
      </c>
      <c r="AH583" s="1332"/>
      <c r="BB583" s="3"/>
      <c r="BC583" s="3"/>
    </row>
    <row r="584" spans="1:55" ht="12.95" customHeight="1">
      <c r="A584" s="22"/>
      <c r="T584" s="22"/>
      <c r="BB584" s="3"/>
      <c r="BC584" s="3"/>
    </row>
    <row r="585" spans="1:55" ht="12.95" customHeight="1">
      <c r="A585" s="55" t="s">
        <v>762</v>
      </c>
      <c r="B585" t="s">
        <v>462</v>
      </c>
      <c r="G585" s="1358" t="str">
        <f>C558</f>
        <v>GP Capital Contribution</v>
      </c>
      <c r="H585" s="1358"/>
      <c r="I585" s="1358"/>
      <c r="J585" s="1358"/>
      <c r="K585" s="1358"/>
      <c r="L585" s="1358"/>
      <c r="M585" s="1358"/>
      <c r="N585" s="1358"/>
      <c r="O585" s="1358"/>
      <c r="P585" s="1358"/>
      <c r="Q585" s="1358"/>
      <c r="R585" s="1358"/>
      <c r="T585" s="55" t="s">
        <v>583</v>
      </c>
      <c r="U585" t="s">
        <v>462</v>
      </c>
      <c r="Z585" s="1358" t="str">
        <f>C559</f>
        <v>Deferred Developer Fee</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2623</v>
      </c>
      <c r="H586" s="1371"/>
      <c r="I586" s="1371"/>
      <c r="J586" s="1371"/>
      <c r="K586" s="1371"/>
      <c r="L586" s="1371"/>
      <c r="M586" s="1371"/>
      <c r="N586" s="1371"/>
      <c r="O586" s="1371"/>
      <c r="P586" s="1371"/>
      <c r="Q586" s="1371"/>
      <c r="R586" s="1371"/>
      <c r="T586" s="22"/>
      <c r="U586" t="s">
        <v>85</v>
      </c>
      <c r="Z586" s="1371" t="s">
        <v>2623</v>
      </c>
      <c r="AA586" s="1371"/>
      <c r="AB586" s="1371"/>
      <c r="AC586" s="1371"/>
      <c r="AD586" s="1371"/>
      <c r="AE586" s="1371"/>
      <c r="AF586" s="1371"/>
      <c r="AG586" s="1371"/>
      <c r="AH586" s="1371"/>
      <c r="AI586" s="1371"/>
      <c r="AJ586" s="1371"/>
      <c r="AK586" s="1371"/>
      <c r="BB586" s="3"/>
      <c r="BC586" s="3"/>
    </row>
    <row r="587" spans="1:55" ht="12.95" customHeight="1">
      <c r="A587" s="22"/>
      <c r="B587" t="s">
        <v>579</v>
      </c>
      <c r="G587" s="1371" t="s">
        <v>2639</v>
      </c>
      <c r="H587" s="1371"/>
      <c r="I587" s="1371"/>
      <c r="J587" s="1371"/>
      <c r="K587" s="1371"/>
      <c r="L587" s="1371"/>
      <c r="M587" s="1371"/>
      <c r="N587" s="1371"/>
      <c r="O587" s="1371"/>
      <c r="P587" s="1371"/>
      <c r="Q587" s="1371"/>
      <c r="R587" s="1371"/>
      <c r="T587" s="22"/>
      <c r="U587" t="s">
        <v>579</v>
      </c>
      <c r="Z587" s="1348" t="s">
        <v>2639</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2626</v>
      </c>
      <c r="H588" s="1371"/>
      <c r="I588" s="1371"/>
      <c r="J588" s="1371"/>
      <c r="K588" s="1371"/>
      <c r="L588" s="1371"/>
      <c r="M588" s="1371"/>
      <c r="N588" s="1371"/>
      <c r="O588" s="1371"/>
      <c r="P588" s="1371"/>
      <c r="Q588" s="1371"/>
      <c r="R588" s="1371"/>
      <c r="T588" s="22"/>
      <c r="U588" t="s">
        <v>17</v>
      </c>
      <c r="Z588" s="1348" t="s">
        <v>2626</v>
      </c>
      <c r="AA588" s="1348"/>
      <c r="AB588" s="1348"/>
      <c r="AC588" s="1348"/>
      <c r="AD588" s="1348"/>
      <c r="AE588" s="1348"/>
      <c r="AF588" s="1348"/>
      <c r="AG588" s="1348"/>
      <c r="AH588" s="1348"/>
      <c r="AI588" s="1348"/>
      <c r="AJ588" s="1348"/>
      <c r="AK588" s="1348"/>
    </row>
    <row r="589" spans="1:55" ht="12.95" customHeight="1">
      <c r="A589" s="22"/>
      <c r="B589" t="s">
        <v>315</v>
      </c>
      <c r="G589" s="1346" t="s">
        <v>2627</v>
      </c>
      <c r="H589" s="1346"/>
      <c r="I589" s="1346"/>
      <c r="J589" s="1346"/>
      <c r="K589" s="1346"/>
      <c r="L589" s="1346"/>
      <c r="O589" s="33" t="s">
        <v>205</v>
      </c>
      <c r="P589" s="1437"/>
      <c r="Q589" s="1437"/>
      <c r="R589" s="1437"/>
      <c r="T589" s="22"/>
      <c r="U589" t="s">
        <v>315</v>
      </c>
      <c r="Z589" s="1346" t="s">
        <v>2627</v>
      </c>
      <c r="AA589" s="1346"/>
      <c r="AB589" s="1346"/>
      <c r="AC589" s="1346"/>
      <c r="AD589" s="1346"/>
      <c r="AE589" s="1346"/>
      <c r="AH589" s="33" t="s">
        <v>205</v>
      </c>
      <c r="AI589" s="1437"/>
      <c r="AJ589" s="1437"/>
      <c r="AK589" s="1437"/>
      <c r="AZ589" s="3"/>
      <c r="BA589" s="3"/>
      <c r="BB589" s="3"/>
      <c r="BC589" s="3"/>
    </row>
    <row r="590" spans="1:55" ht="12.95" customHeight="1">
      <c r="A590" s="22"/>
      <c r="B590" t="s">
        <v>18</v>
      </c>
      <c r="H590" s="1371" t="s">
        <v>2714</v>
      </c>
      <c r="I590" s="1371"/>
      <c r="J590" s="1371"/>
      <c r="K590" s="1371"/>
      <c r="L590" s="1371"/>
      <c r="M590" s="1371"/>
      <c r="N590" s="1371"/>
      <c r="O590" s="1371"/>
      <c r="P590" s="1371"/>
      <c r="Q590" s="1371"/>
      <c r="R590" s="1371"/>
      <c r="T590" s="22"/>
      <c r="U590" t="s">
        <v>18</v>
      </c>
      <c r="AA590" s="1371" t="s">
        <v>2724</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544</v>
      </c>
      <c r="O591" s="1332"/>
      <c r="T591" s="22"/>
      <c r="U591" t="s">
        <v>20</v>
      </c>
      <c r="AG591" s="1332" t="s">
        <v>544</v>
      </c>
      <c r="AH591" s="1332"/>
      <c r="AZ591" s="3"/>
      <c r="BA591" s="3"/>
      <c r="BB591" s="3"/>
      <c r="BC591" s="3"/>
    </row>
    <row r="592" spans="1:55" ht="12.95" customHeight="1">
      <c r="A592" s="22"/>
      <c r="T592" s="22"/>
      <c r="AZ592" s="3"/>
      <c r="BA592" s="3"/>
      <c r="BB592" s="3"/>
      <c r="BC592" s="3"/>
    </row>
    <row r="593" spans="1:55" ht="12.95" customHeight="1">
      <c r="A593" s="55" t="s">
        <v>454</v>
      </c>
      <c r="B593" t="s">
        <v>462</v>
      </c>
      <c r="G593" s="1358" t="str">
        <f>C560</f>
        <v>Short-Term Bond Reinvestment Proceeds</v>
      </c>
      <c r="H593" s="1358"/>
      <c r="I593" s="1358"/>
      <c r="J593" s="1358"/>
      <c r="K593" s="1358"/>
      <c r="L593" s="1358"/>
      <c r="M593" s="1358"/>
      <c r="N593" s="1358"/>
      <c r="O593" s="1358"/>
      <c r="P593" s="1358"/>
      <c r="Q593" s="1358"/>
      <c r="R593" s="1358"/>
      <c r="T593" s="55" t="s">
        <v>455</v>
      </c>
      <c r="U593" t="s">
        <v>462</v>
      </c>
      <c r="Z593" s="1358" t="str">
        <f>C561</f>
        <v>Deferred Costs</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
        <v>2623</v>
      </c>
      <c r="H594" s="1371"/>
      <c r="I594" s="1371"/>
      <c r="J594" s="1371"/>
      <c r="K594" s="1371"/>
      <c r="L594" s="1371"/>
      <c r="M594" s="1371"/>
      <c r="N594" s="1371"/>
      <c r="O594" s="1371"/>
      <c r="P594" s="1371"/>
      <c r="Q594" s="1371"/>
      <c r="R594" s="1371"/>
      <c r="S594"/>
      <c r="T594" s="22"/>
      <c r="U594" t="s">
        <v>85</v>
      </c>
      <c r="V594"/>
      <c r="W594"/>
      <c r="X594"/>
      <c r="Y594"/>
      <c r="Z594" s="1371" t="s">
        <v>2623</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1" t="s">
        <v>2639</v>
      </c>
      <c r="H595" s="1371"/>
      <c r="I595" s="1371"/>
      <c r="J595" s="1371"/>
      <c r="K595" s="1371"/>
      <c r="L595" s="1371"/>
      <c r="M595" s="1371"/>
      <c r="N595" s="1371"/>
      <c r="O595" s="1371"/>
      <c r="P595" s="1371"/>
      <c r="Q595" s="1371"/>
      <c r="R595" s="1371"/>
      <c r="S595"/>
      <c r="T595" s="22"/>
      <c r="U595" t="s">
        <v>579</v>
      </c>
      <c r="V595"/>
      <c r="W595"/>
      <c r="X595"/>
      <c r="Y595"/>
      <c r="Z595" s="1348" t="s">
        <v>2639</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2626</v>
      </c>
      <c r="H596" s="1371"/>
      <c r="I596" s="1371"/>
      <c r="J596" s="1371"/>
      <c r="K596" s="1371"/>
      <c r="L596" s="1371"/>
      <c r="M596" s="1371"/>
      <c r="N596" s="1371"/>
      <c r="O596" s="1371"/>
      <c r="P596" s="1371"/>
      <c r="Q596" s="1371"/>
      <c r="R596" s="1371"/>
      <c r="S596"/>
      <c r="T596" s="22"/>
      <c r="U596" t="s">
        <v>17</v>
      </c>
      <c r="V596"/>
      <c r="W596"/>
      <c r="X596"/>
      <c r="Y596"/>
      <c r="Z596" s="1348" t="s">
        <v>2626</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t="s">
        <v>2627</v>
      </c>
      <c r="H597" s="1346"/>
      <c r="I597" s="1346"/>
      <c r="J597" s="1346"/>
      <c r="K597" s="1346"/>
      <c r="L597" s="1346"/>
      <c r="M597"/>
      <c r="N597"/>
      <c r="O597" s="33" t="s">
        <v>205</v>
      </c>
      <c r="P597" s="1437"/>
      <c r="Q597" s="1437"/>
      <c r="R597" s="1437"/>
      <c r="S597"/>
      <c r="T597" s="22"/>
      <c r="U597" t="s">
        <v>315</v>
      </c>
      <c r="V597"/>
      <c r="W597"/>
      <c r="X597"/>
      <c r="Y597"/>
      <c r="Z597" s="1346" t="s">
        <v>2627</v>
      </c>
      <c r="AA597" s="1346"/>
      <c r="AB597" s="1346"/>
      <c r="AC597" s="1346"/>
      <c r="AD597" s="1346"/>
      <c r="AE597" s="1346"/>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6" t="s">
        <v>2733</v>
      </c>
      <c r="I598" s="1371"/>
      <c r="J598" s="1371"/>
      <c r="K598" s="1371"/>
      <c r="L598" s="1371"/>
      <c r="M598" s="1371"/>
      <c r="N598" s="1371"/>
      <c r="O598" s="1371"/>
      <c r="P598" s="1371"/>
      <c r="Q598" s="1371"/>
      <c r="R598" s="1371"/>
      <c r="S598"/>
      <c r="T598" s="22"/>
      <c r="U598" t="s">
        <v>18</v>
      </c>
      <c r="V598"/>
      <c r="W598"/>
      <c r="X598"/>
      <c r="Y598"/>
      <c r="Z598"/>
      <c r="AA598" s="1371" t="s">
        <v>2724</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544</v>
      </c>
      <c r="O599" s="1332"/>
      <c r="T599" s="22"/>
      <c r="U599" t="s">
        <v>20</v>
      </c>
      <c r="AG599" s="1332" t="s">
        <v>544</v>
      </c>
      <c r="AH599" s="1332"/>
      <c r="BB599" s="3"/>
      <c r="BC599" s="3"/>
    </row>
    <row r="600" spans="1:55" ht="12.95" customHeight="1">
      <c r="A600" s="22"/>
      <c r="T600" s="22"/>
      <c r="BB600" s="3"/>
      <c r="BC600" s="3"/>
    </row>
    <row r="601" spans="1:55" ht="12.95" customHeight="1">
      <c r="A601" s="55" t="s">
        <v>460</v>
      </c>
      <c r="B601" t="s">
        <v>462</v>
      </c>
      <c r="G601" s="1358">
        <f>C562</f>
        <v>0</v>
      </c>
      <c r="H601" s="1358"/>
      <c r="I601" s="1358"/>
      <c r="J601" s="1358"/>
      <c r="K601" s="1358"/>
      <c r="L601" s="1358"/>
      <c r="M601" s="1358"/>
      <c r="N601" s="1358"/>
      <c r="O601" s="1358"/>
      <c r="P601" s="1358"/>
      <c r="Q601" s="1358"/>
      <c r="R601" s="1358"/>
      <c r="T601" s="55" t="s">
        <v>645</v>
      </c>
      <c r="U601" t="s">
        <v>462</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579</v>
      </c>
      <c r="G603" s="1371"/>
      <c r="H603" s="1371"/>
      <c r="I603" s="1371"/>
      <c r="J603" s="1371"/>
      <c r="K603" s="1371"/>
      <c r="L603" s="1371"/>
      <c r="M603" s="1371"/>
      <c r="N603" s="1371"/>
      <c r="O603" s="1371"/>
      <c r="P603" s="1371"/>
      <c r="Q603" s="1371"/>
      <c r="R603" s="1371"/>
      <c r="T603" s="22"/>
      <c r="U603" t="s">
        <v>579</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c r="H605" s="1346"/>
      <c r="I605" s="1346"/>
      <c r="J605" s="1346"/>
      <c r="K605" s="1346"/>
      <c r="L605" s="1346"/>
      <c r="M605"/>
      <c r="N605"/>
      <c r="O605" s="33" t="s">
        <v>205</v>
      </c>
      <c r="P605" s="1437"/>
      <c r="Q605" s="1437"/>
      <c r="R605" s="1437"/>
      <c r="S605"/>
      <c r="T605" s="22"/>
      <c r="U605" t="s">
        <v>315</v>
      </c>
      <c r="V605"/>
      <c r="W605"/>
      <c r="X605"/>
      <c r="Y605"/>
      <c r="Z605" s="1346"/>
      <c r="AA605" s="1346"/>
      <c r="AB605" s="1346"/>
      <c r="AC605" s="1346"/>
      <c r="AD605" s="1346"/>
      <c r="AE605" s="1346"/>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358">
        <f>C564</f>
        <v>0</v>
      </c>
      <c r="H609" s="1358"/>
      <c r="I609" s="1358"/>
      <c r="J609" s="1358"/>
      <c r="K609" s="1358"/>
      <c r="L609" s="1358"/>
      <c r="M609" s="1358"/>
      <c r="N609" s="1358"/>
      <c r="O609" s="1358"/>
      <c r="P609" s="1358"/>
      <c r="Q609" s="1358"/>
      <c r="R609" s="1358"/>
      <c r="T609" s="55" t="s">
        <v>362</v>
      </c>
      <c r="U609" t="s">
        <v>462</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579</v>
      </c>
      <c r="G611" s="1371"/>
      <c r="H611" s="1371"/>
      <c r="I611" s="1371"/>
      <c r="J611" s="1371"/>
      <c r="K611" s="1371"/>
      <c r="L611" s="1371"/>
      <c r="M611" s="1371"/>
      <c r="N611" s="1371"/>
      <c r="O611" s="1371"/>
      <c r="P611" s="1371"/>
      <c r="Q611" s="1371"/>
      <c r="R611" s="1371"/>
      <c r="U611" t="s">
        <v>579</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37"/>
      <c r="Q613" s="1437"/>
      <c r="R613" s="1437"/>
      <c r="U613" t="s">
        <v>315</v>
      </c>
      <c r="Z613" s="1346"/>
      <c r="AA613" s="1346"/>
      <c r="AB613" s="1346"/>
      <c r="AC613" s="1346"/>
      <c r="AD613" s="1346"/>
      <c r="AE613" s="1346"/>
      <c r="AH613" s="33" t="s">
        <v>205</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668</v>
      </c>
      <c r="O615" s="1332"/>
      <c r="U615" t="s">
        <v>20</v>
      </c>
      <c r="AG615" s="1332" t="s">
        <v>668</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00" t="s">
        <v>2101</v>
      </c>
      <c r="C624" s="1700"/>
      <c r="D624" s="1700"/>
      <c r="E624" s="1700"/>
      <c r="F624" s="1700"/>
      <c r="G624" s="1700"/>
      <c r="H624" s="1700"/>
      <c r="I624" s="1700"/>
      <c r="J624" s="1700"/>
      <c r="K624" s="1700"/>
      <c r="L624" s="1700"/>
      <c r="M624" s="1443" t="s">
        <v>2102</v>
      </c>
      <c r="N624" s="1443"/>
      <c r="O624" s="1443"/>
      <c r="P624" s="1443"/>
      <c r="Q624" s="1443" t="s">
        <v>1851</v>
      </c>
      <c r="R624" s="1443"/>
      <c r="S624" s="1443"/>
      <c r="T624" s="1443" t="s">
        <v>1849</v>
      </c>
      <c r="U624" s="1443"/>
      <c r="V624" s="1443"/>
      <c r="W624" s="1701" t="s">
        <v>452</v>
      </c>
      <c r="X624" s="1701"/>
      <c r="Y624" s="1701"/>
      <c r="Z624" s="1431" t="s">
        <v>2131</v>
      </c>
      <c r="AA624" s="1431"/>
      <c r="AB624" s="1432"/>
      <c r="AC624" s="1683" t="s">
        <v>1675</v>
      </c>
      <c r="AD624" s="1684"/>
      <c r="AE624" s="1685"/>
      <c r="AF624" s="1673" t="s">
        <v>1929</v>
      </c>
      <c r="AG624" s="1431"/>
      <c r="AH624" s="1431"/>
      <c r="AI624" s="1431"/>
      <c r="AJ624" s="1432"/>
      <c r="AK624" s="1733" t="s">
        <v>1930</v>
      </c>
      <c r="AL624" s="1734"/>
      <c r="AM624" s="1734"/>
      <c r="AN624" s="1735"/>
      <c r="AO624" s="1443" t="s">
        <v>453</v>
      </c>
      <c r="AP624" s="1443"/>
      <c r="AQ624" s="1443"/>
      <c r="AR624" s="1443"/>
      <c r="AS624" s="1443"/>
      <c r="AU624" s="3"/>
      <c r="AZ624" s="3"/>
      <c r="BA624" s="3"/>
      <c r="BB624" s="3"/>
      <c r="BC624" s="3"/>
    </row>
    <row r="625" spans="2:157" ht="12.95" customHeight="1">
      <c r="B625" s="1700"/>
      <c r="C625" s="1700"/>
      <c r="D625" s="1700"/>
      <c r="E625" s="1700"/>
      <c r="F625" s="1700"/>
      <c r="G625" s="1700"/>
      <c r="H625" s="1700"/>
      <c r="I625" s="1700"/>
      <c r="J625" s="1700"/>
      <c r="K625" s="1700"/>
      <c r="L625" s="1700"/>
      <c r="M625" s="1443"/>
      <c r="N625" s="1443"/>
      <c r="O625" s="1443"/>
      <c r="P625" s="1443"/>
      <c r="Q625" s="1443"/>
      <c r="R625" s="1443"/>
      <c r="S625" s="1443"/>
      <c r="T625" s="1443"/>
      <c r="U625" s="1443"/>
      <c r="V625" s="1443"/>
      <c r="W625" s="1701"/>
      <c r="X625" s="1701"/>
      <c r="Y625" s="1701"/>
      <c r="Z625" s="1433"/>
      <c r="AA625" s="1433"/>
      <c r="AB625" s="1434"/>
      <c r="AC625" s="1686"/>
      <c r="AD625" s="1687"/>
      <c r="AE625" s="1688"/>
      <c r="AF625" s="1674"/>
      <c r="AG625" s="1433"/>
      <c r="AH625" s="1433"/>
      <c r="AI625" s="1433"/>
      <c r="AJ625" s="1434"/>
      <c r="AK625" s="1736"/>
      <c r="AL625" s="1737"/>
      <c r="AM625" s="1737"/>
      <c r="AN625" s="1738"/>
      <c r="AO625" s="1443"/>
      <c r="AP625" s="1443"/>
      <c r="AQ625" s="1443"/>
      <c r="AR625" s="1443"/>
      <c r="AS625" s="1443"/>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3"/>
      <c r="N626" s="1443"/>
      <c r="O626" s="1443"/>
      <c r="P626" s="1443"/>
      <c r="Q626" s="1443"/>
      <c r="R626" s="1443"/>
      <c r="S626" s="1443"/>
      <c r="T626" s="1443"/>
      <c r="U626" s="1443"/>
      <c r="V626" s="1443"/>
      <c r="W626" s="1701"/>
      <c r="X626" s="1701"/>
      <c r="Y626" s="1701"/>
      <c r="Z626" s="1435"/>
      <c r="AA626" s="1435"/>
      <c r="AB626" s="1436"/>
      <c r="AC626" s="1689"/>
      <c r="AD626" s="1690"/>
      <c r="AE626" s="1691"/>
      <c r="AF626" s="1675"/>
      <c r="AG626" s="1435"/>
      <c r="AH626" s="1435"/>
      <c r="AI626" s="1435"/>
      <c r="AJ626" s="1436"/>
      <c r="AK626" s="1739"/>
      <c r="AL626" s="1740"/>
      <c r="AM626" s="1740"/>
      <c r="AN626" s="1741"/>
      <c r="AO626" s="1443"/>
      <c r="AP626" s="1443"/>
      <c r="AQ626" s="1443"/>
      <c r="AR626" s="1443"/>
      <c r="AS626" s="1443"/>
      <c r="AT626" s="3"/>
      <c r="AU626" s="3"/>
      <c r="AZ626" s="3"/>
      <c r="BA626" s="3"/>
      <c r="BB626" s="3"/>
      <c r="BC626" s="3"/>
      <c r="BD626" s="3"/>
    </row>
    <row r="627" spans="2:157" ht="12.95" customHeight="1">
      <c r="B627" s="51" t="s">
        <v>112</v>
      </c>
      <c r="C627" s="1442" t="s">
        <v>2711</v>
      </c>
      <c r="D627" s="1442"/>
      <c r="E627" s="1442"/>
      <c r="F627" s="1442"/>
      <c r="G627" s="1442"/>
      <c r="H627" s="1442"/>
      <c r="I627" s="1442"/>
      <c r="J627" s="1442"/>
      <c r="K627" s="1442"/>
      <c r="L627" s="1442"/>
      <c r="M627" s="1619" t="s">
        <v>2118</v>
      </c>
      <c r="N627" s="1619"/>
      <c r="O627" s="1619"/>
      <c r="P627" s="1619"/>
      <c r="Q627" s="1426">
        <v>204</v>
      </c>
      <c r="R627" s="1426"/>
      <c r="S627" s="1427"/>
      <c r="T627" s="1425">
        <v>480</v>
      </c>
      <c r="U627" s="1426"/>
      <c r="V627" s="1427"/>
      <c r="W627" s="1438">
        <v>5.8999999999999997E-2</v>
      </c>
      <c r="X627" s="1439"/>
      <c r="Y627" s="1440"/>
      <c r="Z627" s="1479" t="s">
        <v>2130</v>
      </c>
      <c r="AA627" s="1480"/>
      <c r="AB627" s="1481"/>
      <c r="AC627" s="1447">
        <v>1</v>
      </c>
      <c r="AD627" s="1448"/>
      <c r="AE627" s="1449"/>
      <c r="AF627" s="1476">
        <v>2086113.6456999921</v>
      </c>
      <c r="AG627" s="1477"/>
      <c r="AH627" s="1477"/>
      <c r="AI627" s="1477"/>
      <c r="AJ627" s="1478"/>
      <c r="AK627" s="1428">
        <v>0</v>
      </c>
      <c r="AL627" s="1429"/>
      <c r="AM627" s="1429"/>
      <c r="AN627" s="1430"/>
      <c r="AO627" s="1482">
        <v>32000000</v>
      </c>
      <c r="AP627" s="1482"/>
      <c r="AQ627" s="1482"/>
      <c r="AR627" s="1482"/>
      <c r="AS627" s="1482"/>
      <c r="AT627" s="3"/>
      <c r="AU627" s="3"/>
      <c r="AZ627" s="3"/>
      <c r="BA627" s="3"/>
      <c r="BB627" s="3"/>
      <c r="BC627" s="3"/>
      <c r="BD627" s="3"/>
    </row>
    <row r="628" spans="2:157" ht="12.95" customHeight="1">
      <c r="B628" s="52" t="s">
        <v>113</v>
      </c>
      <c r="C628" s="1442" t="s">
        <v>2711</v>
      </c>
      <c r="D628" s="1442"/>
      <c r="E628" s="1442"/>
      <c r="F628" s="1442"/>
      <c r="G628" s="1442"/>
      <c r="H628" s="1442"/>
      <c r="I628" s="1442"/>
      <c r="J628" s="1442"/>
      <c r="K628" s="1442"/>
      <c r="L628" s="1442"/>
      <c r="M628" s="1619" t="s">
        <v>2117</v>
      </c>
      <c r="N628" s="1619"/>
      <c r="O628" s="1619"/>
      <c r="P628" s="1619"/>
      <c r="Q628" s="1425">
        <v>204</v>
      </c>
      <c r="R628" s="1426"/>
      <c r="S628" s="1427"/>
      <c r="T628" s="1425">
        <v>480</v>
      </c>
      <c r="U628" s="1426"/>
      <c r="V628" s="1427"/>
      <c r="W628" s="1438">
        <v>6.25E-2</v>
      </c>
      <c r="X628" s="1439"/>
      <c r="Y628" s="1440"/>
      <c r="Z628" s="1479" t="s">
        <v>2130</v>
      </c>
      <c r="AA628" s="1480"/>
      <c r="AB628" s="1481"/>
      <c r="AC628" s="1447">
        <v>1</v>
      </c>
      <c r="AD628" s="1448"/>
      <c r="AE628" s="1449"/>
      <c r="AF628" s="1476">
        <v>1259700.5652296308</v>
      </c>
      <c r="AG628" s="1477"/>
      <c r="AH628" s="1477"/>
      <c r="AI628" s="1477"/>
      <c r="AJ628" s="1478"/>
      <c r="AK628" s="1428">
        <v>0</v>
      </c>
      <c r="AL628" s="1429"/>
      <c r="AM628" s="1429"/>
      <c r="AN628" s="1430"/>
      <c r="AO628" s="1467">
        <v>18490000</v>
      </c>
      <c r="AP628" s="1468"/>
      <c r="AQ628" s="1468"/>
      <c r="AR628" s="1468"/>
      <c r="AS628" s="1469"/>
      <c r="AT628" s="1148" t="str">
        <f>IF(AND(NOT(C627=""),C628="",NOT(C629="")),"!","")</f>
        <v/>
      </c>
      <c r="AU628" s="3"/>
      <c r="AZ628" s="3"/>
      <c r="BA628" s="3"/>
      <c r="BB628" s="3"/>
      <c r="BC628" s="3"/>
      <c r="BD628" s="3"/>
    </row>
    <row r="629" spans="2:157" ht="12.95" customHeight="1">
      <c r="B629" s="52" t="s">
        <v>119</v>
      </c>
      <c r="C629" s="1442" t="s">
        <v>2712</v>
      </c>
      <c r="D629" s="1442"/>
      <c r="E629" s="1442"/>
      <c r="F629" s="1442"/>
      <c r="G629" s="1442"/>
      <c r="H629" s="1442"/>
      <c r="I629" s="1442"/>
      <c r="J629" s="1442"/>
      <c r="K629" s="1442"/>
      <c r="L629" s="1442"/>
      <c r="M629" s="1619" t="s">
        <v>2119</v>
      </c>
      <c r="N629" s="1619"/>
      <c r="O629" s="1619"/>
      <c r="P629" s="1619"/>
      <c r="Q629" s="1425">
        <v>204</v>
      </c>
      <c r="R629" s="1426"/>
      <c r="S629" s="1427"/>
      <c r="T629" s="1425"/>
      <c r="U629" s="1426"/>
      <c r="V629" s="1427"/>
      <c r="W629" s="1438">
        <v>0.08</v>
      </c>
      <c r="X629" s="1439"/>
      <c r="Y629" s="1440"/>
      <c r="Z629" s="1479" t="s">
        <v>456</v>
      </c>
      <c r="AA629" s="1480"/>
      <c r="AB629" s="1481"/>
      <c r="AC629" s="1447">
        <v>2</v>
      </c>
      <c r="AD629" s="1448"/>
      <c r="AE629" s="1449"/>
      <c r="AF629" s="1476"/>
      <c r="AG629" s="1477"/>
      <c r="AH629" s="1477"/>
      <c r="AI629" s="1477"/>
      <c r="AJ629" s="1478"/>
      <c r="AK629" s="1428"/>
      <c r="AL629" s="1429"/>
      <c r="AM629" s="1429"/>
      <c r="AN629" s="1430"/>
      <c r="AO629" s="1467">
        <v>8000000</v>
      </c>
      <c r="AP629" s="1468"/>
      <c r="AQ629" s="1468"/>
      <c r="AR629" s="1468"/>
      <c r="AS629" s="1469"/>
      <c r="AT629" s="1148" t="str">
        <f t="shared" ref="AT629:AT638" si="1">IF(AND(NOT(C628=""),C629="",NOT(C630="")),"!","")</f>
        <v/>
      </c>
      <c r="AU629" s="3"/>
      <c r="AZ629" s="3"/>
      <c r="BA629" s="3"/>
      <c r="BB629" s="3"/>
      <c r="BC629" s="3"/>
      <c r="BD629" s="3"/>
    </row>
    <row r="630" spans="2:157" ht="12.95" customHeight="1">
      <c r="B630" s="52" t="s">
        <v>580</v>
      </c>
      <c r="C630" s="1347" t="s">
        <v>2319</v>
      </c>
      <c r="D630" s="1347"/>
      <c r="E630" s="1347"/>
      <c r="F630" s="1347"/>
      <c r="G630" s="1347"/>
      <c r="H630" s="1347"/>
      <c r="I630" s="1347"/>
      <c r="J630" s="1347"/>
      <c r="K630" s="1347"/>
      <c r="L630" s="1347"/>
      <c r="M630" s="1619" t="s">
        <v>2105</v>
      </c>
      <c r="N630" s="1619"/>
      <c r="O630" s="1619"/>
      <c r="P630" s="1619"/>
      <c r="Q630" s="1425">
        <v>180</v>
      </c>
      <c r="R630" s="1426"/>
      <c r="S630" s="1427"/>
      <c r="T630" s="1425"/>
      <c r="U630" s="1426"/>
      <c r="V630" s="1427"/>
      <c r="W630" s="1438">
        <v>0.02</v>
      </c>
      <c r="X630" s="1439"/>
      <c r="Y630" s="1440"/>
      <c r="Z630" s="1479" t="s">
        <v>457</v>
      </c>
      <c r="AA630" s="1480"/>
      <c r="AB630" s="1481"/>
      <c r="AC630" s="1447"/>
      <c r="AD630" s="1448"/>
      <c r="AE630" s="1449"/>
      <c r="AF630" s="1476"/>
      <c r="AG630" s="1477"/>
      <c r="AH630" s="1477"/>
      <c r="AI630" s="1477"/>
      <c r="AJ630" s="1478"/>
      <c r="AK630" s="1428"/>
      <c r="AL630" s="1429"/>
      <c r="AM630" s="1429"/>
      <c r="AN630" s="1430"/>
      <c r="AO630" s="1467">
        <v>8878800</v>
      </c>
      <c r="AP630" s="1468"/>
      <c r="AQ630" s="1468"/>
      <c r="AR630" s="1468"/>
      <c r="AS630" s="1469"/>
      <c r="AT630" s="1148" t="str">
        <f t="shared" si="1"/>
        <v/>
      </c>
      <c r="AU630" s="3"/>
      <c r="AZ630" s="3"/>
      <c r="BA630" s="3"/>
      <c r="BB630" s="3"/>
      <c r="BC630" s="3"/>
      <c r="BD630" s="3"/>
    </row>
    <row r="631" spans="2:157" ht="12.95" customHeight="1">
      <c r="B631" s="52" t="s">
        <v>762</v>
      </c>
      <c r="C631" s="1347" t="s">
        <v>2714</v>
      </c>
      <c r="D631" s="1347"/>
      <c r="E631" s="1347"/>
      <c r="F631" s="1347"/>
      <c r="G631" s="1347"/>
      <c r="H631" s="1347"/>
      <c r="I631" s="1347"/>
      <c r="J631" s="1347"/>
      <c r="K631" s="1347"/>
      <c r="L631" s="1347"/>
      <c r="M631" s="1619" t="s">
        <v>2108</v>
      </c>
      <c r="N631" s="1619"/>
      <c r="O631" s="1619"/>
      <c r="P631" s="1619"/>
      <c r="Q631" s="1425"/>
      <c r="R631" s="1426"/>
      <c r="S631" s="1427"/>
      <c r="T631" s="1425"/>
      <c r="U631" s="1426"/>
      <c r="V631" s="1427"/>
      <c r="W631" s="1438"/>
      <c r="X631" s="1439"/>
      <c r="Y631" s="1440"/>
      <c r="Z631" s="1479" t="s">
        <v>1183</v>
      </c>
      <c r="AA631" s="1480"/>
      <c r="AB631" s="1481"/>
      <c r="AC631" s="1447"/>
      <c r="AD631" s="1448"/>
      <c r="AE631" s="1449"/>
      <c r="AF631" s="1476"/>
      <c r="AG631" s="1477"/>
      <c r="AH631" s="1477"/>
      <c r="AI631" s="1477"/>
      <c r="AJ631" s="1478"/>
      <c r="AK631" s="1428"/>
      <c r="AL631" s="1429"/>
      <c r="AM631" s="1429"/>
      <c r="AN631" s="1430"/>
      <c r="AO631" s="1467">
        <v>100</v>
      </c>
      <c r="AP631" s="1468"/>
      <c r="AQ631" s="1468"/>
      <c r="AR631" s="1468"/>
      <c r="AS631" s="1469"/>
      <c r="AT631" s="1148" t="str">
        <f t="shared" si="1"/>
        <v/>
      </c>
      <c r="AU631" s="3"/>
      <c r="AZ631" s="3"/>
      <c r="BA631" s="3"/>
      <c r="BB631" s="3"/>
      <c r="BC631" s="3"/>
      <c r="BD631" s="3"/>
    </row>
    <row r="632" spans="2:157" ht="12.95" customHeight="1">
      <c r="B632" s="52" t="s">
        <v>583</v>
      </c>
      <c r="C632" s="1347" t="s">
        <v>2731</v>
      </c>
      <c r="D632" s="1347"/>
      <c r="E632" s="1347"/>
      <c r="F632" s="1347"/>
      <c r="G632" s="1347"/>
      <c r="H632" s="1347"/>
      <c r="I632" s="1347"/>
      <c r="J632" s="1347"/>
      <c r="K632" s="1347"/>
      <c r="L632" s="1347"/>
      <c r="M632" s="1619" t="s">
        <v>2110</v>
      </c>
      <c r="N632" s="1619"/>
      <c r="O632" s="1619"/>
      <c r="P632" s="1619"/>
      <c r="Q632" s="1425"/>
      <c r="R632" s="1426"/>
      <c r="S632" s="1427"/>
      <c r="T632" s="1425"/>
      <c r="U632" s="1426"/>
      <c r="V632" s="1427"/>
      <c r="W632" s="1438"/>
      <c r="X632" s="1439"/>
      <c r="Y632" s="1440"/>
      <c r="Z632" s="1479" t="s">
        <v>1183</v>
      </c>
      <c r="AA632" s="1480"/>
      <c r="AB632" s="1481"/>
      <c r="AC632" s="1447"/>
      <c r="AD632" s="1448"/>
      <c r="AE632" s="1449"/>
      <c r="AF632" s="1476"/>
      <c r="AG632" s="1477"/>
      <c r="AH632" s="1477"/>
      <c r="AI632" s="1477"/>
      <c r="AJ632" s="1478"/>
      <c r="AK632" s="1428"/>
      <c r="AL632" s="1429"/>
      <c r="AM632" s="1429"/>
      <c r="AN632" s="1430"/>
      <c r="AO632" s="1467">
        <v>1350000</v>
      </c>
      <c r="AP632" s="1468"/>
      <c r="AQ632" s="1468"/>
      <c r="AR632" s="1468"/>
      <c r="AS632" s="1469"/>
      <c r="AT632" s="1148" t="str">
        <f t="shared" si="1"/>
        <v/>
      </c>
      <c r="AU632" s="3"/>
      <c r="AZ632" s="3"/>
      <c r="BA632" s="3"/>
      <c r="BB632" s="3"/>
      <c r="BC632" s="3"/>
      <c r="BD632" s="3"/>
    </row>
    <row r="633" spans="2:157" ht="12.95" customHeight="1">
      <c r="B633" s="52" t="s">
        <v>454</v>
      </c>
      <c r="C633" s="1347" t="s">
        <v>2732</v>
      </c>
      <c r="D633" s="1347"/>
      <c r="E633" s="1347"/>
      <c r="F633" s="1347"/>
      <c r="G633" s="1347"/>
      <c r="H633" s="1347"/>
      <c r="I633" s="1347"/>
      <c r="J633" s="1347"/>
      <c r="K633" s="1347"/>
      <c r="L633" s="1347"/>
      <c r="M633" s="1619" t="s">
        <v>2120</v>
      </c>
      <c r="N633" s="1619"/>
      <c r="O633" s="1619"/>
      <c r="P633" s="1619"/>
      <c r="Q633" s="1425"/>
      <c r="R633" s="1426"/>
      <c r="S633" s="1427"/>
      <c r="T633" s="1425"/>
      <c r="U633" s="1426"/>
      <c r="V633" s="1427"/>
      <c r="W633" s="1438"/>
      <c r="X633" s="1439"/>
      <c r="Y633" s="1440"/>
      <c r="Z633" s="1479" t="s">
        <v>1183</v>
      </c>
      <c r="AA633" s="1480"/>
      <c r="AB633" s="1481"/>
      <c r="AC633" s="1447"/>
      <c r="AD633" s="1448"/>
      <c r="AE633" s="1449"/>
      <c r="AF633" s="1476"/>
      <c r="AG633" s="1477"/>
      <c r="AH633" s="1477"/>
      <c r="AI633" s="1477"/>
      <c r="AJ633" s="1478"/>
      <c r="AK633" s="1428"/>
      <c r="AL633" s="1429"/>
      <c r="AM633" s="1429"/>
      <c r="AN633" s="1430"/>
      <c r="AO633" s="1467">
        <v>4020950</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455</v>
      </c>
      <c r="C634" s="1442" t="s">
        <v>2733</v>
      </c>
      <c r="D634" s="1347"/>
      <c r="E634" s="1347"/>
      <c r="F634" s="1347"/>
      <c r="G634" s="1347"/>
      <c r="H634" s="1347"/>
      <c r="I634" s="1347"/>
      <c r="J634" s="1347"/>
      <c r="K634" s="1347"/>
      <c r="L634" s="1347"/>
      <c r="M634" s="1619" t="s">
        <v>2121</v>
      </c>
      <c r="N634" s="1619"/>
      <c r="O634" s="1619"/>
      <c r="P634" s="1619"/>
      <c r="Q634" s="1425"/>
      <c r="R634" s="1426"/>
      <c r="S634" s="1427"/>
      <c r="T634" s="1425"/>
      <c r="U634" s="1426"/>
      <c r="V634" s="1427"/>
      <c r="W634" s="1438"/>
      <c r="X634" s="1439"/>
      <c r="Y634" s="1440"/>
      <c r="Z634" s="1479" t="s">
        <v>1183</v>
      </c>
      <c r="AA634" s="1480"/>
      <c r="AB634" s="1481"/>
      <c r="AC634" s="1447"/>
      <c r="AD634" s="1448"/>
      <c r="AE634" s="1449"/>
      <c r="AF634" s="1476"/>
      <c r="AG634" s="1477"/>
      <c r="AH634" s="1477"/>
      <c r="AI634" s="1477"/>
      <c r="AJ634" s="1478"/>
      <c r="AK634" s="1428"/>
      <c r="AL634" s="1429"/>
      <c r="AM634" s="1429"/>
      <c r="AN634" s="1430"/>
      <c r="AO634" s="1467">
        <v>3676800</v>
      </c>
      <c r="AP634" s="1468"/>
      <c r="AQ634" s="1468"/>
      <c r="AR634" s="1468"/>
      <c r="AS634" s="1469"/>
      <c r="AT634" s="1148" t="str">
        <f t="shared" si="1"/>
        <v/>
      </c>
      <c r="AU634" s="3"/>
      <c r="AV634" s="3"/>
      <c r="AW634" s="3"/>
      <c r="AX634" s="3"/>
      <c r="AY634" s="3"/>
      <c r="AZ634" s="3"/>
      <c r="BA634" s="3" t="s">
        <v>1183</v>
      </c>
      <c r="BB634" s="3"/>
      <c r="BC634" s="3"/>
      <c r="BD634" s="3"/>
    </row>
    <row r="635" spans="2:157" ht="12.95" customHeight="1">
      <c r="B635" s="52" t="s">
        <v>460</v>
      </c>
      <c r="C635" s="1347"/>
      <c r="D635" s="1347"/>
      <c r="E635" s="1347"/>
      <c r="F635" s="1347"/>
      <c r="G635" s="1347"/>
      <c r="H635" s="1347"/>
      <c r="I635" s="1347"/>
      <c r="J635" s="1347"/>
      <c r="K635" s="1347"/>
      <c r="L635" s="1347"/>
      <c r="M635" s="1619" t="s">
        <v>1183</v>
      </c>
      <c r="N635" s="1619"/>
      <c r="O635" s="1619"/>
      <c r="P635" s="1619"/>
      <c r="Q635" s="1425"/>
      <c r="R635" s="1426"/>
      <c r="S635" s="1427"/>
      <c r="T635" s="1425"/>
      <c r="U635" s="1426"/>
      <c r="V635" s="1427"/>
      <c r="W635" s="1438"/>
      <c r="X635" s="1439"/>
      <c r="Y635" s="1440"/>
      <c r="Z635" s="1479" t="s">
        <v>1183</v>
      </c>
      <c r="AA635" s="1480"/>
      <c r="AB635" s="1481"/>
      <c r="AC635" s="1447"/>
      <c r="AD635" s="1448"/>
      <c r="AE635" s="1449"/>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260.7</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645</v>
      </c>
      <c r="C636" s="1347"/>
      <c r="D636" s="1347"/>
      <c r="E636" s="1347"/>
      <c r="F636" s="1347"/>
      <c r="G636" s="1347"/>
      <c r="H636" s="1347"/>
      <c r="I636" s="1347"/>
      <c r="J636" s="1347"/>
      <c r="K636" s="1347"/>
      <c r="L636" s="1347"/>
      <c r="M636" s="1619" t="s">
        <v>1183</v>
      </c>
      <c r="N636" s="1619"/>
      <c r="O636" s="1619"/>
      <c r="P636" s="1619"/>
      <c r="Q636" s="1425"/>
      <c r="R636" s="1426"/>
      <c r="S636" s="1427"/>
      <c r="T636" s="1425"/>
      <c r="U636" s="1426"/>
      <c r="V636" s="1427"/>
      <c r="W636" s="1438"/>
      <c r="X636" s="1439"/>
      <c r="Y636" s="1440"/>
      <c r="Z636" s="1479" t="s">
        <v>1183</v>
      </c>
      <c r="AA636" s="1480"/>
      <c r="AB636" s="1481"/>
      <c r="AC636" s="1447"/>
      <c r="AD636" s="1448"/>
      <c r="AE636" s="1449"/>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393.66666666666663</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361</v>
      </c>
      <c r="C637" s="1347"/>
      <c r="D637" s="1347"/>
      <c r="E637" s="1347"/>
      <c r="F637" s="1347"/>
      <c r="G637" s="1347"/>
      <c r="H637" s="1347"/>
      <c r="I637" s="1347"/>
      <c r="J637" s="1347"/>
      <c r="K637" s="1347"/>
      <c r="L637" s="1347"/>
      <c r="M637" s="1619" t="s">
        <v>1183</v>
      </c>
      <c r="N637" s="1619"/>
      <c r="O637" s="1619"/>
      <c r="P637" s="1619"/>
      <c r="Q637" s="1425"/>
      <c r="R637" s="1426"/>
      <c r="S637" s="1427"/>
      <c r="T637" s="1425"/>
      <c r="U637" s="1426"/>
      <c r="V637" s="1427"/>
      <c r="W637" s="1438"/>
      <c r="X637" s="1439"/>
      <c r="Y637" s="1440"/>
      <c r="Z637" s="1479" t="s">
        <v>1183</v>
      </c>
      <c r="AA637" s="1480"/>
      <c r="AB637" s="1481"/>
      <c r="AC637" s="1447"/>
      <c r="AD637" s="1448"/>
      <c r="AE637" s="1449"/>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232.66666666666666</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362</v>
      </c>
      <c r="C638" s="1347"/>
      <c r="D638" s="1347"/>
      <c r="E638" s="1347"/>
      <c r="F638" s="1347"/>
      <c r="G638" s="1347"/>
      <c r="H638" s="1347"/>
      <c r="I638" s="1347"/>
      <c r="J638" s="1347"/>
      <c r="K638" s="1347"/>
      <c r="L638" s="1347"/>
      <c r="M638" s="1619" t="s">
        <v>1183</v>
      </c>
      <c r="N638" s="1619"/>
      <c r="O638" s="1619"/>
      <c r="P638" s="1619"/>
      <c r="Q638" s="1425"/>
      <c r="R638" s="1426"/>
      <c r="S638" s="1427"/>
      <c r="T638" s="1425"/>
      <c r="U638" s="1426"/>
      <c r="V638" s="1427"/>
      <c r="W638" s="1438"/>
      <c r="X638" s="1439"/>
      <c r="Y638" s="1440"/>
      <c r="Z638" s="1479" t="s">
        <v>1183</v>
      </c>
      <c r="AA638" s="1480"/>
      <c r="AB638" s="1481"/>
      <c r="AC638" s="1447"/>
      <c r="AD638" s="1448"/>
      <c r="AE638" s="1449"/>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249.45</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76416650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713.33333333333337</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49023966.000000007</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71.100000000000009</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125440616</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42.150000000000006</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967.15</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462</v>
      </c>
      <c r="G643" s="1358" t="str">
        <f>C627</f>
        <v>Citibank, N.A.</v>
      </c>
      <c r="H643" s="1358"/>
      <c r="I643" s="1358"/>
      <c r="J643" s="1358"/>
      <c r="K643" s="1358"/>
      <c r="L643" s="1358"/>
      <c r="M643" s="1358"/>
      <c r="N643" s="1358"/>
      <c r="O643" s="1358"/>
      <c r="P643" s="1358"/>
      <c r="Q643" s="1358"/>
      <c r="R643" s="1358"/>
      <c r="S643" s="8"/>
      <c r="T643" s="55" t="s">
        <v>113</v>
      </c>
      <c r="U643" t="s">
        <v>462</v>
      </c>
      <c r="Z643" s="1358" t="str">
        <f>C628</f>
        <v>Citibank, N.A.</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530.625</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1" t="s">
        <v>2717</v>
      </c>
      <c r="H644" s="1371"/>
      <c r="I644" s="1371"/>
      <c r="J644" s="1371"/>
      <c r="K644" s="1371"/>
      <c r="L644" s="1371"/>
      <c r="M644" s="1371"/>
      <c r="N644" s="1371"/>
      <c r="O644" s="1371"/>
      <c r="P644" s="1371"/>
      <c r="Q644" s="1371"/>
      <c r="R644" s="1371"/>
      <c r="S644" s="8"/>
      <c r="T644" s="22"/>
      <c r="U644" t="s">
        <v>85</v>
      </c>
      <c r="Z644" s="1371" t="s">
        <v>2717</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f t="shared" si="5"/>
        <v>88.178571428571431</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579</v>
      </c>
      <c r="G645" s="1371" t="s">
        <v>2718</v>
      </c>
      <c r="H645" s="1371"/>
      <c r="I645" s="1371"/>
      <c r="J645" s="1371"/>
      <c r="K645" s="1371"/>
      <c r="L645" s="1371"/>
      <c r="M645" s="1371"/>
      <c r="N645" s="1371"/>
      <c r="O645" s="1371"/>
      <c r="P645" s="1371"/>
      <c r="Q645" s="1371"/>
      <c r="R645" s="1371"/>
      <c r="T645" s="22"/>
      <c r="U645" t="s">
        <v>579</v>
      </c>
      <c r="Z645" s="1348" t="s">
        <v>2718</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f t="shared" si="5"/>
        <v>52.392857142857139</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1" t="s">
        <v>2719</v>
      </c>
      <c r="H646" s="1371"/>
      <c r="I646" s="1371"/>
      <c r="J646" s="1371"/>
      <c r="K646" s="1371"/>
      <c r="L646" s="1371"/>
      <c r="M646" s="1371"/>
      <c r="N646" s="1371"/>
      <c r="O646" s="1371"/>
      <c r="P646" s="1371"/>
      <c r="Q646" s="1371"/>
      <c r="R646" s="1371"/>
      <c r="S646" s="8"/>
      <c r="T646" s="22"/>
      <c r="U646" t="s">
        <v>17</v>
      </c>
      <c r="Z646" s="1348" t="s">
        <v>2719</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1446.875</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315</v>
      </c>
      <c r="G647" s="1346" t="s">
        <v>2725</v>
      </c>
      <c r="H647" s="1346"/>
      <c r="I647" s="1346"/>
      <c r="J647" s="1346"/>
      <c r="K647" s="1346"/>
      <c r="L647" s="1346"/>
      <c r="O647" s="33" t="s">
        <v>205</v>
      </c>
      <c r="P647" s="1437"/>
      <c r="Q647" s="1437"/>
      <c r="R647" s="1437"/>
      <c r="S647" s="10"/>
      <c r="T647" s="22"/>
      <c r="U647" t="s">
        <v>315</v>
      </c>
      <c r="Z647" s="1346" t="s">
        <v>2725</v>
      </c>
      <c r="AA647" s="1346"/>
      <c r="AB647" s="1346"/>
      <c r="AC647" s="1346"/>
      <c r="AD647" s="1346"/>
      <c r="AE647" s="1346"/>
      <c r="AH647" s="33" t="s">
        <v>205</v>
      </c>
      <c r="AI647" s="1437"/>
      <c r="AJ647" s="1437"/>
      <c r="AK647" s="1437"/>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f t="shared" si="6"/>
        <v>496.01724137931035</v>
      </c>
      <c r="ES647" s="1446"/>
      <c r="ET647" s="1446"/>
      <c r="EU647" s="1446"/>
      <c r="EV647" s="1446"/>
      <c r="EW647" s="1446" t="e">
        <f t="shared" si="7"/>
        <v>#VALUE!</v>
      </c>
      <c r="EX647" s="1446"/>
      <c r="EY647" s="1446"/>
      <c r="EZ647" s="1446"/>
      <c r="FA647" s="1446"/>
    </row>
    <row r="648" spans="1:157" ht="12.95" customHeight="1">
      <c r="A648" s="22"/>
      <c r="B648" t="s">
        <v>18</v>
      </c>
      <c r="H648" s="1416" t="s">
        <v>2734</v>
      </c>
      <c r="I648" s="1371"/>
      <c r="J648" s="1371"/>
      <c r="K648" s="1371"/>
      <c r="L648" s="1371"/>
      <c r="M648" s="1371"/>
      <c r="N648" s="1371"/>
      <c r="O648" s="1371"/>
      <c r="P648" s="1371"/>
      <c r="Q648" s="1371"/>
      <c r="R648" s="1371"/>
      <c r="S648" s="8"/>
      <c r="T648" s="22"/>
      <c r="U648" t="s">
        <v>18</v>
      </c>
      <c r="AA648" s="1416" t="s">
        <v>2735</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f t="shared" si="6"/>
        <v>95.172413793103445</v>
      </c>
      <c r="ES648" s="1446"/>
      <c r="ET648" s="1446"/>
      <c r="EU648" s="1446"/>
      <c r="EV648" s="1446"/>
      <c r="EW648" s="1446" t="e">
        <f t="shared" si="7"/>
        <v>#VALUE!</v>
      </c>
      <c r="EX648" s="1446"/>
      <c r="EY648" s="1446"/>
      <c r="EZ648" s="1446"/>
      <c r="FA648" s="1446"/>
    </row>
    <row r="649" spans="1:157" ht="12.95"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f t="shared" si="6"/>
        <v>56.586206896551722</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f t="shared" si="6"/>
        <v>1738.8620689655172</v>
      </c>
      <c r="ES650" s="1446"/>
      <c r="ET650" s="1446"/>
      <c r="EU650" s="1446"/>
      <c r="EV650" s="1446"/>
      <c r="EW650" s="1446" t="e">
        <f t="shared" si="7"/>
        <v>#VALUE!</v>
      </c>
      <c r="EX650" s="1446"/>
      <c r="EY650" s="1446"/>
      <c r="EZ650" s="1446"/>
      <c r="FA650" s="1446"/>
    </row>
    <row r="651" spans="1:157" ht="12.95" customHeight="1">
      <c r="A651" s="55" t="s">
        <v>119</v>
      </c>
      <c r="B651" t="s">
        <v>462</v>
      </c>
      <c r="G651" s="1358" t="str">
        <f>C629</f>
        <v>Jefferies LLC</v>
      </c>
      <c r="H651" s="1358"/>
      <c r="I651" s="1358"/>
      <c r="J651" s="1358"/>
      <c r="K651" s="1358"/>
      <c r="L651" s="1358"/>
      <c r="M651" s="1358"/>
      <c r="N651" s="1358"/>
      <c r="O651" s="1358"/>
      <c r="P651" s="1358"/>
      <c r="Q651" s="1358"/>
      <c r="R651" s="1358"/>
      <c r="T651" s="55" t="s">
        <v>580</v>
      </c>
      <c r="U651" t="s">
        <v>462</v>
      </c>
      <c r="Z651" s="1358" t="str">
        <f>C630</f>
        <v>Deferred Developer Fee</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1" t="s">
        <v>2720</v>
      </c>
      <c r="H652" s="1371"/>
      <c r="I652" s="1371"/>
      <c r="J652" s="1371"/>
      <c r="K652" s="1371"/>
      <c r="L652" s="1371"/>
      <c r="M652" s="1371"/>
      <c r="N652" s="1371"/>
      <c r="O652" s="1371"/>
      <c r="P652" s="1371"/>
      <c r="Q652" s="1371"/>
      <c r="R652" s="1371"/>
      <c r="T652" s="22"/>
      <c r="U652" t="s">
        <v>85</v>
      </c>
      <c r="Z652" s="1371" t="s">
        <v>2623</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579</v>
      </c>
      <c r="G653" s="1348" t="s">
        <v>2721</v>
      </c>
      <c r="H653" s="1348"/>
      <c r="I653" s="1348"/>
      <c r="J653" s="1348"/>
      <c r="K653" s="1348"/>
      <c r="L653" s="1348"/>
      <c r="M653" s="1348"/>
      <c r="N653" s="1348"/>
      <c r="O653" s="1348"/>
      <c r="P653" s="1348"/>
      <c r="Q653" s="1348"/>
      <c r="R653" s="1348"/>
      <c r="T653" s="22"/>
      <c r="U653" t="s">
        <v>579</v>
      </c>
      <c r="Z653" s="1348" t="s">
        <v>2639</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8" t="s">
        <v>2722</v>
      </c>
      <c r="H654" s="1348"/>
      <c r="I654" s="1348"/>
      <c r="J654" s="1348"/>
      <c r="K654" s="1348"/>
      <c r="L654" s="1348"/>
      <c r="M654" s="1348"/>
      <c r="N654" s="1348"/>
      <c r="O654" s="1348"/>
      <c r="P654" s="1348"/>
      <c r="Q654" s="1348"/>
      <c r="R654" s="1348"/>
      <c r="T654" s="22"/>
      <c r="U654" t="s">
        <v>17</v>
      </c>
      <c r="Z654" s="1348" t="s">
        <v>2626</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315</v>
      </c>
      <c r="G655" s="1346" t="s">
        <v>2728</v>
      </c>
      <c r="H655" s="1346"/>
      <c r="I655" s="1346"/>
      <c r="J655" s="1346"/>
      <c r="K655" s="1346"/>
      <c r="L655" s="1346"/>
      <c r="O655" s="33" t="s">
        <v>205</v>
      </c>
      <c r="P655" s="1437"/>
      <c r="Q655" s="1437"/>
      <c r="R655" s="1437"/>
      <c r="T655" s="22"/>
      <c r="U655" t="s">
        <v>315</v>
      </c>
      <c r="Z655" s="1346" t="s">
        <v>2627</v>
      </c>
      <c r="AA655" s="1346"/>
      <c r="AB655" s="1346"/>
      <c r="AC655" s="1346"/>
      <c r="AD655" s="1346"/>
      <c r="AE655" s="1346"/>
      <c r="AH655" s="33" t="s">
        <v>205</v>
      </c>
      <c r="AI655" s="1437"/>
      <c r="AJ655" s="1437"/>
      <c r="AK655" s="1437"/>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1" t="s">
        <v>2729</v>
      </c>
      <c r="I656" s="1371"/>
      <c r="J656" s="1371"/>
      <c r="K656" s="1371"/>
      <c r="L656" s="1371"/>
      <c r="M656" s="1371"/>
      <c r="N656" s="1371"/>
      <c r="O656" s="1371"/>
      <c r="P656" s="1371"/>
      <c r="Q656" s="1371"/>
      <c r="R656" s="1371"/>
      <c r="T656" s="22"/>
      <c r="U656" t="s">
        <v>18</v>
      </c>
      <c r="AA656" s="1371" t="s">
        <v>2319</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544</v>
      </c>
      <c r="O657" s="1332"/>
      <c r="T657" s="22"/>
      <c r="U657" t="s">
        <v>20</v>
      </c>
      <c r="AG657" s="1332" t="s">
        <v>544</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762</v>
      </c>
      <c r="B659" t="s">
        <v>462</v>
      </c>
      <c r="G659" s="1358" t="str">
        <f>C631</f>
        <v>GP Capital Contribution</v>
      </c>
      <c r="H659" s="1358"/>
      <c r="I659" s="1358"/>
      <c r="J659" s="1358"/>
      <c r="K659" s="1358"/>
      <c r="L659" s="1358"/>
      <c r="M659" s="1358"/>
      <c r="N659" s="1358"/>
      <c r="O659" s="1358"/>
      <c r="P659" s="1358"/>
      <c r="Q659" s="1358"/>
      <c r="R659" s="1358"/>
      <c r="T659" s="55" t="s">
        <v>583</v>
      </c>
      <c r="U659" t="s">
        <v>462</v>
      </c>
      <c r="Z659" s="1358" t="str">
        <f>C632</f>
        <v>National Equity Fund, Inc - Solar ITC</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1" t="s">
        <v>2623</v>
      </c>
      <c r="H660" s="1371"/>
      <c r="I660" s="1371"/>
      <c r="J660" s="1371"/>
      <c r="K660" s="1371"/>
      <c r="L660" s="1371"/>
      <c r="M660" s="1371"/>
      <c r="N660" s="1371"/>
      <c r="O660" s="1371"/>
      <c r="P660" s="1371"/>
      <c r="Q660" s="1371"/>
      <c r="R660" s="1371"/>
      <c r="T660" s="22"/>
      <c r="U660" t="s">
        <v>85</v>
      </c>
      <c r="Z660" s="1371" t="s">
        <v>2723</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579</v>
      </c>
      <c r="G661" s="1371" t="s">
        <v>2639</v>
      </c>
      <c r="H661" s="1371"/>
      <c r="I661" s="1371"/>
      <c r="J661" s="1371"/>
      <c r="K661" s="1371"/>
      <c r="L661" s="1371"/>
      <c r="M661" s="1371"/>
      <c r="N661" s="1371"/>
      <c r="O661" s="1371"/>
      <c r="P661" s="1371"/>
      <c r="Q661" s="1371"/>
      <c r="R661" s="1371"/>
      <c r="T661" s="22"/>
      <c r="U661" t="s">
        <v>579</v>
      </c>
      <c r="Z661" s="1348" t="s">
        <v>2672</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1" t="s">
        <v>2626</v>
      </c>
      <c r="H662" s="1371"/>
      <c r="I662" s="1371"/>
      <c r="J662" s="1371"/>
      <c r="K662" s="1371"/>
      <c r="L662" s="1371"/>
      <c r="M662" s="1371"/>
      <c r="N662" s="1371"/>
      <c r="O662" s="1371"/>
      <c r="P662" s="1371"/>
      <c r="Q662" s="1371"/>
      <c r="R662" s="1371"/>
      <c r="T662" s="22"/>
      <c r="U662" t="s">
        <v>17</v>
      </c>
      <c r="Z662" s="1348" t="s">
        <v>2673</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315</v>
      </c>
      <c r="G663" s="1346" t="s">
        <v>2627</v>
      </c>
      <c r="H663" s="1346"/>
      <c r="I663" s="1346"/>
      <c r="J663" s="1346"/>
      <c r="K663" s="1346"/>
      <c r="L663" s="1346"/>
      <c r="O663" s="33" t="s">
        <v>205</v>
      </c>
      <c r="P663" s="1437"/>
      <c r="Q663" s="1437"/>
      <c r="R663" s="1437"/>
      <c r="T663" s="22"/>
      <c r="U663" t="s">
        <v>315</v>
      </c>
      <c r="Z663" s="1346" t="s">
        <v>2674</v>
      </c>
      <c r="AA663" s="1346"/>
      <c r="AB663" s="1346"/>
      <c r="AC663" s="1346"/>
      <c r="AD663" s="1346"/>
      <c r="AE663" s="1346"/>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1" t="s">
        <v>2714</v>
      </c>
      <c r="I664" s="1371"/>
      <c r="J664" s="1371"/>
      <c r="K664" s="1371"/>
      <c r="L664" s="1371"/>
      <c r="M664" s="1371"/>
      <c r="N664" s="1371"/>
      <c r="O664" s="1371"/>
      <c r="P664" s="1371"/>
      <c r="Q664" s="1371"/>
      <c r="R664" s="1371"/>
      <c r="T664" s="22"/>
      <c r="U664" t="s">
        <v>18</v>
      </c>
      <c r="AA664" s="1371" t="s">
        <v>2736</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544</v>
      </c>
      <c r="O665" s="1332"/>
      <c r="T665" s="22"/>
      <c r="U665" t="s">
        <v>20</v>
      </c>
      <c r="AG665" s="1332" t="s">
        <v>544</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454</v>
      </c>
      <c r="B667" t="s">
        <v>462</v>
      </c>
      <c r="G667" s="1358" t="str">
        <f>C633</f>
        <v>Cashflow From Operations</v>
      </c>
      <c r="H667" s="1358"/>
      <c r="I667" s="1358"/>
      <c r="J667" s="1358"/>
      <c r="K667" s="1358"/>
      <c r="L667" s="1358"/>
      <c r="M667" s="1358"/>
      <c r="N667" s="1358"/>
      <c r="O667" s="1358"/>
      <c r="P667" s="1358"/>
      <c r="Q667" s="1358"/>
      <c r="R667" s="1358"/>
      <c r="T667" s="55" t="s">
        <v>455</v>
      </c>
      <c r="U667" t="s">
        <v>462</v>
      </c>
      <c r="Z667" s="1358" t="str">
        <f>C634</f>
        <v>Short-Term Bond Reinvestment Proceeds</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1" t="s">
        <v>2623</v>
      </c>
      <c r="H668" s="1371"/>
      <c r="I668" s="1371"/>
      <c r="J668" s="1371"/>
      <c r="K668" s="1371"/>
      <c r="L668" s="1371"/>
      <c r="M668" s="1371"/>
      <c r="N668" s="1371"/>
      <c r="O668" s="1371"/>
      <c r="P668" s="1371"/>
      <c r="Q668" s="1371"/>
      <c r="R668" s="1371"/>
      <c r="T668" s="22"/>
      <c r="U668" t="s">
        <v>85</v>
      </c>
      <c r="Z668" s="1371" t="s">
        <v>2623</v>
      </c>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579</v>
      </c>
      <c r="G669" s="1371" t="s">
        <v>2639</v>
      </c>
      <c r="H669" s="1371"/>
      <c r="I669" s="1371"/>
      <c r="J669" s="1371"/>
      <c r="K669" s="1371"/>
      <c r="L669" s="1371"/>
      <c r="M669" s="1371"/>
      <c r="N669" s="1371"/>
      <c r="O669" s="1371"/>
      <c r="P669" s="1371"/>
      <c r="Q669" s="1371"/>
      <c r="R669" s="1371"/>
      <c r="T669" s="22"/>
      <c r="U669" t="s">
        <v>579</v>
      </c>
      <c r="Z669" s="1348" t="s">
        <v>2639</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1" t="s">
        <v>2626</v>
      </c>
      <c r="H670" s="1371"/>
      <c r="I670" s="1371"/>
      <c r="J670" s="1371"/>
      <c r="K670" s="1371"/>
      <c r="L670" s="1371"/>
      <c r="M670" s="1371"/>
      <c r="N670" s="1371"/>
      <c r="O670" s="1371"/>
      <c r="P670" s="1371"/>
      <c r="Q670" s="1371"/>
      <c r="R670" s="1371"/>
      <c r="T670" s="22"/>
      <c r="U670" t="s">
        <v>17</v>
      </c>
      <c r="Z670" s="1348" t="s">
        <v>2626</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1136.4833333333331</v>
      </c>
      <c r="ED670" s="1446"/>
      <c r="EE670" s="1446"/>
      <c r="EF670" s="1446"/>
      <c r="EG670" s="1446"/>
      <c r="EH670" s="1446">
        <f>SUMIF(EH635:EL669,"&gt;0")</f>
        <v>1793.7333333333333</v>
      </c>
      <c r="EI670" s="1446"/>
      <c r="EJ670" s="1446"/>
      <c r="EK670" s="1446"/>
      <c r="EL670" s="1446"/>
      <c r="EM670" s="1446">
        <f>SUMIF(EM635:EQ669,"&gt;0")</f>
        <v>2118.0714285714284</v>
      </c>
      <c r="EN670" s="1446"/>
      <c r="EO670" s="1446"/>
      <c r="EP670" s="1446"/>
      <c r="EQ670" s="1446"/>
      <c r="ER670" s="1446">
        <f>SUMIF(ER635:EV669,"&gt;0")</f>
        <v>2386.6379310344828</v>
      </c>
      <c r="ES670" s="1446"/>
      <c r="ET670" s="1446"/>
      <c r="EU670" s="1446"/>
      <c r="EV670" s="1446"/>
      <c r="EW670" s="1446">
        <f>SUMIF(EW635:FA669,"&gt;0")</f>
        <v>0</v>
      </c>
      <c r="EX670" s="1446"/>
      <c r="EY670" s="1446"/>
      <c r="EZ670" s="1446"/>
      <c r="FA670" s="1446"/>
    </row>
    <row r="671" spans="1:157" ht="12.95" customHeight="1">
      <c r="A671" s="22"/>
      <c r="B671" t="s">
        <v>315</v>
      </c>
      <c r="G671" s="1346" t="s">
        <v>2627</v>
      </c>
      <c r="H671" s="1346"/>
      <c r="I671" s="1346"/>
      <c r="J671" s="1346"/>
      <c r="K671" s="1346"/>
      <c r="L671" s="1346"/>
      <c r="O671" s="33" t="s">
        <v>205</v>
      </c>
      <c r="P671" s="1437"/>
      <c r="Q671" s="1437"/>
      <c r="R671" s="1437"/>
      <c r="T671" s="22"/>
      <c r="U671" t="s">
        <v>315</v>
      </c>
      <c r="Z671" s="1346" t="s">
        <v>2627</v>
      </c>
      <c r="AA671" s="1346"/>
      <c r="AB671" s="1346"/>
      <c r="AC671" s="1346"/>
      <c r="AD671" s="1346"/>
      <c r="AE671" s="1346"/>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2732</v>
      </c>
      <c r="I672" s="1371"/>
      <c r="J672" s="1371"/>
      <c r="K672" s="1371"/>
      <c r="L672" s="1371"/>
      <c r="M672" s="1371"/>
      <c r="N672" s="1371"/>
      <c r="O672" s="1371"/>
      <c r="P672" s="1371"/>
      <c r="Q672" s="1371"/>
      <c r="R672" s="1371"/>
      <c r="T672" s="22"/>
      <c r="U672" t="s">
        <v>18</v>
      </c>
      <c r="AA672" s="1371" t="s">
        <v>2732</v>
      </c>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544</v>
      </c>
      <c r="O673" s="1332"/>
      <c r="T673" s="22"/>
      <c r="U673" t="s">
        <v>20</v>
      </c>
      <c r="AG673" s="1332" t="s">
        <v>544</v>
      </c>
      <c r="AH673" s="1332"/>
      <c r="AZ673" s="3"/>
    </row>
    <row r="674" spans="1:52" ht="12.95" customHeight="1">
      <c r="A674" s="22"/>
      <c r="T674" s="22"/>
      <c r="AZ674" s="3"/>
    </row>
    <row r="675" spans="1:52" ht="12.95" customHeight="1">
      <c r="A675" s="55" t="s">
        <v>460</v>
      </c>
      <c r="B675" t="s">
        <v>462</v>
      </c>
      <c r="G675" s="1358">
        <f>C635</f>
        <v>0</v>
      </c>
      <c r="H675" s="1358"/>
      <c r="I675" s="1358"/>
      <c r="J675" s="1358"/>
      <c r="K675" s="1358"/>
      <c r="L675" s="1358"/>
      <c r="M675" s="1358"/>
      <c r="N675" s="1358"/>
      <c r="O675" s="1358"/>
      <c r="P675" s="1358"/>
      <c r="Q675" s="1358"/>
      <c r="R675" s="1358"/>
      <c r="T675" s="55" t="s">
        <v>645</v>
      </c>
      <c r="U675" t="s">
        <v>462</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579</v>
      </c>
      <c r="G677" s="1371"/>
      <c r="H677" s="1371"/>
      <c r="I677" s="1371"/>
      <c r="J677" s="1371"/>
      <c r="K677" s="1371"/>
      <c r="L677" s="1371"/>
      <c r="M677" s="1371"/>
      <c r="N677" s="1371"/>
      <c r="O677" s="1371"/>
      <c r="P677" s="1371"/>
      <c r="Q677" s="1371"/>
      <c r="R677" s="1371"/>
      <c r="T677" s="22"/>
      <c r="U677" t="s">
        <v>579</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7"/>
      <c r="Q679" s="1437"/>
      <c r="R679" s="1437"/>
      <c r="T679" s="22"/>
      <c r="U679" t="s">
        <v>315</v>
      </c>
      <c r="Z679" s="1346"/>
      <c r="AA679" s="1346"/>
      <c r="AB679" s="1346"/>
      <c r="AC679" s="1346"/>
      <c r="AD679" s="1346"/>
      <c r="AE679" s="1346"/>
      <c r="AH679" s="33" t="s">
        <v>205</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668</v>
      </c>
      <c r="O681" s="1332"/>
      <c r="T681" s="22"/>
      <c r="U681" t="s">
        <v>20</v>
      </c>
      <c r="AG681" s="1332" t="s">
        <v>668</v>
      </c>
      <c r="AH681" s="1332"/>
      <c r="AZ681" s="3"/>
    </row>
    <row r="682" spans="1:52" ht="12.95" customHeight="1">
      <c r="A682" s="22"/>
      <c r="T682" s="22"/>
      <c r="AZ682" s="3"/>
    </row>
    <row r="683" spans="1:52" ht="12.95" customHeight="1">
      <c r="A683" s="55" t="s">
        <v>361</v>
      </c>
      <c r="B683" t="s">
        <v>462</v>
      </c>
      <c r="G683" s="1358">
        <f>C637</f>
        <v>0</v>
      </c>
      <c r="H683" s="1358"/>
      <c r="I683" s="1358"/>
      <c r="J683" s="1358"/>
      <c r="K683" s="1358"/>
      <c r="L683" s="1358"/>
      <c r="M683" s="1358"/>
      <c r="N683" s="1358"/>
      <c r="O683" s="1358"/>
      <c r="P683" s="1358"/>
      <c r="Q683" s="1358"/>
      <c r="R683" s="1358"/>
      <c r="T683" s="55" t="s">
        <v>362</v>
      </c>
      <c r="U683" t="s">
        <v>462</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579</v>
      </c>
      <c r="G685" s="1371"/>
      <c r="H685" s="1371"/>
      <c r="I685" s="1371"/>
      <c r="J685" s="1371"/>
      <c r="K685" s="1371"/>
      <c r="L685" s="1371"/>
      <c r="M685" s="1371"/>
      <c r="N685" s="1371"/>
      <c r="O685" s="1371"/>
      <c r="P685" s="1371"/>
      <c r="Q685" s="1371"/>
      <c r="R685" s="1371"/>
      <c r="U685" t="s">
        <v>579</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7"/>
      <c r="Q687" s="1437"/>
      <c r="R687" s="1437"/>
      <c r="U687" t="s">
        <v>315</v>
      </c>
      <c r="Z687" s="1346"/>
      <c r="AA687" s="1346"/>
      <c r="AB687" s="1346"/>
      <c r="AC687" s="1346"/>
      <c r="AD687" s="1346"/>
      <c r="AE687" s="1346"/>
      <c r="AH687" s="33" t="s">
        <v>205</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668</v>
      </c>
      <c r="O689" s="1332"/>
      <c r="U689" t="s">
        <v>20</v>
      </c>
      <c r="AG689" s="1332" t="s">
        <v>668</v>
      </c>
      <c r="AH689" s="1332"/>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668</v>
      </c>
      <c r="AF693" s="1332"/>
      <c r="AZ693" s="3"/>
    </row>
    <row r="694" spans="1:67" ht="12.95" customHeight="1">
      <c r="B694" s="135"/>
      <c r="C694" s="135"/>
      <c r="D694" s="136" t="s">
        <v>437</v>
      </c>
      <c r="E694" s="135"/>
      <c r="F694" s="135"/>
      <c r="G694" s="135"/>
      <c r="H694" s="135"/>
      <c r="AE694" s="1332" t="s">
        <v>544</v>
      </c>
      <c r="AF694" s="1332"/>
      <c r="AZ694" s="3"/>
    </row>
    <row r="695" spans="1:67" ht="12.95" customHeight="1">
      <c r="B695" s="135"/>
      <c r="C695" s="135"/>
      <c r="D695" s="136" t="s">
        <v>919</v>
      </c>
      <c r="E695" s="135"/>
      <c r="F695" s="135"/>
      <c r="G695" s="135"/>
      <c r="H695" s="135"/>
      <c r="AE695" s="1692">
        <v>45909</v>
      </c>
      <c r="AF695" s="1692"/>
      <c r="AG695" s="1692"/>
      <c r="AH695" s="1692"/>
      <c r="AI695" s="1692"/>
    </row>
    <row r="696" spans="1:67" ht="12.95" customHeight="1">
      <c r="B696" s="135"/>
      <c r="C696" s="135"/>
      <c r="D696" s="317" t="s">
        <v>982</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815</v>
      </c>
      <c r="E698" s="135"/>
      <c r="F698" s="135"/>
      <c r="G698" s="135"/>
      <c r="H698" s="135"/>
      <c r="AE698" s="1692">
        <v>46143</v>
      </c>
      <c r="AF698" s="1692"/>
      <c r="AG698" s="1692"/>
      <c r="AH698" s="1692"/>
      <c r="AI698" s="1692"/>
    </row>
    <row r="699" spans="1:67" ht="12.95" customHeight="1">
      <c r="B699" s="135"/>
      <c r="C699" s="135"/>
      <c r="D699" s="136" t="s">
        <v>435</v>
      </c>
      <c r="E699" s="135"/>
      <c r="F699" s="135"/>
      <c r="G699" s="135"/>
      <c r="H699" s="135"/>
      <c r="AE699" s="1662">
        <v>0.27350000000000002</v>
      </c>
      <c r="AF699" s="1662"/>
      <c r="AG699" s="1662"/>
      <c r="AH699" s="1662"/>
      <c r="AI699" s="1662"/>
    </row>
    <row r="700" spans="1:67" ht="12.95" customHeight="1">
      <c r="B700" s="135"/>
      <c r="C700" s="135"/>
      <c r="D700" s="136" t="s">
        <v>436</v>
      </c>
      <c r="E700" s="135"/>
      <c r="F700" s="135"/>
      <c r="G700" s="135"/>
      <c r="H700" s="135"/>
      <c r="W700" s="1358" t="str">
        <f>H335</f>
        <v>California Muncipal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668</v>
      </c>
      <c r="AF702" s="1332"/>
      <c r="AZ702" s="4" t="s">
        <v>323</v>
      </c>
    </row>
    <row r="703" spans="1:67" ht="12.95" customHeight="1">
      <c r="B703" s="135"/>
      <c r="C703" s="135"/>
      <c r="D703" s="136" t="s">
        <v>441</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324</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19" t="s">
        <v>1678</v>
      </c>
      <c r="L714" s="1720"/>
      <c r="M714" s="1720"/>
      <c r="N714" s="1721"/>
      <c r="O714" s="1362" t="s">
        <v>446</v>
      </c>
      <c r="P714" s="1363"/>
      <c r="Q714" s="1363"/>
      <c r="R714" s="1363"/>
      <c r="S714" s="1364"/>
      <c r="T714" s="1660" t="s">
        <v>1948</v>
      </c>
      <c r="U714" s="1363"/>
      <c r="V714" s="1363"/>
      <c r="W714" s="1364"/>
      <c r="X714" s="1660" t="s">
        <v>1950</v>
      </c>
      <c r="Y714" s="1363"/>
      <c r="Z714" s="1363"/>
      <c r="AA714" s="1363"/>
      <c r="AB714" s="1364"/>
      <c r="AC714" s="1660" t="s">
        <v>1949</v>
      </c>
      <c r="AD714" s="1363"/>
      <c r="AE714" s="1363"/>
      <c r="AF714" s="1363"/>
      <c r="AG714" s="1364"/>
      <c r="AH714" s="1660" t="s">
        <v>1951</v>
      </c>
      <c r="AI714" s="1363"/>
      <c r="AJ714" s="1364"/>
      <c r="AK714" s="1660" t="s">
        <v>1978</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70"/>
      <c r="CJ717" s="1471"/>
      <c r="CK717" s="121" t="s">
        <v>474</v>
      </c>
      <c r="CL717" s="122"/>
      <c r="CM717" s="1470"/>
      <c r="CN717" s="1471"/>
      <c r="CO717" s="3"/>
      <c r="CP717" s="1386" t="s">
        <v>632</v>
      </c>
      <c r="CQ717" s="1387"/>
      <c r="CR717" s="1387"/>
      <c r="CS717" s="1387"/>
      <c r="CT717" s="1388"/>
      <c r="CU717" s="1463" t="s">
        <v>324</v>
      </c>
      <c r="CV717" s="1463"/>
      <c r="CW717" s="1463"/>
      <c r="CX717" s="1463"/>
      <c r="CY717" s="1463"/>
      <c r="CZ717" s="1463" t="s">
        <v>163</v>
      </c>
      <c r="DA717" s="1463"/>
      <c r="DB717" s="1463"/>
      <c r="DC717" s="1463"/>
      <c r="DD717" s="1463"/>
      <c r="DE717" s="1463" t="s">
        <v>164</v>
      </c>
      <c r="DF717" s="1463"/>
      <c r="DG717" s="1463"/>
      <c r="DH717" s="1463"/>
      <c r="DI717" s="1463"/>
      <c r="DJ717" s="1463" t="s">
        <v>459</v>
      </c>
      <c r="DK717" s="1463"/>
      <c r="DL717" s="1463"/>
      <c r="DM717" s="1463"/>
      <c r="DN717" s="1463"/>
      <c r="DO717" s="1463" t="s">
        <v>30</v>
      </c>
      <c r="DP717" s="1463"/>
      <c r="DQ717" s="1463"/>
      <c r="DR717" s="1463"/>
      <c r="DS717" s="1463"/>
      <c r="DT717" s="89"/>
      <c r="DU717" s="1463" t="s">
        <v>632</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459</v>
      </c>
      <c r="EP717" s="1463"/>
      <c r="EQ717" s="1463"/>
      <c r="ER717" s="1463"/>
      <c r="ES717" s="1463"/>
      <c r="ET717" s="1463" t="s">
        <v>30</v>
      </c>
      <c r="EU717" s="1463"/>
      <c r="EV717" s="1463"/>
      <c r="EW717" s="1463"/>
      <c r="EX717" s="1463"/>
      <c r="EY717" s="4"/>
      <c r="EZ717" s="1463" t="s">
        <v>632</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459</v>
      </c>
      <c r="FU717" s="1463"/>
      <c r="FV717" s="1463"/>
      <c r="FW717" s="1463"/>
      <c r="FX717" s="1463"/>
      <c r="FY717" s="1463" t="s">
        <v>30</v>
      </c>
      <c r="FZ717" s="1463"/>
      <c r="GA717" s="1463"/>
      <c r="GB717" s="1463"/>
      <c r="GC717" s="1463"/>
    </row>
    <row r="718" spans="1:185" ht="12.95" customHeight="1">
      <c r="A718" s="4"/>
      <c r="B718" s="1337" t="s">
        <v>324</v>
      </c>
      <c r="C718" s="1338"/>
      <c r="D718" s="1338"/>
      <c r="E718" s="1338"/>
      <c r="F718" s="1339"/>
      <c r="G718" s="1349">
        <v>11</v>
      </c>
      <c r="H718" s="1350"/>
      <c r="I718" s="1350"/>
      <c r="J718" s="1351"/>
      <c r="K718" s="1343">
        <v>726</v>
      </c>
      <c r="L718" s="1344"/>
      <c r="M718" s="1344"/>
      <c r="N718" s="1345"/>
      <c r="O718" s="1340">
        <v>1422</v>
      </c>
      <c r="P718" s="1341"/>
      <c r="Q718" s="1341"/>
      <c r="R718" s="1341"/>
      <c r="S718" s="1342"/>
      <c r="T718" s="1340">
        <v>25</v>
      </c>
      <c r="U718" s="1341"/>
      <c r="V718" s="1341"/>
      <c r="W718" s="1342"/>
      <c r="X718" s="1352">
        <f t="shared" ref="X718:X741" si="8">O718+T718</f>
        <v>1447</v>
      </c>
      <c r="Y718" s="1353"/>
      <c r="Z718" s="1353"/>
      <c r="AA718" s="1353"/>
      <c r="AB718" s="1354"/>
      <c r="AC718" s="1359">
        <v>0.6</v>
      </c>
      <c r="AD718" s="1360"/>
      <c r="AE718" s="1360"/>
      <c r="AF718" s="1360"/>
      <c r="AG718" s="1361"/>
      <c r="AH718" s="1355">
        <f>IF($AC718&gt;0,($X718/$AZ718), "")</f>
        <v>0.5999170812603648</v>
      </c>
      <c r="AI718" s="1356"/>
      <c r="AJ718" s="1357"/>
      <c r="AK718" s="1337" t="s">
        <v>590</v>
      </c>
      <c r="AL718" s="1338"/>
      <c r="AM718" s="1338"/>
      <c r="AN718" s="1338"/>
      <c r="AO718" s="1339"/>
      <c r="AP718" s="3"/>
      <c r="AQ718" s="3"/>
      <c r="AR718" s="3"/>
      <c r="AS718" s="3"/>
      <c r="AZ718" s="118">
        <f t="shared" ref="AZ718:AZ752" si="9">IF($G718=0,"N/A",VLOOKUP($T$189,TC_Rent,(MATCH($B718,bedrooms,FALSE)),FALSE))</f>
        <v>2412</v>
      </c>
      <c r="BA718" s="3"/>
      <c r="BB718" s="3"/>
      <c r="BC718" s="3"/>
      <c r="BD718" s="3"/>
      <c r="BE718" s="204"/>
      <c r="BF718" s="293">
        <f t="shared" ref="BF718:BF752" si="10">G718</f>
        <v>11</v>
      </c>
      <c r="BG718" s="297">
        <f t="shared" ref="BG718:BG752" si="11">IF($BF$753=0,0,BF718/$BF$753)</f>
        <v>4.7008547008547008E-2</v>
      </c>
      <c r="BH718" s="298">
        <f t="shared" ref="BH718:BH752" si="12">IF(BG718=0,"",BG718*AC718)</f>
        <v>2.8205128205128202E-2</v>
      </c>
      <c r="BI718" s="3"/>
      <c r="BJ718" s="3"/>
      <c r="BK718" s="3"/>
      <c r="BL718" s="3"/>
      <c r="BM718" s="3"/>
      <c r="BN718" s="3"/>
      <c r="BS718" s="293">
        <f t="shared" ref="BS718:BS752" si="13">G718</f>
        <v>11</v>
      </c>
      <c r="BT718" s="297">
        <f t="shared" ref="BT718:BT752" si="14">IF($BS$753=0,0,BS718/$BS$753)</f>
        <v>4.7008547008547008E-2</v>
      </c>
      <c r="BU718" s="298">
        <f t="shared" ref="BU718:BU752" si="15">IF(BT718=0,"",BT718*AH718)</f>
        <v>2.8201230315658174E-2</v>
      </c>
      <c r="CC718" s="3"/>
      <c r="CD718" s="3"/>
      <c r="CE718" s="3"/>
      <c r="CF718" s="3"/>
      <c r="CG718" s="1464">
        <f>IF(AND(AC718&lt;=0.5,AC718&gt;=0.36),1,0)</f>
        <v>0</v>
      </c>
      <c r="CH718" s="1465"/>
      <c r="CI718" s="1470">
        <f>IF(CG718=1,G718,0)</f>
        <v>0</v>
      </c>
      <c r="CJ718" s="1471"/>
      <c r="CK718" s="1464">
        <f t="shared" ref="CK718:CK752" si="16">IF(AND(AC718&lt;=0.35,AC718&gt;0),1,0)</f>
        <v>0</v>
      </c>
      <c r="CL718" s="1465"/>
      <c r="CM718" s="1470">
        <f t="shared" ref="CM718:CM752" si="17">IF(CK718=1,G718,0)</f>
        <v>0</v>
      </c>
      <c r="CN718" s="1471"/>
      <c r="CO718" s="3"/>
      <c r="CP718" s="1459">
        <f t="shared" ref="CP718:CP752" si="18">IF(B718="SRO/Studio",G718,0)</f>
        <v>0</v>
      </c>
      <c r="CQ718" s="1460"/>
      <c r="CR718" s="1460"/>
      <c r="CS718" s="1460"/>
      <c r="CT718" s="1461"/>
      <c r="CU718" s="1444">
        <f t="shared" ref="CU718:CU752" si="19">IF(B718="1 Bedroom",G718,0)</f>
        <v>11</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1422</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324</v>
      </c>
      <c r="C719" s="1338"/>
      <c r="D719" s="1338"/>
      <c r="E719" s="1338"/>
      <c r="F719" s="1339"/>
      <c r="G719" s="1349">
        <v>20</v>
      </c>
      <c r="H719" s="1350"/>
      <c r="I719" s="1350"/>
      <c r="J719" s="1351"/>
      <c r="K719" s="1343">
        <v>726</v>
      </c>
      <c r="L719" s="1344"/>
      <c r="M719" s="1344"/>
      <c r="N719" s="1345"/>
      <c r="O719" s="1340">
        <v>1181</v>
      </c>
      <c r="P719" s="1341"/>
      <c r="Q719" s="1341"/>
      <c r="R719" s="1341"/>
      <c r="S719" s="1342"/>
      <c r="T719" s="1340">
        <v>25</v>
      </c>
      <c r="U719" s="1341"/>
      <c r="V719" s="1341"/>
      <c r="W719" s="1342"/>
      <c r="X719" s="1352">
        <f t="shared" si="8"/>
        <v>1206</v>
      </c>
      <c r="Y719" s="1353"/>
      <c r="Z719" s="1353"/>
      <c r="AA719" s="1353"/>
      <c r="AB719" s="1354"/>
      <c r="AC719" s="1359">
        <v>0.5</v>
      </c>
      <c r="AD719" s="1360"/>
      <c r="AE719" s="1360"/>
      <c r="AF719" s="1360"/>
      <c r="AG719" s="1361"/>
      <c r="AH719" s="1355">
        <f t="shared" ref="AH719:AH752" si="36">IF($AC719&gt;0,($X719/$AZ719), "")</f>
        <v>0.5</v>
      </c>
      <c r="AI719" s="1356"/>
      <c r="AJ719" s="1357"/>
      <c r="AK719" s="1337" t="s">
        <v>590</v>
      </c>
      <c r="AL719" s="1338"/>
      <c r="AM719" s="1338"/>
      <c r="AN719" s="1338"/>
      <c r="AO719" s="1339"/>
      <c r="AP719" s="3"/>
      <c r="AQ719" s="3"/>
      <c r="AR719" s="3"/>
      <c r="AS719" s="3"/>
      <c r="AZ719" s="118">
        <f t="shared" si="9"/>
        <v>2412</v>
      </c>
      <c r="BA719" s="3"/>
      <c r="BB719" s="3"/>
      <c r="BC719" s="3"/>
      <c r="BD719" s="3"/>
      <c r="BE719" s="204"/>
      <c r="BF719" s="294">
        <f t="shared" si="10"/>
        <v>20</v>
      </c>
      <c r="BG719" s="297">
        <f t="shared" si="11"/>
        <v>8.5470085470085472E-2</v>
      </c>
      <c r="BH719" s="298">
        <f t="shared" si="12"/>
        <v>4.2735042735042736E-2</v>
      </c>
      <c r="BI719" s="3"/>
      <c r="BJ719" s="3"/>
      <c r="BK719" s="3"/>
      <c r="BL719" s="3"/>
      <c r="BM719" s="3"/>
      <c r="BN719" s="3"/>
      <c r="BS719" s="294">
        <f t="shared" si="13"/>
        <v>20</v>
      </c>
      <c r="BT719" s="297">
        <f t="shared" si="14"/>
        <v>8.5470085470085472E-2</v>
      </c>
      <c r="BU719" s="298">
        <f t="shared" si="15"/>
        <v>4.2735042735042736E-2</v>
      </c>
      <c r="CC719" s="3"/>
      <c r="CD719" s="3"/>
      <c r="CE719" s="3"/>
      <c r="CF719" s="3"/>
      <c r="CG719" s="1464">
        <f t="shared" ref="CG719:CG752" si="37">IF(AND(AC719&lt;=0.5,AC719&gt;=0.36),1,0)</f>
        <v>1</v>
      </c>
      <c r="CH719" s="1465"/>
      <c r="CI719" s="1470">
        <f t="shared" ref="CI719:CI752" si="38">IF(CG719=1,G719,0)</f>
        <v>20</v>
      </c>
      <c r="CJ719" s="1471"/>
      <c r="CK719" s="1464">
        <f t="shared" si="16"/>
        <v>0</v>
      </c>
      <c r="CL719" s="1465"/>
      <c r="CM719" s="1470">
        <f t="shared" si="17"/>
        <v>0</v>
      </c>
      <c r="CN719" s="1471"/>
      <c r="CO719" s="3"/>
      <c r="CP719" s="1459">
        <f t="shared" si="18"/>
        <v>0</v>
      </c>
      <c r="CQ719" s="1460"/>
      <c r="CR719" s="1460"/>
      <c r="CS719" s="1460"/>
      <c r="CT719" s="1461"/>
      <c r="CU719" s="1444">
        <f t="shared" si="19"/>
        <v>20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1181</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324</v>
      </c>
      <c r="C720" s="1338"/>
      <c r="D720" s="1338"/>
      <c r="E720" s="1338"/>
      <c r="F720" s="1339"/>
      <c r="G720" s="1349">
        <v>20</v>
      </c>
      <c r="H720" s="1350"/>
      <c r="I720" s="1350"/>
      <c r="J720" s="1351"/>
      <c r="K720" s="1343">
        <v>726</v>
      </c>
      <c r="L720" s="1344"/>
      <c r="M720" s="1344"/>
      <c r="N720" s="1345"/>
      <c r="O720" s="1340">
        <v>698</v>
      </c>
      <c r="P720" s="1341"/>
      <c r="Q720" s="1341"/>
      <c r="R720" s="1341"/>
      <c r="S720" s="1342"/>
      <c r="T720" s="1340">
        <v>25</v>
      </c>
      <c r="U720" s="1341"/>
      <c r="V720" s="1341"/>
      <c r="W720" s="1342"/>
      <c r="X720" s="1352">
        <f t="shared" si="8"/>
        <v>723</v>
      </c>
      <c r="Y720" s="1353"/>
      <c r="Z720" s="1353"/>
      <c r="AA720" s="1353"/>
      <c r="AB720" s="1354"/>
      <c r="AC720" s="1359">
        <v>0.3</v>
      </c>
      <c r="AD720" s="1360"/>
      <c r="AE720" s="1360"/>
      <c r="AF720" s="1360"/>
      <c r="AG720" s="1361"/>
      <c r="AH720" s="1355">
        <f t="shared" si="36"/>
        <v>0.29975124378109452</v>
      </c>
      <c r="AI720" s="1356"/>
      <c r="AJ720" s="1357"/>
      <c r="AK720" s="1337" t="s">
        <v>590</v>
      </c>
      <c r="AL720" s="1338"/>
      <c r="AM720" s="1338"/>
      <c r="AN720" s="1338"/>
      <c r="AO720" s="1339"/>
      <c r="AP720" s="3"/>
      <c r="AQ720" s="3"/>
      <c r="AR720" s="3"/>
      <c r="AS720" s="3"/>
      <c r="AZ720" s="118">
        <f t="shared" si="9"/>
        <v>2412</v>
      </c>
      <c r="BA720" s="3"/>
      <c r="BB720" s="3"/>
      <c r="BC720" s="3"/>
      <c r="BD720" s="3"/>
      <c r="BE720" s="204"/>
      <c r="BF720" s="294">
        <f t="shared" si="10"/>
        <v>20</v>
      </c>
      <c r="BG720" s="297">
        <f t="shared" si="11"/>
        <v>8.5470085470085472E-2</v>
      </c>
      <c r="BH720" s="298">
        <f t="shared" si="12"/>
        <v>2.564102564102564E-2</v>
      </c>
      <c r="BI720" s="3"/>
      <c r="BJ720" s="3"/>
      <c r="BK720" s="3"/>
      <c r="BL720" s="3"/>
      <c r="BM720" s="3"/>
      <c r="BN720" s="3"/>
      <c r="BS720" s="294">
        <f t="shared" si="13"/>
        <v>20</v>
      </c>
      <c r="BT720" s="297">
        <f t="shared" si="14"/>
        <v>8.5470085470085472E-2</v>
      </c>
      <c r="BU720" s="298">
        <f t="shared" si="15"/>
        <v>2.5619764425734576E-2</v>
      </c>
      <c r="CC720" s="3"/>
      <c r="CD720" s="3"/>
      <c r="CE720" s="3"/>
      <c r="CF720" s="3"/>
      <c r="CG720" s="1464">
        <f t="shared" si="37"/>
        <v>0</v>
      </c>
      <c r="CH720" s="1465"/>
      <c r="CI720" s="1470">
        <f t="shared" si="38"/>
        <v>0</v>
      </c>
      <c r="CJ720" s="1471"/>
      <c r="CK720" s="1464">
        <f t="shared" si="16"/>
        <v>1</v>
      </c>
      <c r="CL720" s="1465"/>
      <c r="CM720" s="1470">
        <f t="shared" si="17"/>
        <v>20</v>
      </c>
      <c r="CN720" s="1471"/>
      <c r="CO720" s="3"/>
      <c r="CP720" s="1459">
        <f t="shared" si="18"/>
        <v>0</v>
      </c>
      <c r="CQ720" s="1460"/>
      <c r="CR720" s="1460"/>
      <c r="CS720" s="1460"/>
      <c r="CT720" s="1461"/>
      <c r="CU720" s="1444">
        <f t="shared" si="19"/>
        <v>20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20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698</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324</v>
      </c>
      <c r="C721" s="1338"/>
      <c r="D721" s="1338"/>
      <c r="E721" s="1338"/>
      <c r="F721" s="1339"/>
      <c r="G721" s="1349">
        <v>9</v>
      </c>
      <c r="H721" s="1350"/>
      <c r="I721" s="1350"/>
      <c r="J721" s="1351"/>
      <c r="K721" s="1343">
        <v>726</v>
      </c>
      <c r="L721" s="1344"/>
      <c r="M721" s="1344"/>
      <c r="N721" s="1345"/>
      <c r="O721" s="1340">
        <v>1663</v>
      </c>
      <c r="P721" s="1341"/>
      <c r="Q721" s="1341"/>
      <c r="R721" s="1341"/>
      <c r="S721" s="1342"/>
      <c r="T721" s="1340">
        <v>25</v>
      </c>
      <c r="U721" s="1341"/>
      <c r="V721" s="1341"/>
      <c r="W721" s="1342"/>
      <c r="X721" s="1352">
        <f t="shared" si="8"/>
        <v>1688</v>
      </c>
      <c r="Y721" s="1353"/>
      <c r="Z721" s="1353"/>
      <c r="AA721" s="1353"/>
      <c r="AB721" s="1354"/>
      <c r="AC721" s="1359">
        <v>0.7</v>
      </c>
      <c r="AD721" s="1360"/>
      <c r="AE721" s="1360"/>
      <c r="AF721" s="1360"/>
      <c r="AG721" s="1361"/>
      <c r="AH721" s="1355">
        <f t="shared" si="36"/>
        <v>0.69983416252072972</v>
      </c>
      <c r="AI721" s="1356"/>
      <c r="AJ721" s="1357"/>
      <c r="AK721" s="1337" t="s">
        <v>590</v>
      </c>
      <c r="AL721" s="1338"/>
      <c r="AM721" s="1338"/>
      <c r="AN721" s="1338"/>
      <c r="AO721" s="1339"/>
      <c r="AP721" s="3"/>
      <c r="AQ721" s="3"/>
      <c r="AR721" s="3"/>
      <c r="AS721" s="3"/>
      <c r="AY721" s="116"/>
      <c r="AZ721" s="118">
        <f t="shared" si="9"/>
        <v>2412</v>
      </c>
      <c r="BA721" s="3"/>
      <c r="BB721" s="3"/>
      <c r="BC721" s="3"/>
      <c r="BD721" s="3"/>
      <c r="BE721" s="204"/>
      <c r="BF721" s="294">
        <f t="shared" si="10"/>
        <v>9</v>
      </c>
      <c r="BG721" s="297">
        <f t="shared" si="11"/>
        <v>3.8461538461538464E-2</v>
      </c>
      <c r="BH721" s="298">
        <f t="shared" si="12"/>
        <v>2.6923076923076925E-2</v>
      </c>
      <c r="BI721" s="3"/>
      <c r="BJ721" s="3"/>
      <c r="BK721" s="3"/>
      <c r="BL721" s="3"/>
      <c r="BM721" s="3"/>
      <c r="BN721" s="3"/>
      <c r="BS721" s="294">
        <f t="shared" si="13"/>
        <v>9</v>
      </c>
      <c r="BT721" s="297">
        <f t="shared" si="14"/>
        <v>3.8461538461538464E-2</v>
      </c>
      <c r="BU721" s="298">
        <f t="shared" si="15"/>
        <v>2.6916698558489605E-2</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4">
        <f t="shared" si="19"/>
        <v>9</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f t="shared" si="31"/>
        <v>1663</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163</v>
      </c>
      <c r="C722" s="1338"/>
      <c r="D722" s="1338"/>
      <c r="E722" s="1338"/>
      <c r="F722" s="1339"/>
      <c r="G722" s="1349">
        <v>25</v>
      </c>
      <c r="H722" s="1350"/>
      <c r="I722" s="1350"/>
      <c r="J722" s="1351"/>
      <c r="K722" s="1343">
        <v>1033</v>
      </c>
      <c r="L722" s="1344"/>
      <c r="M722" s="1344"/>
      <c r="N722" s="1345"/>
      <c r="O722" s="1340">
        <v>1712</v>
      </c>
      <c r="P722" s="1341"/>
      <c r="Q722" s="1341"/>
      <c r="R722" s="1341"/>
      <c r="S722" s="1342"/>
      <c r="T722" s="1340">
        <v>25</v>
      </c>
      <c r="U722" s="1341"/>
      <c r="V722" s="1341"/>
      <c r="W722" s="1342"/>
      <c r="X722" s="1352">
        <f t="shared" si="8"/>
        <v>1737</v>
      </c>
      <c r="Y722" s="1353"/>
      <c r="Z722" s="1353"/>
      <c r="AA722" s="1353"/>
      <c r="AB722" s="1354"/>
      <c r="AC722" s="1359">
        <v>0.6</v>
      </c>
      <c r="AD722" s="1360"/>
      <c r="AE722" s="1360"/>
      <c r="AF722" s="1360"/>
      <c r="AG722" s="1361"/>
      <c r="AH722" s="1355">
        <f t="shared" si="36"/>
        <v>0.60020732550103661</v>
      </c>
      <c r="AI722" s="1356"/>
      <c r="AJ722" s="1357"/>
      <c r="AK722" s="1337" t="s">
        <v>590</v>
      </c>
      <c r="AL722" s="1338"/>
      <c r="AM722" s="1338"/>
      <c r="AN722" s="1338"/>
      <c r="AO722" s="1339"/>
      <c r="AP722" s="3"/>
      <c r="AQ722" s="3"/>
      <c r="AR722" s="3"/>
      <c r="AS722" s="3"/>
      <c r="AY722" s="116"/>
      <c r="AZ722" s="118">
        <f t="shared" si="9"/>
        <v>2894</v>
      </c>
      <c r="BA722" s="3"/>
      <c r="BB722" s="3"/>
      <c r="BC722" s="3"/>
      <c r="BD722" s="3"/>
      <c r="BE722" s="204"/>
      <c r="BF722" s="294">
        <f t="shared" si="10"/>
        <v>25</v>
      </c>
      <c r="BG722" s="297">
        <f t="shared" si="11"/>
        <v>0.10683760683760683</v>
      </c>
      <c r="BH722" s="298">
        <f t="shared" si="12"/>
        <v>6.4102564102564097E-2</v>
      </c>
      <c r="BI722" s="3"/>
      <c r="BJ722" s="3"/>
      <c r="BK722" s="3"/>
      <c r="BL722" s="3"/>
      <c r="BM722" s="3"/>
      <c r="BN722" s="3"/>
      <c r="BS722" s="294">
        <f t="shared" si="13"/>
        <v>25</v>
      </c>
      <c r="BT722" s="297">
        <f t="shared" si="14"/>
        <v>0.10683760683760683</v>
      </c>
      <c r="BU722" s="298">
        <f t="shared" si="15"/>
        <v>6.4124714262931259E-2</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25</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f t="shared" si="32"/>
        <v>1712</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49">
        <v>3</v>
      </c>
      <c r="H723" s="1350"/>
      <c r="I723" s="1350"/>
      <c r="J723" s="1351"/>
      <c r="K723" s="1343">
        <v>1033</v>
      </c>
      <c r="L723" s="1344"/>
      <c r="M723" s="1344"/>
      <c r="N723" s="1345"/>
      <c r="O723" s="1340">
        <v>1422</v>
      </c>
      <c r="P723" s="1341"/>
      <c r="Q723" s="1341"/>
      <c r="R723" s="1341"/>
      <c r="S723" s="1342"/>
      <c r="T723" s="1340">
        <v>25</v>
      </c>
      <c r="U723" s="1341"/>
      <c r="V723" s="1341"/>
      <c r="W723" s="1342"/>
      <c r="X723" s="1352">
        <f t="shared" si="8"/>
        <v>1447</v>
      </c>
      <c r="Y723" s="1353"/>
      <c r="Z723" s="1353"/>
      <c r="AA723" s="1353"/>
      <c r="AB723" s="1354"/>
      <c r="AC723" s="1359">
        <v>0.5</v>
      </c>
      <c r="AD723" s="1360"/>
      <c r="AE723" s="1360"/>
      <c r="AF723" s="1360"/>
      <c r="AG723" s="1361"/>
      <c r="AH723" s="1355">
        <f t="shared" si="36"/>
        <v>0.5</v>
      </c>
      <c r="AI723" s="1356"/>
      <c r="AJ723" s="1357"/>
      <c r="AK723" s="1337" t="s">
        <v>590</v>
      </c>
      <c r="AL723" s="1338"/>
      <c r="AM723" s="1338"/>
      <c r="AN723" s="1338"/>
      <c r="AO723" s="1339"/>
      <c r="AP723" s="3"/>
      <c r="AQ723" s="3"/>
      <c r="AR723" s="3"/>
      <c r="AS723" s="3"/>
      <c r="AY723" s="116"/>
      <c r="AZ723" s="118">
        <f t="shared" si="9"/>
        <v>2894</v>
      </c>
      <c r="BA723" s="3"/>
      <c r="BB723" s="3"/>
      <c r="BC723" s="3"/>
      <c r="BD723" s="3"/>
      <c r="BE723" s="204"/>
      <c r="BF723" s="294">
        <f t="shared" si="10"/>
        <v>3</v>
      </c>
      <c r="BG723" s="297">
        <f t="shared" si="11"/>
        <v>1.282051282051282E-2</v>
      </c>
      <c r="BH723" s="298">
        <f t="shared" si="12"/>
        <v>6.41025641025641E-3</v>
      </c>
      <c r="BI723" s="3"/>
      <c r="BJ723" s="3"/>
      <c r="BK723" s="3"/>
      <c r="BL723" s="3"/>
      <c r="BM723" s="3"/>
      <c r="BN723" s="3"/>
      <c r="BS723" s="294">
        <f t="shared" si="13"/>
        <v>3</v>
      </c>
      <c r="BT723" s="297">
        <f t="shared" si="14"/>
        <v>1.282051282051282E-2</v>
      </c>
      <c r="BU723" s="298">
        <f t="shared" si="15"/>
        <v>6.41025641025641E-3</v>
      </c>
      <c r="CC723" s="3"/>
      <c r="CD723" s="3"/>
      <c r="CE723" s="3"/>
      <c r="CF723" s="3"/>
      <c r="CG723" s="1464">
        <f t="shared" si="37"/>
        <v>1</v>
      </c>
      <c r="CH723" s="1465"/>
      <c r="CI723" s="1470">
        <f t="shared" si="38"/>
        <v>3</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3</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1422</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163</v>
      </c>
      <c r="C724" s="1338"/>
      <c r="D724" s="1338"/>
      <c r="E724" s="1338"/>
      <c r="F724" s="1339"/>
      <c r="G724" s="1349">
        <v>3</v>
      </c>
      <c r="H724" s="1350"/>
      <c r="I724" s="1350"/>
      <c r="J724" s="1351"/>
      <c r="K724" s="1343">
        <v>1033</v>
      </c>
      <c r="L724" s="1344"/>
      <c r="M724" s="1344"/>
      <c r="N724" s="1345"/>
      <c r="O724" s="1340">
        <v>843</v>
      </c>
      <c r="P724" s="1341"/>
      <c r="Q724" s="1341"/>
      <c r="R724" s="1341"/>
      <c r="S724" s="1342"/>
      <c r="T724" s="1340">
        <v>25</v>
      </c>
      <c r="U724" s="1341"/>
      <c r="V724" s="1341"/>
      <c r="W724" s="1342"/>
      <c r="X724" s="1352">
        <f t="shared" si="8"/>
        <v>868</v>
      </c>
      <c r="Y724" s="1353"/>
      <c r="Z724" s="1353"/>
      <c r="AA724" s="1353"/>
      <c r="AB724" s="1354"/>
      <c r="AC724" s="1359">
        <v>0.3</v>
      </c>
      <c r="AD724" s="1360"/>
      <c r="AE724" s="1360"/>
      <c r="AF724" s="1360"/>
      <c r="AG724" s="1361"/>
      <c r="AH724" s="1355">
        <f t="shared" si="36"/>
        <v>0.29993089149965446</v>
      </c>
      <c r="AI724" s="1356"/>
      <c r="AJ724" s="1357"/>
      <c r="AK724" s="1337" t="s">
        <v>590</v>
      </c>
      <c r="AL724" s="1338"/>
      <c r="AM724" s="1338"/>
      <c r="AN724" s="1338"/>
      <c r="AO724" s="1339"/>
      <c r="AP724" s="3"/>
      <c r="AQ724" s="3"/>
      <c r="AR724" s="3"/>
      <c r="AS724" s="3"/>
      <c r="AY724" s="116"/>
      <c r="AZ724" s="118">
        <f t="shared" si="9"/>
        <v>2894</v>
      </c>
      <c r="BA724" s="3"/>
      <c r="BB724" s="3"/>
      <c r="BC724" s="3"/>
      <c r="BD724" s="3"/>
      <c r="BE724" s="204"/>
      <c r="BF724" s="294">
        <f t="shared" si="10"/>
        <v>3</v>
      </c>
      <c r="BG724" s="297">
        <f t="shared" si="11"/>
        <v>1.282051282051282E-2</v>
      </c>
      <c r="BH724" s="298">
        <f t="shared" si="12"/>
        <v>3.8461538461538459E-3</v>
      </c>
      <c r="BI724" s="3"/>
      <c r="BJ724" s="3"/>
      <c r="BK724" s="3"/>
      <c r="BL724" s="3"/>
      <c r="BM724" s="3"/>
      <c r="BN724" s="3"/>
      <c r="BS724" s="294">
        <f t="shared" si="13"/>
        <v>3</v>
      </c>
      <c r="BT724" s="297">
        <f t="shared" si="14"/>
        <v>1.282051282051282E-2</v>
      </c>
      <c r="BU724" s="298">
        <f t="shared" si="15"/>
        <v>3.8452678397391596E-3</v>
      </c>
      <c r="CC724" s="3"/>
      <c r="CE724" s="3"/>
      <c r="CF724" s="3"/>
      <c r="CG724" s="1464">
        <f t="shared" si="37"/>
        <v>0</v>
      </c>
      <c r="CH724" s="1465"/>
      <c r="CI724" s="1470">
        <f t="shared" si="38"/>
        <v>0</v>
      </c>
      <c r="CJ724" s="1471"/>
      <c r="CK724" s="1464">
        <f t="shared" si="16"/>
        <v>1</v>
      </c>
      <c r="CL724" s="1465"/>
      <c r="CM724" s="1470">
        <f t="shared" si="17"/>
        <v>3</v>
      </c>
      <c r="CN724" s="1471"/>
      <c r="CO724" s="3"/>
      <c r="CP724" s="1459">
        <f t="shared" si="18"/>
        <v>0</v>
      </c>
      <c r="CQ724" s="1460"/>
      <c r="CR724" s="1460"/>
      <c r="CS724" s="1460"/>
      <c r="CT724" s="1461"/>
      <c r="CU724" s="1444">
        <f t="shared" si="19"/>
        <v>0</v>
      </c>
      <c r="CV724" s="1444"/>
      <c r="CW724" s="1444"/>
      <c r="CX724" s="1444"/>
      <c r="CY724" s="1444"/>
      <c r="CZ724" s="1444">
        <f t="shared" si="20"/>
        <v>3</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3</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f t="shared" si="32"/>
        <v>843</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163</v>
      </c>
      <c r="C725" s="1338"/>
      <c r="D725" s="1338"/>
      <c r="E725" s="1338"/>
      <c r="F725" s="1339"/>
      <c r="G725" s="1349">
        <v>29</v>
      </c>
      <c r="H725" s="1350"/>
      <c r="I725" s="1350"/>
      <c r="J725" s="1351"/>
      <c r="K725" s="1343">
        <v>1033</v>
      </c>
      <c r="L725" s="1344"/>
      <c r="M725" s="1344"/>
      <c r="N725" s="1345"/>
      <c r="O725" s="1340">
        <v>2001</v>
      </c>
      <c r="P725" s="1341"/>
      <c r="Q725" s="1341"/>
      <c r="R725" s="1341"/>
      <c r="S725" s="1342"/>
      <c r="T725" s="1340">
        <v>25</v>
      </c>
      <c r="U725" s="1341"/>
      <c r="V725" s="1341"/>
      <c r="W725" s="1342"/>
      <c r="X725" s="1352">
        <f t="shared" si="8"/>
        <v>2026</v>
      </c>
      <c r="Y725" s="1353"/>
      <c r="Z725" s="1353"/>
      <c r="AA725" s="1353"/>
      <c r="AB725" s="1354"/>
      <c r="AC725" s="1359">
        <v>0.7</v>
      </c>
      <c r="AD725" s="1360"/>
      <c r="AE725" s="1360"/>
      <c r="AF725" s="1360"/>
      <c r="AG725" s="1361"/>
      <c r="AH725" s="1355">
        <f t="shared" si="36"/>
        <v>0.70006910850034554</v>
      </c>
      <c r="AI725" s="1356"/>
      <c r="AJ725" s="1357"/>
      <c r="AK725" s="1337" t="s">
        <v>590</v>
      </c>
      <c r="AL725" s="1338"/>
      <c r="AM725" s="1338"/>
      <c r="AN725" s="1338"/>
      <c r="AO725" s="1339"/>
      <c r="AP725" s="3"/>
      <c r="AQ725" s="3"/>
      <c r="AR725" s="3"/>
      <c r="AS725" s="3"/>
      <c r="AY725" s="1085"/>
      <c r="AZ725" s="118">
        <f t="shared" si="9"/>
        <v>2894</v>
      </c>
      <c r="BA725" s="3"/>
      <c r="BB725" s="3"/>
      <c r="BC725" s="3"/>
      <c r="BD725" s="3"/>
      <c r="BE725" s="204"/>
      <c r="BF725" s="294">
        <f t="shared" si="10"/>
        <v>29</v>
      </c>
      <c r="BG725" s="297">
        <f t="shared" si="11"/>
        <v>0.12393162393162394</v>
      </c>
      <c r="BH725" s="298">
        <f t="shared" si="12"/>
        <v>8.6752136752136749E-2</v>
      </c>
      <c r="BI725" s="3"/>
      <c r="BJ725" s="3"/>
      <c r="BK725" s="3"/>
      <c r="BL725" s="3"/>
      <c r="BM725" s="3"/>
      <c r="BN725" s="3"/>
      <c r="BS725" s="294">
        <f t="shared" si="13"/>
        <v>29</v>
      </c>
      <c r="BT725" s="297">
        <f t="shared" si="14"/>
        <v>0.12393162393162394</v>
      </c>
      <c r="BU725" s="298">
        <f t="shared" si="15"/>
        <v>8.6760701480812052E-2</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29</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f t="shared" si="32"/>
        <v>2001</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t="s">
        <v>164</v>
      </c>
      <c r="C726" s="1338"/>
      <c r="D726" s="1338"/>
      <c r="E726" s="1338"/>
      <c r="F726" s="1339"/>
      <c r="G726" s="1349">
        <v>15</v>
      </c>
      <c r="H726" s="1350"/>
      <c r="I726" s="1350"/>
      <c r="J726" s="1351"/>
      <c r="K726" s="1343">
        <v>1184</v>
      </c>
      <c r="L726" s="1344"/>
      <c r="M726" s="1344"/>
      <c r="N726" s="1345"/>
      <c r="O726" s="1340">
        <v>1981</v>
      </c>
      <c r="P726" s="1341"/>
      <c r="Q726" s="1341"/>
      <c r="R726" s="1341"/>
      <c r="S726" s="1342"/>
      <c r="T726" s="1340">
        <v>25</v>
      </c>
      <c r="U726" s="1341"/>
      <c r="V726" s="1341"/>
      <c r="W726" s="1342"/>
      <c r="X726" s="1352">
        <f t="shared" si="8"/>
        <v>2006</v>
      </c>
      <c r="Y726" s="1353"/>
      <c r="Z726" s="1353"/>
      <c r="AA726" s="1353"/>
      <c r="AB726" s="1354"/>
      <c r="AC726" s="1359">
        <v>0.6</v>
      </c>
      <c r="AD726" s="1360"/>
      <c r="AE726" s="1360"/>
      <c r="AF726" s="1360"/>
      <c r="AG726" s="1361"/>
      <c r="AH726" s="1355">
        <f t="shared" si="36"/>
        <v>0.60023937761819268</v>
      </c>
      <c r="AI726" s="1356"/>
      <c r="AJ726" s="1357"/>
      <c r="AK726" s="1337" t="s">
        <v>590</v>
      </c>
      <c r="AL726" s="1338"/>
      <c r="AM726" s="1338"/>
      <c r="AN726" s="1338"/>
      <c r="AO726" s="1339"/>
      <c r="AP726" s="3"/>
      <c r="AQ726" s="3"/>
      <c r="AR726" s="3"/>
      <c r="AS726" s="3"/>
      <c r="AY726" s="1085"/>
      <c r="AZ726" s="118">
        <f t="shared" si="9"/>
        <v>3342</v>
      </c>
      <c r="BA726" s="3"/>
      <c r="BB726" s="3"/>
      <c r="BC726" s="3"/>
      <c r="BD726" s="3"/>
      <c r="BE726" s="204"/>
      <c r="BF726" s="294">
        <f t="shared" si="10"/>
        <v>15</v>
      </c>
      <c r="BG726" s="297">
        <f t="shared" si="11"/>
        <v>6.4102564102564097E-2</v>
      </c>
      <c r="BH726" s="298">
        <f t="shared" si="12"/>
        <v>3.8461538461538457E-2</v>
      </c>
      <c r="BI726" s="3"/>
      <c r="BJ726" s="3"/>
      <c r="BK726" s="3"/>
      <c r="BL726" s="3"/>
      <c r="BM726" s="3"/>
      <c r="BN726" s="3"/>
      <c r="BS726" s="294">
        <f t="shared" si="13"/>
        <v>15</v>
      </c>
      <c r="BT726" s="297">
        <f t="shared" si="14"/>
        <v>6.4102564102564097E-2</v>
      </c>
      <c r="BU726" s="298">
        <f t="shared" si="15"/>
        <v>3.8476883180653371E-2</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15</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1981</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t="s">
        <v>164</v>
      </c>
      <c r="C727" s="1338"/>
      <c r="D727" s="1338"/>
      <c r="E727" s="1338"/>
      <c r="F727" s="1339"/>
      <c r="G727" s="1349">
        <v>3</v>
      </c>
      <c r="H727" s="1350"/>
      <c r="I727" s="1350"/>
      <c r="J727" s="1351"/>
      <c r="K727" s="1343">
        <v>1184</v>
      </c>
      <c r="L727" s="1344"/>
      <c r="M727" s="1344"/>
      <c r="N727" s="1345"/>
      <c r="O727" s="1340">
        <v>1646</v>
      </c>
      <c r="P727" s="1341"/>
      <c r="Q727" s="1341"/>
      <c r="R727" s="1341"/>
      <c r="S727" s="1342"/>
      <c r="T727" s="1340">
        <v>25</v>
      </c>
      <c r="U727" s="1341"/>
      <c r="V727" s="1341"/>
      <c r="W727" s="1342"/>
      <c r="X727" s="1352">
        <f t="shared" si="8"/>
        <v>1671</v>
      </c>
      <c r="Y727" s="1353"/>
      <c r="Z727" s="1353"/>
      <c r="AA727" s="1353"/>
      <c r="AB727" s="1354"/>
      <c r="AC727" s="1359">
        <v>0.5</v>
      </c>
      <c r="AD727" s="1360"/>
      <c r="AE727" s="1360"/>
      <c r="AF727" s="1360"/>
      <c r="AG727" s="1361"/>
      <c r="AH727" s="1355">
        <f t="shared" si="36"/>
        <v>0.5</v>
      </c>
      <c r="AI727" s="1356"/>
      <c r="AJ727" s="1357"/>
      <c r="AK727" s="1337" t="s">
        <v>590</v>
      </c>
      <c r="AL727" s="1338"/>
      <c r="AM727" s="1338"/>
      <c r="AN727" s="1338"/>
      <c r="AO727" s="1339"/>
      <c r="AP727" s="3"/>
      <c r="AQ727" s="3"/>
      <c r="AR727" s="3"/>
      <c r="AS727" s="3"/>
      <c r="AY727" s="1085"/>
      <c r="AZ727" s="118">
        <f t="shared" si="9"/>
        <v>3342</v>
      </c>
      <c r="BA727" s="3"/>
      <c r="BB727" s="3"/>
      <c r="BC727" s="3"/>
      <c r="BD727" s="3"/>
      <c r="BE727" s="204"/>
      <c r="BF727" s="294">
        <f t="shared" si="10"/>
        <v>3</v>
      </c>
      <c r="BG727" s="297">
        <f t="shared" si="11"/>
        <v>1.282051282051282E-2</v>
      </c>
      <c r="BH727" s="298">
        <f t="shared" si="12"/>
        <v>6.41025641025641E-3</v>
      </c>
      <c r="BI727" s="3"/>
      <c r="BJ727" s="3"/>
      <c r="BK727" s="3"/>
      <c r="BL727" s="3"/>
      <c r="BM727" s="3"/>
      <c r="BN727" s="3"/>
      <c r="BS727" s="294">
        <f t="shared" si="13"/>
        <v>3</v>
      </c>
      <c r="BT727" s="297">
        <f t="shared" si="14"/>
        <v>1.282051282051282E-2</v>
      </c>
      <c r="BU727" s="298">
        <f t="shared" si="15"/>
        <v>6.41025641025641E-3</v>
      </c>
      <c r="BV727" s="3"/>
      <c r="BW727" s="3"/>
      <c r="BX727" s="3"/>
      <c r="BY727" s="3"/>
      <c r="BZ727" s="3"/>
      <c r="CA727" s="3"/>
      <c r="CB727" s="3"/>
      <c r="CC727" s="3"/>
      <c r="CE727" s="3"/>
      <c r="CF727" s="3"/>
      <c r="CG727" s="1464">
        <f t="shared" si="37"/>
        <v>1</v>
      </c>
      <c r="CH727" s="1465"/>
      <c r="CI727" s="1470">
        <f t="shared" si="38"/>
        <v>3</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3</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f t="shared" si="33"/>
        <v>1646</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t="s">
        <v>164</v>
      </c>
      <c r="C728" s="1338"/>
      <c r="D728" s="1338"/>
      <c r="E728" s="1338"/>
      <c r="F728" s="1339"/>
      <c r="G728" s="1349">
        <v>3</v>
      </c>
      <c r="H728" s="1350"/>
      <c r="I728" s="1350"/>
      <c r="J728" s="1351"/>
      <c r="K728" s="1343">
        <v>1184</v>
      </c>
      <c r="L728" s="1344"/>
      <c r="M728" s="1344"/>
      <c r="N728" s="1345"/>
      <c r="O728" s="1340">
        <v>978</v>
      </c>
      <c r="P728" s="1341"/>
      <c r="Q728" s="1341"/>
      <c r="R728" s="1341"/>
      <c r="S728" s="1342"/>
      <c r="T728" s="1340">
        <v>25</v>
      </c>
      <c r="U728" s="1341"/>
      <c r="V728" s="1341"/>
      <c r="W728" s="1342"/>
      <c r="X728" s="1352">
        <f t="shared" si="8"/>
        <v>1003</v>
      </c>
      <c r="Y728" s="1353"/>
      <c r="Z728" s="1353"/>
      <c r="AA728" s="1353"/>
      <c r="AB728" s="1354"/>
      <c r="AC728" s="1359">
        <v>0.3</v>
      </c>
      <c r="AD728" s="1360"/>
      <c r="AE728" s="1360"/>
      <c r="AF728" s="1360"/>
      <c r="AG728" s="1361"/>
      <c r="AH728" s="1355">
        <f t="shared" si="36"/>
        <v>0.30011968880909634</v>
      </c>
      <c r="AI728" s="1356"/>
      <c r="AJ728" s="1357"/>
      <c r="AK728" s="1337" t="s">
        <v>590</v>
      </c>
      <c r="AL728" s="1338"/>
      <c r="AM728" s="1338"/>
      <c r="AN728" s="1338"/>
      <c r="AO728" s="1339"/>
      <c r="AP728" s="3"/>
      <c r="AQ728" s="3"/>
      <c r="AR728" s="3"/>
      <c r="AS728" s="3"/>
      <c r="AY728" s="1085"/>
      <c r="AZ728" s="118">
        <f t="shared" si="9"/>
        <v>3342</v>
      </c>
      <c r="BA728" s="3"/>
      <c r="BB728" s="3"/>
      <c r="BC728" s="3"/>
      <c r="BD728" s="3"/>
      <c r="BE728" s="204"/>
      <c r="BF728" s="294">
        <f t="shared" si="10"/>
        <v>3</v>
      </c>
      <c r="BG728" s="297">
        <f t="shared" si="11"/>
        <v>1.282051282051282E-2</v>
      </c>
      <c r="BH728" s="298">
        <f t="shared" si="12"/>
        <v>3.8461538461538459E-3</v>
      </c>
      <c r="BI728" s="3"/>
      <c r="BJ728" s="3"/>
      <c r="BK728" s="3"/>
      <c r="BL728" s="3"/>
      <c r="BM728" s="3"/>
      <c r="BN728" s="3"/>
      <c r="BS728" s="294">
        <f t="shared" si="13"/>
        <v>3</v>
      </c>
      <c r="BT728" s="297">
        <f t="shared" si="14"/>
        <v>1.282051282051282E-2</v>
      </c>
      <c r="BU728" s="298">
        <f t="shared" si="15"/>
        <v>3.8476883180653377E-3</v>
      </c>
      <c r="BV728" s="3"/>
      <c r="BW728" s="3"/>
      <c r="BX728" s="3"/>
      <c r="BY728" s="3"/>
      <c r="BZ728" s="3"/>
      <c r="CA728" s="3"/>
      <c r="CB728" s="3"/>
      <c r="CC728" s="3"/>
      <c r="CE728" s="3"/>
      <c r="CF728" s="3"/>
      <c r="CG728" s="1464">
        <f t="shared" si="37"/>
        <v>0</v>
      </c>
      <c r="CH728" s="1465"/>
      <c r="CI728" s="1470">
        <f t="shared" si="38"/>
        <v>0</v>
      </c>
      <c r="CJ728" s="1471"/>
      <c r="CK728" s="1464">
        <f t="shared" si="16"/>
        <v>1</v>
      </c>
      <c r="CL728" s="1465"/>
      <c r="CM728" s="1470">
        <f t="shared" si="17"/>
        <v>3</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3</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3</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f t="shared" si="33"/>
        <v>978</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t="s">
        <v>164</v>
      </c>
      <c r="C729" s="1338"/>
      <c r="D729" s="1338"/>
      <c r="E729" s="1338"/>
      <c r="F729" s="1339"/>
      <c r="G729" s="1349">
        <v>35</v>
      </c>
      <c r="H729" s="1350"/>
      <c r="I729" s="1350"/>
      <c r="J729" s="1351"/>
      <c r="K729" s="1343">
        <v>1184</v>
      </c>
      <c r="L729" s="1344"/>
      <c r="M729" s="1344"/>
      <c r="N729" s="1345"/>
      <c r="O729" s="1340">
        <v>2315</v>
      </c>
      <c r="P729" s="1341"/>
      <c r="Q729" s="1341"/>
      <c r="R729" s="1341"/>
      <c r="S729" s="1342"/>
      <c r="T729" s="1340">
        <v>25</v>
      </c>
      <c r="U729" s="1341"/>
      <c r="V729" s="1341"/>
      <c r="W729" s="1342"/>
      <c r="X729" s="1352">
        <f t="shared" si="8"/>
        <v>2340</v>
      </c>
      <c r="Y729" s="1353"/>
      <c r="Z729" s="1353"/>
      <c r="AA729" s="1353"/>
      <c r="AB729" s="1354"/>
      <c r="AC729" s="1359">
        <v>0.7</v>
      </c>
      <c r="AD729" s="1360"/>
      <c r="AE729" s="1360"/>
      <c r="AF729" s="1360"/>
      <c r="AG729" s="1361"/>
      <c r="AH729" s="1355">
        <f t="shared" si="36"/>
        <v>0.70017953321364457</v>
      </c>
      <c r="AI729" s="1356"/>
      <c r="AJ729" s="1357"/>
      <c r="AK729" s="1337" t="s">
        <v>590</v>
      </c>
      <c r="AL729" s="1338"/>
      <c r="AM729" s="1338"/>
      <c r="AN729" s="1338"/>
      <c r="AO729" s="1339"/>
      <c r="AP729" s="3"/>
      <c r="AQ729" s="3"/>
      <c r="AR729" s="3"/>
      <c r="AS729" s="3"/>
      <c r="AY729" s="1085"/>
      <c r="AZ729" s="118">
        <f t="shared" si="9"/>
        <v>3342</v>
      </c>
      <c r="BA729" s="3"/>
      <c r="BB729" s="3"/>
      <c r="BC729" s="3"/>
      <c r="BD729" s="3"/>
      <c r="BE729" s="204"/>
      <c r="BF729" s="294">
        <f t="shared" si="10"/>
        <v>35</v>
      </c>
      <c r="BG729" s="297">
        <f t="shared" si="11"/>
        <v>0.14957264957264957</v>
      </c>
      <c r="BH729" s="298">
        <f t="shared" si="12"/>
        <v>0.10470085470085469</v>
      </c>
      <c r="BI729" s="3"/>
      <c r="BJ729" s="3"/>
      <c r="BK729" s="3"/>
      <c r="BL729" s="3"/>
      <c r="BM729" s="3"/>
      <c r="BN729" s="3"/>
      <c r="BS729" s="294">
        <f t="shared" si="13"/>
        <v>35</v>
      </c>
      <c r="BT729" s="297">
        <f t="shared" si="14"/>
        <v>0.14957264957264957</v>
      </c>
      <c r="BU729" s="298">
        <f t="shared" si="15"/>
        <v>0.1047277079593058</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35</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f t="shared" si="33"/>
        <v>2315</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t="s">
        <v>165</v>
      </c>
      <c r="C730" s="1338"/>
      <c r="D730" s="1338"/>
      <c r="E730" s="1338"/>
      <c r="F730" s="1339"/>
      <c r="G730" s="1349">
        <v>13</v>
      </c>
      <c r="H730" s="1350"/>
      <c r="I730" s="1350"/>
      <c r="J730" s="1351"/>
      <c r="K730" s="1343">
        <v>1359</v>
      </c>
      <c r="L730" s="1344"/>
      <c r="M730" s="1344"/>
      <c r="N730" s="1345"/>
      <c r="O730" s="1340">
        <v>2213</v>
      </c>
      <c r="P730" s="1341"/>
      <c r="Q730" s="1341"/>
      <c r="R730" s="1341"/>
      <c r="S730" s="1342"/>
      <c r="T730" s="1340">
        <v>25</v>
      </c>
      <c r="U730" s="1341"/>
      <c r="V730" s="1341"/>
      <c r="W730" s="1342"/>
      <c r="X730" s="1352">
        <f t="shared" si="8"/>
        <v>2238</v>
      </c>
      <c r="Y730" s="1353"/>
      <c r="Z730" s="1353"/>
      <c r="AA730" s="1353"/>
      <c r="AB730" s="1354"/>
      <c r="AC730" s="1359">
        <v>0.6</v>
      </c>
      <c r="AD730" s="1360"/>
      <c r="AE730" s="1360"/>
      <c r="AF730" s="1360"/>
      <c r="AG730" s="1361"/>
      <c r="AH730" s="1355">
        <f t="shared" si="36"/>
        <v>0.6</v>
      </c>
      <c r="AI730" s="1356"/>
      <c r="AJ730" s="1357"/>
      <c r="AK730" s="1337" t="s">
        <v>590</v>
      </c>
      <c r="AL730" s="1338"/>
      <c r="AM730" s="1338"/>
      <c r="AN730" s="1338"/>
      <c r="AO730" s="1339"/>
      <c r="AP730" s="3"/>
      <c r="AQ730" s="3"/>
      <c r="AR730" s="3"/>
      <c r="AS730" s="3"/>
      <c r="AY730" s="1085"/>
      <c r="AZ730" s="118">
        <f>IF($G730=0,"N/A",VLOOKUP($T$189,TC_Rent,(MATCH($B730,bedrooms,FALSE)),FALSE))</f>
        <v>3730</v>
      </c>
      <c r="BA730" s="3"/>
      <c r="BB730" s="3"/>
      <c r="BC730" s="3"/>
      <c r="BD730" s="3"/>
      <c r="BE730" s="204"/>
      <c r="BF730" s="294">
        <f t="shared" si="10"/>
        <v>13</v>
      </c>
      <c r="BG730" s="297">
        <f t="shared" si="11"/>
        <v>5.5555555555555552E-2</v>
      </c>
      <c r="BH730" s="298">
        <f t="shared" si="12"/>
        <v>3.3333333333333333E-2</v>
      </c>
      <c r="BI730" s="3"/>
      <c r="BJ730" s="3"/>
      <c r="BK730" s="3"/>
      <c r="BL730" s="3"/>
      <c r="BM730" s="3"/>
      <c r="BN730" s="3"/>
      <c r="BS730" s="294">
        <f t="shared" si="13"/>
        <v>13</v>
      </c>
      <c r="BT730" s="297">
        <f t="shared" si="14"/>
        <v>5.5555555555555552E-2</v>
      </c>
      <c r="BU730" s="298">
        <f t="shared" si="15"/>
        <v>3.3333333333333333E-2</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IF(B730="SRO/Studio",G730,0)</f>
        <v>0</v>
      </c>
      <c r="CQ730" s="1460"/>
      <c r="CR730" s="1460"/>
      <c r="CS730" s="1460"/>
      <c r="CT730" s="1461"/>
      <c r="CU730" s="1444">
        <f>IF(B730="1 Bedroom",G730,0)</f>
        <v>0</v>
      </c>
      <c r="CV730" s="1444"/>
      <c r="CW730" s="1444"/>
      <c r="CX730" s="1444"/>
      <c r="CY730" s="1444"/>
      <c r="CZ730" s="1444">
        <f>IF(B730="2 Bedrooms",G730,0)</f>
        <v>0</v>
      </c>
      <c r="DA730" s="1444"/>
      <c r="DB730" s="1444"/>
      <c r="DC730" s="1444"/>
      <c r="DD730" s="1444"/>
      <c r="DE730" s="1444">
        <f>IF(B730="3 Bedrooms",G730,0)</f>
        <v>0</v>
      </c>
      <c r="DF730" s="1444"/>
      <c r="DG730" s="1444"/>
      <c r="DH730" s="1444"/>
      <c r="DI730" s="1444"/>
      <c r="DJ730" s="1444">
        <f>IF(B730="4 Bedrooms",G730,0)</f>
        <v>13</v>
      </c>
      <c r="DK730" s="1444"/>
      <c r="DL730" s="1444"/>
      <c r="DM730" s="1444"/>
      <c r="DN730" s="1444"/>
      <c r="DO730" s="1444">
        <f>IF(B730="5 Bedrooms",G730,0)</f>
        <v>0</v>
      </c>
      <c r="DP730" s="1444"/>
      <c r="DQ730" s="1444"/>
      <c r="DR730" s="1444"/>
      <c r="DS730" s="1444"/>
      <c r="DT730" s="6"/>
      <c r="DU730" s="1445">
        <f>IF(AND(B730="SRO/Studio",AC730&lt;=0.3),G730,0)</f>
        <v>0</v>
      </c>
      <c r="DV730" s="1445"/>
      <c r="DW730" s="1445"/>
      <c r="DX730" s="1445"/>
      <c r="DY730" s="1445"/>
      <c r="DZ730" s="1445">
        <f>IF(AND(B730="1 Bedroom",AC730&lt;=0.3),G730,0)</f>
        <v>0</v>
      </c>
      <c r="EA730" s="1445"/>
      <c r="EB730" s="1445"/>
      <c r="EC730" s="1445"/>
      <c r="ED730" s="1445"/>
      <c r="EE730" s="1445">
        <f>IF(AND(B730="2 Bedrooms",AC730&lt;=0.3),G730,0)</f>
        <v>0</v>
      </c>
      <c r="EF730" s="1445"/>
      <c r="EG730" s="1445"/>
      <c r="EH730" s="1445"/>
      <c r="EI730" s="1445"/>
      <c r="EJ730" s="1445">
        <f>IF(AND(B730="3 Bedrooms",AC730&lt;=0.3),G730,0)</f>
        <v>0</v>
      </c>
      <c r="EK730" s="1445"/>
      <c r="EL730" s="1445"/>
      <c r="EM730" s="1445"/>
      <c r="EN730" s="1445"/>
      <c r="EO730" s="1445">
        <f>IF(AND(B730="4 Bedrooms",AC730&lt;=0.3),G730,0)</f>
        <v>0</v>
      </c>
      <c r="EP730" s="1445"/>
      <c r="EQ730" s="1445"/>
      <c r="ER730" s="1445"/>
      <c r="ES730" s="1445"/>
      <c r="ET730" s="1445">
        <f>IF(AND(B730="5 Bedrooms",AC730&lt;=0.3),G730,0)</f>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f t="shared" si="34"/>
        <v>2213</v>
      </c>
      <c r="FU730" s="1466"/>
      <c r="FV730" s="1466"/>
      <c r="FW730" s="1466"/>
      <c r="FX730" s="1465"/>
      <c r="FY730" s="1464" t="str">
        <f t="shared" si="35"/>
        <v/>
      </c>
      <c r="FZ730" s="1466"/>
      <c r="GA730" s="1466"/>
      <c r="GB730" s="1466"/>
      <c r="GC730" s="1465"/>
    </row>
    <row r="731" spans="1:185" ht="12.95" customHeight="1">
      <c r="B731" s="1337" t="s">
        <v>165</v>
      </c>
      <c r="C731" s="1338"/>
      <c r="D731" s="1338"/>
      <c r="E731" s="1338"/>
      <c r="F731" s="1339"/>
      <c r="G731" s="1349">
        <v>3</v>
      </c>
      <c r="H731" s="1350"/>
      <c r="I731" s="1350"/>
      <c r="J731" s="1351"/>
      <c r="K731" s="1343">
        <v>1359</v>
      </c>
      <c r="L731" s="1344"/>
      <c r="M731" s="1344"/>
      <c r="N731" s="1345"/>
      <c r="O731" s="1340">
        <v>1840</v>
      </c>
      <c r="P731" s="1341"/>
      <c r="Q731" s="1341"/>
      <c r="R731" s="1341"/>
      <c r="S731" s="1342"/>
      <c r="T731" s="1340">
        <v>25</v>
      </c>
      <c r="U731" s="1341"/>
      <c r="V731" s="1341"/>
      <c r="W731" s="1342"/>
      <c r="X731" s="1352">
        <f t="shared" si="8"/>
        <v>1865</v>
      </c>
      <c r="Y731" s="1353"/>
      <c r="Z731" s="1353"/>
      <c r="AA731" s="1353"/>
      <c r="AB731" s="1354"/>
      <c r="AC731" s="1359">
        <v>0.5</v>
      </c>
      <c r="AD731" s="1360"/>
      <c r="AE731" s="1360"/>
      <c r="AF731" s="1360"/>
      <c r="AG731" s="1361"/>
      <c r="AH731" s="1355">
        <f t="shared" si="36"/>
        <v>0.5</v>
      </c>
      <c r="AI731" s="1356"/>
      <c r="AJ731" s="1357"/>
      <c r="AK731" s="1337" t="s">
        <v>590</v>
      </c>
      <c r="AL731" s="1338"/>
      <c r="AM731" s="1338"/>
      <c r="AN731" s="1338"/>
      <c r="AO731" s="1339"/>
      <c r="AP731" s="3"/>
      <c r="AQ731" s="3"/>
      <c r="AR731" s="3"/>
      <c r="AS731" s="3"/>
      <c r="AY731" s="1085"/>
      <c r="AZ731" s="118">
        <f>IF($G731=0,"N/A",VLOOKUP($T$189,TC_Rent,(MATCH($B731,bedrooms,FALSE)),FALSE))</f>
        <v>3730</v>
      </c>
      <c r="BA731" s="3"/>
      <c r="BB731" s="3"/>
      <c r="BC731" s="3"/>
      <c r="BD731" s="3"/>
      <c r="BE731" s="204"/>
      <c r="BF731" s="294">
        <f t="shared" si="10"/>
        <v>3</v>
      </c>
      <c r="BG731" s="297">
        <f t="shared" si="11"/>
        <v>1.282051282051282E-2</v>
      </c>
      <c r="BH731" s="298">
        <f t="shared" si="12"/>
        <v>6.41025641025641E-3</v>
      </c>
      <c r="BI731" s="3"/>
      <c r="BJ731" s="3"/>
      <c r="BK731" s="3"/>
      <c r="BL731" s="3"/>
      <c r="BM731" s="3"/>
      <c r="BN731" s="3"/>
      <c r="BS731" s="294">
        <f t="shared" si="13"/>
        <v>3</v>
      </c>
      <c r="BT731" s="297">
        <f t="shared" si="14"/>
        <v>1.282051282051282E-2</v>
      </c>
      <c r="BU731" s="298">
        <f t="shared" si="15"/>
        <v>6.41025641025641E-3</v>
      </c>
      <c r="BV731" s="3"/>
      <c r="BW731" s="3"/>
      <c r="BX731" s="3"/>
      <c r="BY731" s="3"/>
      <c r="BZ731" s="3"/>
      <c r="CA731" s="3"/>
      <c r="CB731" s="3"/>
      <c r="CC731" s="3"/>
      <c r="CE731" s="3"/>
      <c r="CF731" s="3"/>
      <c r="CG731" s="1464">
        <f t="shared" si="37"/>
        <v>1</v>
      </c>
      <c r="CH731" s="1465"/>
      <c r="CI731" s="1470">
        <f t="shared" si="38"/>
        <v>3</v>
      </c>
      <c r="CJ731" s="1471"/>
      <c r="CK731" s="1464">
        <f t="shared" si="16"/>
        <v>0</v>
      </c>
      <c r="CL731" s="1465"/>
      <c r="CM731" s="1470">
        <f t="shared" si="17"/>
        <v>0</v>
      </c>
      <c r="CN731" s="1471"/>
      <c r="CO731" s="3"/>
      <c r="CP731" s="1459">
        <f>IF(B731="SRO/Studio",G731,0)</f>
        <v>0</v>
      </c>
      <c r="CQ731" s="1460"/>
      <c r="CR731" s="1460"/>
      <c r="CS731" s="1460"/>
      <c r="CT731" s="1461"/>
      <c r="CU731" s="1444">
        <f>IF(B731="1 Bedroom",G731,0)</f>
        <v>0</v>
      </c>
      <c r="CV731" s="1444"/>
      <c r="CW731" s="1444"/>
      <c r="CX731" s="1444"/>
      <c r="CY731" s="1444"/>
      <c r="CZ731" s="1444">
        <f>IF(B731="2 Bedrooms",G731,0)</f>
        <v>0</v>
      </c>
      <c r="DA731" s="1444"/>
      <c r="DB731" s="1444"/>
      <c r="DC731" s="1444"/>
      <c r="DD731" s="1444"/>
      <c r="DE731" s="1444">
        <f>IF(B731="3 Bedrooms",G731,0)</f>
        <v>0</v>
      </c>
      <c r="DF731" s="1444"/>
      <c r="DG731" s="1444"/>
      <c r="DH731" s="1444"/>
      <c r="DI731" s="1444"/>
      <c r="DJ731" s="1444">
        <f>IF(B731="4 Bedrooms",G731,0)</f>
        <v>3</v>
      </c>
      <c r="DK731" s="1444"/>
      <c r="DL731" s="1444"/>
      <c r="DM731" s="1444"/>
      <c r="DN731" s="1444"/>
      <c r="DO731" s="1444">
        <f>IF(B731="5 Bedrooms",G731,0)</f>
        <v>0</v>
      </c>
      <c r="DP731" s="1444"/>
      <c r="DQ731" s="1444"/>
      <c r="DR731" s="1444"/>
      <c r="DS731" s="1444"/>
      <c r="DT731" s="6"/>
      <c r="DU731" s="1445">
        <f>IF(AND(B731="SRO/Studio",AC731&lt;=0.3),G731,0)</f>
        <v>0</v>
      </c>
      <c r="DV731" s="1445"/>
      <c r="DW731" s="1445"/>
      <c r="DX731" s="1445"/>
      <c r="DY731" s="1445"/>
      <c r="DZ731" s="1445">
        <f>IF(AND(B731="1 Bedroom",AC731&lt;=0.3),G731,0)</f>
        <v>0</v>
      </c>
      <c r="EA731" s="1445"/>
      <c r="EB731" s="1445"/>
      <c r="EC731" s="1445"/>
      <c r="ED731" s="1445"/>
      <c r="EE731" s="1445">
        <f>IF(AND(B731="2 Bedrooms",AC731&lt;=0.3),G731,0)</f>
        <v>0</v>
      </c>
      <c r="EF731" s="1445"/>
      <c r="EG731" s="1445"/>
      <c r="EH731" s="1445"/>
      <c r="EI731" s="1445"/>
      <c r="EJ731" s="1445">
        <f>IF(AND(B731="3 Bedrooms",AC731&lt;=0.3),G731,0)</f>
        <v>0</v>
      </c>
      <c r="EK731" s="1445"/>
      <c r="EL731" s="1445"/>
      <c r="EM731" s="1445"/>
      <c r="EN731" s="1445"/>
      <c r="EO731" s="1445">
        <f>IF(AND(B731="4 Bedrooms",AC731&lt;=0.3),G731,0)</f>
        <v>0</v>
      </c>
      <c r="EP731" s="1445"/>
      <c r="EQ731" s="1445"/>
      <c r="ER731" s="1445"/>
      <c r="ES731" s="1445"/>
      <c r="ET731" s="1445">
        <f>IF(AND(B731="5 Bedrooms",AC731&lt;=0.3),G731,0)</f>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f t="shared" si="34"/>
        <v>1840</v>
      </c>
      <c r="FU731" s="1466"/>
      <c r="FV731" s="1466"/>
      <c r="FW731" s="1466"/>
      <c r="FX731" s="1465"/>
      <c r="FY731" s="1464" t="str">
        <f t="shared" si="35"/>
        <v/>
      </c>
      <c r="FZ731" s="1466"/>
      <c r="GA731" s="1466"/>
      <c r="GB731" s="1466"/>
      <c r="GC731" s="1465"/>
    </row>
    <row r="732" spans="1:185" ht="12.95" customHeight="1">
      <c r="B732" s="1337" t="s">
        <v>165</v>
      </c>
      <c r="C732" s="1338"/>
      <c r="D732" s="1338"/>
      <c r="E732" s="1338"/>
      <c r="F732" s="1339"/>
      <c r="G732" s="1349">
        <v>3</v>
      </c>
      <c r="H732" s="1350"/>
      <c r="I732" s="1350"/>
      <c r="J732" s="1351"/>
      <c r="K732" s="1343">
        <v>1359</v>
      </c>
      <c r="L732" s="1344"/>
      <c r="M732" s="1344"/>
      <c r="N732" s="1345"/>
      <c r="O732" s="1340">
        <v>1094</v>
      </c>
      <c r="P732" s="1341"/>
      <c r="Q732" s="1341"/>
      <c r="R732" s="1341"/>
      <c r="S732" s="1342"/>
      <c r="T732" s="1340">
        <v>25</v>
      </c>
      <c r="U732" s="1341"/>
      <c r="V732" s="1341"/>
      <c r="W732" s="1342"/>
      <c r="X732" s="1352">
        <f t="shared" si="8"/>
        <v>1119</v>
      </c>
      <c r="Y732" s="1353"/>
      <c r="Z732" s="1353"/>
      <c r="AA732" s="1353"/>
      <c r="AB732" s="1354"/>
      <c r="AC732" s="1359">
        <v>0.3</v>
      </c>
      <c r="AD732" s="1360"/>
      <c r="AE732" s="1360"/>
      <c r="AF732" s="1360"/>
      <c r="AG732" s="1361"/>
      <c r="AH732" s="1355">
        <f t="shared" si="36"/>
        <v>0.3</v>
      </c>
      <c r="AI732" s="1356"/>
      <c r="AJ732" s="1357"/>
      <c r="AK732" s="1337" t="s">
        <v>590</v>
      </c>
      <c r="AL732" s="1338"/>
      <c r="AM732" s="1338"/>
      <c r="AN732" s="1338"/>
      <c r="AO732" s="1339"/>
      <c r="AP732" s="3"/>
      <c r="AQ732" s="3"/>
      <c r="AR732" s="3"/>
      <c r="AS732" s="3"/>
      <c r="AY732" s="1085"/>
      <c r="AZ732" s="118">
        <f t="shared" si="9"/>
        <v>3730</v>
      </c>
      <c r="BA732" s="3"/>
      <c r="BB732" s="3"/>
      <c r="BC732" s="3"/>
      <c r="BD732" s="3"/>
      <c r="BE732" s="204"/>
      <c r="BF732" s="294">
        <f t="shared" si="10"/>
        <v>3</v>
      </c>
      <c r="BG732" s="297">
        <f t="shared" si="11"/>
        <v>1.282051282051282E-2</v>
      </c>
      <c r="BH732" s="298">
        <f t="shared" si="12"/>
        <v>3.8461538461538459E-3</v>
      </c>
      <c r="BI732" s="3"/>
      <c r="BJ732" s="3"/>
      <c r="BK732" s="3"/>
      <c r="BL732" s="3"/>
      <c r="BM732" s="3"/>
      <c r="BN732" s="3"/>
      <c r="BS732" s="294">
        <f t="shared" si="13"/>
        <v>3</v>
      </c>
      <c r="BT732" s="297">
        <f t="shared" si="14"/>
        <v>1.282051282051282E-2</v>
      </c>
      <c r="BU732" s="298">
        <f t="shared" si="15"/>
        <v>3.8461538461538459E-3</v>
      </c>
      <c r="BV732" s="3"/>
      <c r="BW732" s="3"/>
      <c r="BX732" s="3"/>
      <c r="BY732" s="3"/>
      <c r="BZ732" s="3"/>
      <c r="CA732" s="3"/>
      <c r="CB732" s="3"/>
      <c r="CC732" s="3"/>
      <c r="CE732" s="3"/>
      <c r="CF732" s="3"/>
      <c r="CG732" s="1464">
        <f t="shared" si="37"/>
        <v>0</v>
      </c>
      <c r="CH732" s="1465"/>
      <c r="CI732" s="1470">
        <f t="shared" si="38"/>
        <v>0</v>
      </c>
      <c r="CJ732" s="1471"/>
      <c r="CK732" s="1464">
        <f t="shared" si="16"/>
        <v>1</v>
      </c>
      <c r="CL732" s="1465"/>
      <c r="CM732" s="1470">
        <f t="shared" si="17"/>
        <v>3</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3</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3</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f t="shared" si="34"/>
        <v>1094</v>
      </c>
      <c r="FU732" s="1466"/>
      <c r="FV732" s="1466"/>
      <c r="FW732" s="1466"/>
      <c r="FX732" s="1465"/>
      <c r="FY732" s="1464" t="str">
        <f t="shared" si="35"/>
        <v/>
      </c>
      <c r="FZ732" s="1466"/>
      <c r="GA732" s="1466"/>
      <c r="GB732" s="1466"/>
      <c r="GC732" s="1465"/>
    </row>
    <row r="733" spans="1:185" ht="12.95" customHeight="1">
      <c r="B733" s="1337" t="s">
        <v>165</v>
      </c>
      <c r="C733" s="1338"/>
      <c r="D733" s="1338"/>
      <c r="E733" s="1338"/>
      <c r="F733" s="1339"/>
      <c r="G733" s="1349">
        <v>39</v>
      </c>
      <c r="H733" s="1350"/>
      <c r="I733" s="1350"/>
      <c r="J733" s="1351"/>
      <c r="K733" s="1343">
        <v>1359</v>
      </c>
      <c r="L733" s="1344"/>
      <c r="M733" s="1344"/>
      <c r="N733" s="1345"/>
      <c r="O733" s="1340">
        <v>2586</v>
      </c>
      <c r="P733" s="1341"/>
      <c r="Q733" s="1341"/>
      <c r="R733" s="1341"/>
      <c r="S733" s="1342"/>
      <c r="T733" s="1340">
        <v>25</v>
      </c>
      <c r="U733" s="1341"/>
      <c r="V733" s="1341"/>
      <c r="W733" s="1342"/>
      <c r="X733" s="1352">
        <f t="shared" si="8"/>
        <v>2611</v>
      </c>
      <c r="Y733" s="1353"/>
      <c r="Z733" s="1353"/>
      <c r="AA733" s="1353"/>
      <c r="AB733" s="1354"/>
      <c r="AC733" s="1359">
        <v>0.7</v>
      </c>
      <c r="AD733" s="1360"/>
      <c r="AE733" s="1360"/>
      <c r="AF733" s="1360"/>
      <c r="AG733" s="1361"/>
      <c r="AH733" s="1355">
        <f t="shared" si="36"/>
        <v>0.7</v>
      </c>
      <c r="AI733" s="1356"/>
      <c r="AJ733" s="1357"/>
      <c r="AK733" s="1337" t="s">
        <v>590</v>
      </c>
      <c r="AL733" s="1338"/>
      <c r="AM733" s="1338"/>
      <c r="AN733" s="1338"/>
      <c r="AO733" s="1339"/>
      <c r="AP733" s="3"/>
      <c r="AQ733" s="3"/>
      <c r="AR733" s="3"/>
      <c r="AS733" s="3"/>
      <c r="AY733" s="1085"/>
      <c r="AZ733" s="118">
        <f t="shared" si="9"/>
        <v>3730</v>
      </c>
      <c r="BA733" s="3"/>
      <c r="BB733" s="3"/>
      <c r="BC733" s="3"/>
      <c r="BD733" s="3"/>
      <c r="BE733" s="204"/>
      <c r="BF733" s="294">
        <f t="shared" si="10"/>
        <v>39</v>
      </c>
      <c r="BG733" s="297">
        <f t="shared" si="11"/>
        <v>0.16666666666666666</v>
      </c>
      <c r="BH733" s="298">
        <f t="shared" si="12"/>
        <v>0.11666666666666665</v>
      </c>
      <c r="BI733" s="3"/>
      <c r="BJ733" s="3"/>
      <c r="BK733" s="3"/>
      <c r="BL733" s="3"/>
      <c r="BM733" s="3"/>
      <c r="BN733" s="3"/>
      <c r="BS733" s="294">
        <f t="shared" si="13"/>
        <v>39</v>
      </c>
      <c r="BT733" s="297">
        <f t="shared" si="14"/>
        <v>0.16666666666666666</v>
      </c>
      <c r="BU733" s="298">
        <f t="shared" si="15"/>
        <v>0.11666666666666665</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39</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f t="shared" si="34"/>
        <v>2586</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590</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590</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590</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590</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590</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590</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590</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590</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590</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590</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590</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590</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590</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590</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590</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590</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590</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590</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590</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234</v>
      </c>
      <c r="H753" s="1623"/>
      <c r="I753" s="1623"/>
      <c r="J753" s="1624"/>
      <c r="K753" s="902" t="s">
        <v>124</v>
      </c>
      <c r="L753" s="5"/>
      <c r="M753" s="5"/>
      <c r="N753" s="46"/>
      <c r="O753" s="1352">
        <f>SUMPRODUCT(G718:G752,O718:O752)</f>
        <v>432850</v>
      </c>
      <c r="P753" s="1353"/>
      <c r="Q753" s="1353"/>
      <c r="R753" s="1353"/>
      <c r="S753" s="1354"/>
      <c r="T753"/>
      <c r="U753"/>
      <c r="V753"/>
      <c r="W753"/>
      <c r="X753" s="904" t="s">
        <v>899</v>
      </c>
      <c r="Y753" s="903"/>
      <c r="Z753" s="903"/>
      <c r="AA753" s="903"/>
      <c r="AB753" s="905"/>
      <c r="AC753" s="1605">
        <f>BH753</f>
        <v>0.59829059829059816</v>
      </c>
      <c r="AD753" s="1606"/>
      <c r="AE753" s="1606"/>
      <c r="AF753" s="1606"/>
      <c r="AG753" s="1607"/>
      <c r="AH753" s="1605">
        <f>IFERROR(BU753,"")</f>
        <v>0.59833262215335503</v>
      </c>
      <c r="AI753" s="1606"/>
      <c r="AJ753" s="1607"/>
      <c r="AK753"/>
      <c r="AL753"/>
      <c r="AM753"/>
      <c r="AN753"/>
      <c r="AO753"/>
      <c r="AP753" s="205"/>
      <c r="AQ753" s="205"/>
      <c r="AR753" s="205"/>
      <c r="AS753" s="205"/>
      <c r="AT753"/>
      <c r="AU753"/>
      <c r="AV753"/>
      <c r="AW753"/>
      <c r="AX753"/>
      <c r="AY753"/>
      <c r="AZ753" s="34"/>
      <c r="BA753" s="34"/>
      <c r="BB753" s="34"/>
      <c r="BC753" s="34"/>
      <c r="BE753" s="290" t="s">
        <v>898</v>
      </c>
      <c r="BF753" s="299">
        <f>SUM(BF718:BF752)</f>
        <v>234</v>
      </c>
      <c r="BG753" s="300">
        <f>SUM(BG718:BG752)</f>
        <v>0.99999999999999978</v>
      </c>
      <c r="BH753" s="300">
        <f>SUM(BH718:BH752)</f>
        <v>0.59829059829059816</v>
      </c>
      <c r="BI753"/>
      <c r="BJ753"/>
      <c r="BK753"/>
      <c r="BL753"/>
      <c r="BO753"/>
      <c r="BP753"/>
      <c r="BQ753"/>
      <c r="BR753"/>
      <c r="BS753" s="859">
        <f>SUM(BS718:BS752)</f>
        <v>234</v>
      </c>
      <c r="BT753" s="300">
        <f>SUM(BT718:BT752)</f>
        <v>0.99999999999999978</v>
      </c>
      <c r="BU753" s="300">
        <f>SUM(BU718:BU752)</f>
        <v>0.59833262215335503</v>
      </c>
      <c r="CI753" s="1464">
        <f>SUM(CI718:CJ752)</f>
        <v>29</v>
      </c>
      <c r="CJ753" s="1465"/>
      <c r="CM753" s="1464">
        <f>SUM(CM718:CN752)</f>
        <v>29</v>
      </c>
      <c r="CN753" s="1465"/>
      <c r="CP753" s="1464">
        <f>SUM(CP718:CT752)</f>
        <v>0</v>
      </c>
      <c r="CQ753" s="1466"/>
      <c r="CR753" s="1466"/>
      <c r="CS753" s="1466"/>
      <c r="CT753" s="1465"/>
      <c r="CU753" s="1462">
        <f>SUM(CU718:CY752)</f>
        <v>60</v>
      </c>
      <c r="CV753" s="1462"/>
      <c r="CW753" s="1462"/>
      <c r="CX753" s="1462"/>
      <c r="CY753" s="1462"/>
      <c r="CZ753" s="1462">
        <f>SUM(CZ718:DD752)</f>
        <v>60</v>
      </c>
      <c r="DA753" s="1462"/>
      <c r="DB753" s="1462"/>
      <c r="DC753" s="1462"/>
      <c r="DD753" s="1462"/>
      <c r="DE753" s="1462">
        <f>SUM(DE718:DI752)</f>
        <v>56</v>
      </c>
      <c r="DF753" s="1462"/>
      <c r="DG753" s="1462"/>
      <c r="DH753" s="1462"/>
      <c r="DI753" s="1462"/>
      <c r="DJ753" s="1462">
        <f>SUM(DJ718:DN752)</f>
        <v>58</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20</v>
      </c>
      <c r="EA753" s="1462"/>
      <c r="EB753" s="1462"/>
      <c r="EC753" s="1462"/>
      <c r="ED753" s="1462"/>
      <c r="EE753" s="1462">
        <f>SUM(EE718:EI752)</f>
        <v>3</v>
      </c>
      <c r="EF753" s="1462"/>
      <c r="EG753" s="1462"/>
      <c r="EH753" s="1462"/>
      <c r="EI753" s="1462"/>
      <c r="EJ753" s="1462">
        <f>SUM(EJ718:EN752)</f>
        <v>3</v>
      </c>
      <c r="EK753" s="1462"/>
      <c r="EL753" s="1462"/>
      <c r="EM753" s="1462"/>
      <c r="EN753" s="1462"/>
      <c r="EO753" s="1462">
        <f>SUM(EO718:ES752)</f>
        <v>3</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4964</v>
      </c>
      <c r="FF753" s="1462"/>
      <c r="FG753" s="1462"/>
      <c r="FH753" s="1462"/>
      <c r="FI753" s="1462"/>
      <c r="FJ753" s="1462">
        <f>SUM(FJ718:FN752)</f>
        <v>5978</v>
      </c>
      <c r="FK753" s="1462"/>
      <c r="FL753" s="1462"/>
      <c r="FM753" s="1462"/>
      <c r="FN753" s="1462"/>
      <c r="FO753" s="1462">
        <f>SUM(FO718:FS752)</f>
        <v>6920</v>
      </c>
      <c r="FP753" s="1462"/>
      <c r="FQ753" s="1462"/>
      <c r="FR753" s="1462"/>
      <c r="FS753" s="1462"/>
      <c r="FT753" s="1462">
        <f>SUM(FT718:FX752)</f>
        <v>7733</v>
      </c>
      <c r="FU753" s="1462"/>
      <c r="FV753" s="1462"/>
      <c r="FW753" s="1462"/>
      <c r="FX753" s="1462"/>
      <c r="FY753" s="1462">
        <f>SUM(FY718:GC752)</f>
        <v>0</v>
      </c>
      <c r="FZ753" s="1462"/>
      <c r="GA753" s="1462"/>
      <c r="GB753" s="1462"/>
      <c r="GC753" s="1462"/>
    </row>
    <row r="754" spans="1:185" s="3" customFormat="1" ht="12.95" customHeight="1">
      <c r="A754"/>
      <c r="B754" s="1621" t="s">
        <v>1892</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1859</v>
      </c>
      <c r="DO754" s="1464">
        <f>CP753+CU753+CZ753+DE753+DJ753+DO753</f>
        <v>234</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60</v>
      </c>
      <c r="CZ755" s="3"/>
      <c r="DA755" s="3"/>
      <c r="DB755" s="3"/>
      <c r="DC755" s="3"/>
      <c r="DD755" s="861">
        <f>CZ753*2</f>
        <v>120</v>
      </c>
      <c r="DE755" s="3"/>
      <c r="DF755" s="3"/>
      <c r="DG755" s="3"/>
      <c r="DH755" s="3"/>
      <c r="DI755" s="861">
        <f>DE753*3</f>
        <v>168</v>
      </c>
      <c r="DJ755" s="3"/>
      <c r="DK755" s="3"/>
      <c r="DL755" s="3"/>
      <c r="DM755" s="3"/>
      <c r="DN755" s="861">
        <f>DJ753*4</f>
        <v>232</v>
      </c>
      <c r="DO755" s="3"/>
      <c r="DP755" s="3"/>
      <c r="DQ755" s="3"/>
      <c r="DR755" s="3"/>
      <c r="DS755" s="861">
        <f>DO753*5</f>
        <v>0</v>
      </c>
      <c r="DU755" s="861">
        <f>CT755+CY755+DD755+DI755+DN755+DS755</f>
        <v>580</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62">
        <f>DU755</f>
        <v>580</v>
      </c>
      <c r="P756" s="1462"/>
      <c r="Q756" s="1462"/>
      <c r="R756" s="1462"/>
      <c r="S756" s="969"/>
      <c r="T756" s="969"/>
      <c r="U756" s="118" t="s">
        <v>1891</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590</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20" t="s">
        <v>284</v>
      </c>
      <c r="P769" s="1620"/>
      <c r="Q769" s="1620"/>
      <c r="R769" s="1620"/>
      <c r="S769" s="1620"/>
      <c r="T769" s="1719" t="s">
        <v>1678</v>
      </c>
      <c r="U769" s="1720"/>
      <c r="V769" s="1720"/>
      <c r="W769" s="1721"/>
      <c r="X769" s="1362" t="s">
        <v>446</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0"/>
      <c r="P770" s="1620"/>
      <c r="Q770" s="1620"/>
      <c r="R770" s="1620"/>
      <c r="S770" s="1620"/>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0"/>
      <c r="P771" s="1620"/>
      <c r="Q771" s="1620"/>
      <c r="R771" s="1620"/>
      <c r="S771" s="1620"/>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0"/>
      <c r="P772" s="1620"/>
      <c r="Q772" s="1620"/>
      <c r="R772" s="1620"/>
      <c r="S772" s="1620"/>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4">
        <v>2</v>
      </c>
      <c r="P773" s="1614"/>
      <c r="Q773" s="1614"/>
      <c r="R773" s="1614"/>
      <c r="S773" s="1614"/>
      <c r="T773" s="1343">
        <v>1184</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2</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2</v>
      </c>
      <c r="P777" s="1472"/>
      <c r="Q777" s="1472"/>
      <c r="R777" s="1472"/>
      <c r="S777" s="1471"/>
      <c r="X777" s="1450" t="s">
        <v>124</v>
      </c>
      <c r="Y777" s="1451"/>
      <c r="Z777" s="1451"/>
      <c r="AA777" s="1451"/>
      <c r="AB777" s="1452"/>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2</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2</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1860</v>
      </c>
    </row>
    <row r="779" spans="1:126" ht="12.95" customHeight="1">
      <c r="B779" s="56"/>
      <c r="C779" s="56"/>
      <c r="D779" s="56"/>
      <c r="E779" s="56"/>
      <c r="F779" s="56"/>
      <c r="G779" s="6"/>
      <c r="H779" s="6"/>
      <c r="I779" s="6"/>
      <c r="J779" s="1664" t="s">
        <v>668</v>
      </c>
      <c r="K779" s="166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20" t="s">
        <v>284</v>
      </c>
      <c r="P783" s="1620"/>
      <c r="Q783" s="1620"/>
      <c r="R783" s="1620"/>
      <c r="S783" s="1620"/>
      <c r="T783" s="1719" t="s">
        <v>1678</v>
      </c>
      <c r="U783" s="1720"/>
      <c r="V783" s="1720"/>
      <c r="W783" s="1721"/>
      <c r="X783" s="1362" t="s">
        <v>446</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0"/>
      <c r="P784" s="1620"/>
      <c r="Q784" s="1620"/>
      <c r="R784" s="1620"/>
      <c r="S784" s="1620"/>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0"/>
      <c r="P785" s="1620"/>
      <c r="Q785" s="1620"/>
      <c r="R785" s="1620"/>
      <c r="S785" s="1620"/>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0"/>
      <c r="P786" s="1620"/>
      <c r="Q786" s="1620"/>
      <c r="R786" s="1620"/>
      <c r="S786" s="1620"/>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432850</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5194200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60</v>
      </c>
      <c r="CV802" s="1474"/>
      <c r="CW802" s="1474"/>
      <c r="CX802" s="1474"/>
      <c r="CY802" s="1475"/>
      <c r="CZ802" s="1473">
        <f>CZ753+CZ777+CZ797</f>
        <v>60</v>
      </c>
      <c r="DA802" s="1474"/>
      <c r="DB802" s="1474"/>
      <c r="DC802" s="1474"/>
      <c r="DD802" s="1475"/>
      <c r="DE802" s="1473">
        <f>DE753+DE777+DE797</f>
        <v>58</v>
      </c>
      <c r="DF802" s="1474"/>
      <c r="DG802" s="1474"/>
      <c r="DH802" s="1474"/>
      <c r="DI802" s="1475"/>
      <c r="DJ802" s="1473">
        <f>DJ753+DJ777+DJ797</f>
        <v>58</v>
      </c>
      <c r="DK802" s="1474"/>
      <c r="DL802" s="1474"/>
      <c r="DM802" s="1474"/>
      <c r="DN802" s="1475"/>
      <c r="DO802" s="1464">
        <f>DO797+DO777+DO753</f>
        <v>0</v>
      </c>
      <c r="DP802" s="1466"/>
      <c r="DQ802" s="1466"/>
      <c r="DR802" s="1466"/>
      <c r="DS802" s="1465"/>
      <c r="DT802" s="3"/>
      <c r="DU802" s="861">
        <f>DU755+DU800</f>
        <v>580</v>
      </c>
      <c r="DV802" s="57" t="s">
        <v>1862</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138060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2737</v>
      </c>
      <c r="Q816" s="1595"/>
      <c r="R816" s="1595"/>
      <c r="S816" s="1595"/>
      <c r="T816" s="1595"/>
      <c r="U816" s="1595"/>
      <c r="V816" s="1595"/>
      <c r="W816" s="1595"/>
      <c r="X816" s="1595"/>
      <c r="Y816" s="1596"/>
      <c r="Z816" s="1467">
        <v>280260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418320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6">
        <f>Z817+Y801+Z809</f>
        <v>5612520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8"/>
      <c r="E825" s="1358"/>
      <c r="F825" s="1358"/>
      <c r="G825" s="1358"/>
      <c r="H825" s="1358"/>
      <c r="I825" s="48"/>
      <c r="J825" s="48"/>
      <c r="K825" s="48"/>
      <c r="L825" s="49"/>
      <c r="M825" s="1643"/>
      <c r="N825" s="1643"/>
      <c r="O825" s="1643"/>
      <c r="P825" s="1643"/>
      <c r="Q825" s="1643">
        <v>1.45</v>
      </c>
      <c r="R825" s="1643"/>
      <c r="S825" s="1643"/>
      <c r="T825" s="1643"/>
      <c r="U825" s="1643">
        <v>1.96</v>
      </c>
      <c r="V825" s="1643"/>
      <c r="W825" s="1643"/>
      <c r="X825" s="1643"/>
      <c r="Y825" s="1643">
        <v>2.42</v>
      </c>
      <c r="Z825" s="1643"/>
      <c r="AA825" s="1643"/>
      <c r="AB825" s="1643"/>
      <c r="AC825" s="1476">
        <v>2.4900000000000002</v>
      </c>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v>4.9800000000000004</v>
      </c>
      <c r="R826" s="1643"/>
      <c r="S826" s="1643"/>
      <c r="T826" s="1643"/>
      <c r="U826" s="1643">
        <v>4.8499999999999996</v>
      </c>
      <c r="V826" s="1643"/>
      <c r="W826" s="1643"/>
      <c r="X826" s="1643"/>
      <c r="Y826" s="1643">
        <v>4.5599999999999996</v>
      </c>
      <c r="Z826" s="1643"/>
      <c r="AA826" s="1643"/>
      <c r="AB826" s="1643"/>
      <c r="AC826" s="1476">
        <v>4.8899999999999997</v>
      </c>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1.6</v>
      </c>
      <c r="R827" s="1643"/>
      <c r="S827" s="1643"/>
      <c r="T827" s="1643"/>
      <c r="U827" s="1643">
        <v>1.45</v>
      </c>
      <c r="V827" s="1643"/>
      <c r="W827" s="1643"/>
      <c r="X827" s="1643"/>
      <c r="Y827" s="1643">
        <v>1.32</v>
      </c>
      <c r="Z827" s="1643"/>
      <c r="AA827" s="1643"/>
      <c r="AB827" s="1643"/>
      <c r="AC827" s="1476">
        <v>1.23</v>
      </c>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761</v>
      </c>
      <c r="D828" s="1627"/>
      <c r="E828" s="1627"/>
      <c r="F828" s="1627"/>
      <c r="G828" s="1627"/>
      <c r="H828" s="1627"/>
      <c r="I828" s="60"/>
      <c r="J828" s="60"/>
      <c r="K828" s="60"/>
      <c r="L828" s="61"/>
      <c r="M828" s="1643"/>
      <c r="N828" s="1643"/>
      <c r="O828" s="1643"/>
      <c r="P828" s="1643"/>
      <c r="Q828" s="1643">
        <v>1.27</v>
      </c>
      <c r="R828" s="1643"/>
      <c r="S828" s="1643"/>
      <c r="T828" s="1643"/>
      <c r="U828" s="1643">
        <v>1.47</v>
      </c>
      <c r="V828" s="1643"/>
      <c r="W828" s="1643"/>
      <c r="X828" s="1643"/>
      <c r="Y828" s="1643">
        <v>1.44</v>
      </c>
      <c r="Z828" s="1643"/>
      <c r="AA828" s="1643"/>
      <c r="AB828" s="1643"/>
      <c r="AC828" s="1476">
        <v>1.43</v>
      </c>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458</v>
      </c>
      <c r="D829" s="1627"/>
      <c r="E829" s="1627"/>
      <c r="F829" s="1627"/>
      <c r="G829" s="1627"/>
      <c r="H829" s="1627"/>
      <c r="I829" s="60"/>
      <c r="J829" s="60"/>
      <c r="K829" s="60"/>
      <c r="L829" s="61"/>
      <c r="M829" s="1643"/>
      <c r="N829" s="1643"/>
      <c r="O829" s="1643"/>
      <c r="P829" s="1643"/>
      <c r="Q829" s="1643">
        <v>13.93</v>
      </c>
      <c r="R829" s="1643"/>
      <c r="S829" s="1643"/>
      <c r="T829" s="1643"/>
      <c r="U829" s="1643">
        <v>13.82</v>
      </c>
      <c r="V829" s="1643"/>
      <c r="W829" s="1643"/>
      <c r="X829" s="1643"/>
      <c r="Y829" s="1643">
        <v>13.48</v>
      </c>
      <c r="Z829" s="1643"/>
      <c r="AA829" s="1643"/>
      <c r="AB829" s="1643"/>
      <c r="AC829" s="1476">
        <v>13.38</v>
      </c>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782</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4" t="s">
        <v>2738</v>
      </c>
      <c r="G831" s="1595"/>
      <c r="H831" s="1595"/>
      <c r="I831" s="1595"/>
      <c r="J831" s="1595"/>
      <c r="K831" s="1595"/>
      <c r="L831" s="1595"/>
      <c r="M831" s="1643"/>
      <c r="N831" s="1643"/>
      <c r="O831" s="1643"/>
      <c r="P831" s="1643"/>
      <c r="Q831" s="1643">
        <v>1.57</v>
      </c>
      <c r="R831" s="1643"/>
      <c r="S831" s="1643"/>
      <c r="T831" s="1643"/>
      <c r="U831" s="1643">
        <v>1.25</v>
      </c>
      <c r="V831" s="1643"/>
      <c r="W831" s="1643"/>
      <c r="X831" s="1643"/>
      <c r="Y831" s="1643">
        <v>1.6</v>
      </c>
      <c r="Z831" s="1643"/>
      <c r="AA831" s="1643"/>
      <c r="AB831" s="1643"/>
      <c r="AC831" s="1476">
        <v>1.37</v>
      </c>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24.8</v>
      </c>
      <c r="R832" s="1637"/>
      <c r="S832" s="1637"/>
      <c r="T832" s="1637"/>
      <c r="U832" s="1637">
        <f>SUM(U825:X831)</f>
        <v>24.8</v>
      </c>
      <c r="V832" s="1637"/>
      <c r="W832" s="1637"/>
      <c r="X832" s="1637"/>
      <c r="Y832" s="1637">
        <f>SUM(Y825:AB831)</f>
        <v>24.82</v>
      </c>
      <c r="Z832" s="1637"/>
      <c r="AA832" s="1637"/>
      <c r="AB832" s="1637"/>
      <c r="AC832" s="1637">
        <f>SUM(AC825:AF831)</f>
        <v>24.790000000000003</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2739</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2">
        <v>4720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2">
        <v>19400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2">
        <v>11800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2">
        <v>17700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169</v>
      </c>
      <c r="K846" s="5"/>
      <c r="L846" s="5"/>
      <c r="M846" s="1594" t="s">
        <v>2741</v>
      </c>
      <c r="N846" s="1595"/>
      <c r="O846" s="1595"/>
      <c r="P846" s="1595"/>
      <c r="Q846" s="1595"/>
      <c r="R846" s="1595"/>
      <c r="S846" s="1595"/>
      <c r="T846" s="1595"/>
      <c r="U846" s="1595"/>
      <c r="V846" s="1596"/>
      <c r="W846" s="1482">
        <v>23600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6">
        <f>SUM(W842:W846)</f>
        <v>77220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343</v>
      </c>
      <c r="J849" s="1450" t="s">
        <v>344</v>
      </c>
      <c r="K849" s="1451"/>
      <c r="L849" s="1451"/>
      <c r="M849" s="1451"/>
      <c r="N849" s="1451"/>
      <c r="O849" s="1451"/>
      <c r="P849" s="1451"/>
      <c r="Q849" s="1451"/>
      <c r="R849" s="1451"/>
      <c r="S849" s="1451"/>
      <c r="T849" s="1451"/>
      <c r="U849" s="1451"/>
      <c r="V849" s="1452"/>
      <c r="W849" s="1467">
        <v>173978</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52"/>
      <c r="X851" s="1652"/>
      <c r="Y851" s="1652"/>
      <c r="Z851" s="1652"/>
      <c r="AA851" s="1652"/>
      <c r="AB851" s="1652"/>
      <c r="AC851" s="1652"/>
      <c r="AZ851" s="1718"/>
      <c r="BA851" s="1718"/>
      <c r="BB851" s="14"/>
      <c r="BC851" s="14"/>
    </row>
    <row r="852" spans="3:55" ht="12.95" customHeight="1">
      <c r="J852" s="45" t="s">
        <v>350</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458</v>
      </c>
      <c r="K853" s="5"/>
      <c r="L853" s="5"/>
      <c r="M853" s="5"/>
      <c r="N853" s="5"/>
      <c r="O853" s="5"/>
      <c r="P853" s="5"/>
      <c r="Q853" s="5"/>
      <c r="R853" s="5"/>
      <c r="S853" s="5"/>
      <c r="T853" s="5"/>
      <c r="U853" s="5"/>
      <c r="V853" s="46"/>
      <c r="W853" s="1652">
        <v>11800</v>
      </c>
      <c r="X853" s="1652"/>
      <c r="Y853" s="1652"/>
      <c r="Z853" s="1652"/>
      <c r="AA853" s="1652"/>
      <c r="AB853" s="1652"/>
      <c r="AC853" s="1652"/>
      <c r="AZ853" s="30"/>
      <c r="BA853" s="30"/>
      <c r="BB853" s="14"/>
      <c r="BC853" s="14"/>
    </row>
    <row r="854" spans="3:55" ht="12.95" customHeight="1">
      <c r="J854" s="62" t="s">
        <v>619</v>
      </c>
      <c r="K854" s="5"/>
      <c r="L854" s="5"/>
      <c r="M854" s="5"/>
      <c r="N854" s="5"/>
      <c r="O854" s="5"/>
      <c r="P854" s="5"/>
      <c r="Q854" s="5"/>
      <c r="R854" s="5"/>
      <c r="S854" s="5"/>
      <c r="T854" s="5"/>
      <c r="U854" s="5"/>
      <c r="V854" s="46"/>
      <c r="W854" s="1652">
        <v>169920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271</v>
      </c>
      <c r="W855" s="1705">
        <f>SUM(W851:W854)</f>
        <v>181720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31">
        <v>190000</v>
      </c>
      <c r="X857" s="1632"/>
      <c r="Y857" s="1632"/>
      <c r="Z857" s="1632"/>
      <c r="AA857" s="1632"/>
      <c r="AB857" s="1632"/>
      <c r="AC857" s="1633"/>
      <c r="AD857" s="528"/>
      <c r="AZ857" s="34"/>
      <c r="BA857" s="34"/>
      <c r="BB857" s="34"/>
      <c r="BC857" s="34"/>
    </row>
    <row r="858" spans="3:55" ht="12.95" customHeight="1">
      <c r="C858" s="2" t="s">
        <v>346</v>
      </c>
      <c r="J858" s="121" t="s">
        <v>1654</v>
      </c>
      <c r="K858" s="5"/>
      <c r="L858" s="5"/>
      <c r="M858" s="5"/>
      <c r="N858" s="5"/>
      <c r="O858" s="5"/>
      <c r="P858" s="5"/>
      <c r="Q858" s="5"/>
      <c r="R858" s="5"/>
      <c r="S858" s="5"/>
      <c r="T858" s="1709">
        <v>4</v>
      </c>
      <c r="U858" s="1696"/>
      <c r="V858" s="1710"/>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31">
        <v>165200</v>
      </c>
      <c r="X859" s="1632"/>
      <c r="Y859" s="1632"/>
      <c r="Z859" s="1632"/>
      <c r="AA859" s="1632"/>
      <c r="AB859" s="1632"/>
      <c r="AC859" s="1633"/>
      <c r="AD859" s="533"/>
      <c r="AZ859" s="34"/>
      <c r="BA859" s="34"/>
      <c r="BB859" s="34"/>
      <c r="BC859" s="34"/>
    </row>
    <row r="860" spans="3:55" ht="12.95" customHeight="1">
      <c r="C860" s="2"/>
      <c r="J860" s="121" t="s">
        <v>1655</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2.95" customHeight="1">
      <c r="J861" s="45" t="s">
        <v>169</v>
      </c>
      <c r="K861" s="5"/>
      <c r="L861" s="5"/>
      <c r="M861" s="1594" t="s">
        <v>2740</v>
      </c>
      <c r="N861" s="1595"/>
      <c r="O861" s="1595"/>
      <c r="P861" s="1595"/>
      <c r="Q861" s="1595"/>
      <c r="R861" s="1595"/>
      <c r="S861" s="1595"/>
      <c r="T861" s="1595"/>
      <c r="U861" s="1595"/>
      <c r="V861" s="1596"/>
      <c r="W861" s="1631">
        <v>75500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1">
        <f>SUM(W857:W861)</f>
        <v>430700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1">
        <v>118000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2">
        <v>29500</v>
      </c>
      <c r="X865" s="1482"/>
      <c r="Y865" s="1482"/>
      <c r="Z865" s="1482"/>
      <c r="AA865" s="1482"/>
      <c r="AB865" s="1482"/>
      <c r="AC865" s="1482"/>
      <c r="AU865" s="14"/>
      <c r="AZ865" s="34"/>
      <c r="BA865" s="34"/>
      <c r="BB865" s="34"/>
      <c r="BC865" s="34"/>
    </row>
    <row r="866" spans="3:55" ht="12.95" customHeight="1">
      <c r="J866" s="45" t="s">
        <v>521</v>
      </c>
      <c r="K866" s="5"/>
      <c r="L866" s="5"/>
      <c r="M866" s="5"/>
      <c r="N866" s="5"/>
      <c r="O866" s="5"/>
      <c r="P866" s="5"/>
      <c r="Q866" s="5"/>
      <c r="R866" s="5"/>
      <c r="S866" s="5"/>
      <c r="T866" s="5"/>
      <c r="U866" s="5"/>
      <c r="V866" s="46"/>
      <c r="W866" s="1482">
        <v>59000</v>
      </c>
      <c r="X866" s="1482"/>
      <c r="Y866" s="1482"/>
      <c r="Z866" s="1482"/>
      <c r="AA866" s="1482"/>
      <c r="AB866" s="1482"/>
      <c r="AC866" s="1482"/>
      <c r="AU866" s="4"/>
      <c r="AZ866" s="34"/>
      <c r="BA866" s="34"/>
      <c r="BB866" s="34"/>
      <c r="BC866" s="34"/>
    </row>
    <row r="867" spans="3:55" ht="12.95" customHeight="1">
      <c r="J867" s="45" t="s">
        <v>520</v>
      </c>
      <c r="K867" s="5"/>
      <c r="L867" s="5"/>
      <c r="M867" s="5"/>
      <c r="N867" s="5"/>
      <c r="O867" s="5"/>
      <c r="P867" s="5"/>
      <c r="Q867" s="5"/>
      <c r="R867" s="5"/>
      <c r="S867" s="5"/>
      <c r="T867" s="5"/>
      <c r="U867" s="5"/>
      <c r="V867" s="46"/>
      <c r="W867" s="1482">
        <v>35400</v>
      </c>
      <c r="X867" s="1482"/>
      <c r="Y867" s="1482"/>
      <c r="Z867" s="1482"/>
      <c r="AA867" s="1482"/>
      <c r="AB867" s="1482"/>
      <c r="AC867" s="1482"/>
      <c r="AU867" s="4"/>
      <c r="AZ867" s="34"/>
      <c r="BA867" s="34"/>
      <c r="BB867" s="34"/>
      <c r="BC867" s="34"/>
    </row>
    <row r="868" spans="3:55" ht="12.95" customHeight="1">
      <c r="J868" s="45" t="s">
        <v>519</v>
      </c>
      <c r="K868" s="5"/>
      <c r="L868" s="5"/>
      <c r="M868" s="5"/>
      <c r="N868" s="5"/>
      <c r="O868" s="5"/>
      <c r="P868" s="5"/>
      <c r="Q868" s="5"/>
      <c r="R868" s="5"/>
      <c r="S868" s="5"/>
      <c r="T868" s="5"/>
      <c r="U868" s="5"/>
      <c r="V868" s="46"/>
      <c r="W868" s="1482">
        <v>17700</v>
      </c>
      <c r="X868" s="1482"/>
      <c r="Y868" s="1482"/>
      <c r="Z868" s="1482"/>
      <c r="AA868" s="1482"/>
      <c r="AB868" s="1482"/>
      <c r="AC868" s="1482"/>
      <c r="AU868" s="4"/>
      <c r="AZ868" s="34"/>
      <c r="BA868" s="34"/>
      <c r="BB868" s="34"/>
      <c r="BC868" s="34"/>
    </row>
    <row r="869" spans="3:55" ht="12.95" customHeight="1">
      <c r="J869" s="45" t="s">
        <v>518</v>
      </c>
      <c r="K869" s="5"/>
      <c r="L869" s="5"/>
      <c r="M869" s="5"/>
      <c r="N869" s="5"/>
      <c r="O869" s="5"/>
      <c r="P869" s="5"/>
      <c r="Q869" s="5"/>
      <c r="R869" s="5"/>
      <c r="S869" s="5"/>
      <c r="T869" s="5"/>
      <c r="U869" s="5"/>
      <c r="V869" s="46"/>
      <c r="W869" s="1482">
        <v>41300</v>
      </c>
      <c r="X869" s="1482"/>
      <c r="Y869" s="1482"/>
      <c r="Z869" s="1482"/>
      <c r="AA869" s="1482"/>
      <c r="AB869" s="1482"/>
      <c r="AC869" s="1482"/>
      <c r="AU869" s="4"/>
      <c r="AZ869" s="34"/>
      <c r="BA869" s="34"/>
      <c r="BB869" s="34"/>
      <c r="BC869" s="34"/>
    </row>
    <row r="870" spans="3:55" ht="12.95" customHeight="1">
      <c r="J870" s="45" t="s">
        <v>517</v>
      </c>
      <c r="K870" s="5"/>
      <c r="L870" s="5"/>
      <c r="M870" s="5"/>
      <c r="N870" s="5"/>
      <c r="O870" s="5"/>
      <c r="P870" s="5"/>
      <c r="Q870" s="5"/>
      <c r="R870" s="5"/>
      <c r="S870" s="5"/>
      <c r="T870" s="5"/>
      <c r="U870" s="5"/>
      <c r="V870" s="46"/>
      <c r="W870" s="1482">
        <v>0</v>
      </c>
      <c r="X870" s="1482"/>
      <c r="Y870" s="1482"/>
      <c r="Z870" s="1482"/>
      <c r="AA870" s="1482"/>
      <c r="AB870" s="1482"/>
      <c r="AC870" s="1482"/>
      <c r="AU870" s="4"/>
      <c r="AZ870" s="34"/>
      <c r="BA870" s="34"/>
      <c r="BB870" s="34"/>
      <c r="BC870" s="34"/>
    </row>
    <row r="871" spans="3:55" ht="12.95" customHeight="1">
      <c r="J871" s="45" t="s">
        <v>169</v>
      </c>
      <c r="K871" s="5"/>
      <c r="L871" s="5"/>
      <c r="M871" s="1594" t="s">
        <v>333</v>
      </c>
      <c r="N871" s="1595"/>
      <c r="O871" s="1595"/>
      <c r="P871" s="1595"/>
      <c r="Q871" s="1595"/>
      <c r="R871" s="1595"/>
      <c r="S871" s="1595"/>
      <c r="T871" s="1595"/>
      <c r="U871" s="1595"/>
      <c r="V871" s="1596"/>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3">
        <f>SUM(W865:W871)</f>
        <v>182900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594" t="s">
        <v>333</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1243</v>
      </c>
      <c r="J875" s="45" t="s">
        <v>169</v>
      </c>
      <c r="K875" s="5"/>
      <c r="L875" s="5"/>
      <c r="M875" s="1594" t="s">
        <v>333</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169</v>
      </c>
      <c r="K876" s="5"/>
      <c r="L876" s="5"/>
      <c r="M876" s="1594" t="s">
        <v>333</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4" t="s">
        <v>333</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4" t="s">
        <v>333</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1164518</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4">
        <f>O797+O777+G753</f>
        <v>236</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3">
        <f>IF(ISERROR((ROUNDDOWN(AC883/AC884,0))),0,(ROUNDDOWN(AC883/AC884,0)))</f>
        <v>4934</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6">
        <v>897847</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8">
        <v>26500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59000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6"/>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c r="AD891" s="1468"/>
      <c r="AE891" s="1468"/>
      <c r="AF891" s="1468"/>
      <c r="AG891" s="1468"/>
      <c r="AH891" s="1469"/>
      <c r="AZ891" s="34"/>
      <c r="BA891" s="34"/>
      <c r="BB891" s="34"/>
      <c r="BC891" s="34"/>
    </row>
    <row r="892" spans="3:55" ht="12.95" hidden="1" customHeight="1">
      <c r="C892" s="1450" t="s">
        <v>2231</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8">
        <v>239260</v>
      </c>
      <c r="AD893" s="1468"/>
      <c r="AE893" s="1468"/>
      <c r="AF893" s="1468"/>
      <c r="AG893" s="1468"/>
      <c r="AH893" s="1469"/>
      <c r="AZ893" s="34"/>
      <c r="BA893" s="34"/>
      <c r="BB893" s="34"/>
      <c r="BC893" s="34"/>
    </row>
    <row r="894" spans="3:55" ht="12.95" customHeight="1">
      <c r="C894" s="1634" t="s">
        <v>2742</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16000</v>
      </c>
      <c r="AD894" s="1482"/>
      <c r="AE894" s="1482"/>
      <c r="AF894" s="1482"/>
      <c r="AG894" s="1482"/>
      <c r="AH894" s="1482"/>
      <c r="AZ894" s="34"/>
      <c r="BA894" s="34"/>
      <c r="BB894" s="34"/>
      <c r="BC894" s="34"/>
    </row>
    <row r="895" spans="3:55" ht="12.95" customHeight="1">
      <c r="C895" s="1634" t="s">
        <v>955</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30"/>
      <c r="BE910" s="1629"/>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791</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817</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1" t="s">
        <v>544</v>
      </c>
      <c r="V918" s="1402"/>
      <c r="W918" s="1402"/>
      <c r="X918" s="1402"/>
      <c r="Y918" s="1402"/>
      <c r="Z918" s="1403"/>
      <c r="AA918" s="1407">
        <v>32000000</v>
      </c>
      <c r="AB918" s="1408"/>
      <c r="AC918" s="1408"/>
      <c r="AD918" s="1408"/>
      <c r="AE918" s="1408"/>
      <c r="AF918" s="1409"/>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1" t="s">
        <v>590</v>
      </c>
      <c r="V919" s="1402"/>
      <c r="W919" s="1402"/>
      <c r="X919" s="1402"/>
      <c r="Y919" s="1402"/>
      <c r="Z919" s="1403"/>
      <c r="AA919" s="1407"/>
      <c r="AB919" s="1408"/>
      <c r="AC919" s="1408"/>
      <c r="AD919" s="1408"/>
      <c r="AE919" s="1408"/>
      <c r="AF919" s="1409"/>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1" t="s">
        <v>590</v>
      </c>
      <c r="V920" s="1402"/>
      <c r="W920" s="1402"/>
      <c r="X920" s="1402"/>
      <c r="Y920" s="1402"/>
      <c r="Z920" s="1403"/>
      <c r="AA920" s="1407"/>
      <c r="AB920" s="1408"/>
      <c r="AC920" s="1408"/>
      <c r="AD920" s="1408"/>
      <c r="AE920" s="1408"/>
      <c r="AF920" s="1409"/>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1" t="s">
        <v>590</v>
      </c>
      <c r="V921" s="1402"/>
      <c r="W921" s="1402"/>
      <c r="X921" s="1402"/>
      <c r="Y921" s="1402"/>
      <c r="Z921" s="1403"/>
      <c r="AA921" s="1407"/>
      <c r="AB921" s="1408"/>
      <c r="AC921" s="1408"/>
      <c r="AD921" s="1408"/>
      <c r="AE921" s="1408"/>
      <c r="AF921" s="1409"/>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1" t="s">
        <v>590</v>
      </c>
      <c r="V922" s="1402"/>
      <c r="W922" s="1402"/>
      <c r="X922" s="1402"/>
      <c r="Y922" s="1402"/>
      <c r="Z922" s="1403"/>
      <c r="AA922" s="1407"/>
      <c r="AB922" s="1408"/>
      <c r="AC922" s="1408"/>
      <c r="AD922" s="1408"/>
      <c r="AE922" s="1408"/>
      <c r="AF922" s="1409"/>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1" t="s">
        <v>590</v>
      </c>
      <c r="V923" s="1402"/>
      <c r="W923" s="1402"/>
      <c r="X923" s="1402"/>
      <c r="Y923" s="1402"/>
      <c r="Z923" s="1403"/>
      <c r="AA923" s="1407"/>
      <c r="AB923" s="1408"/>
      <c r="AC923" s="1408"/>
      <c r="AD923" s="1408"/>
      <c r="AE923" s="1408"/>
      <c r="AF923" s="1409"/>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1" t="s">
        <v>590</v>
      </c>
      <c r="V924" s="1402"/>
      <c r="W924" s="1402"/>
      <c r="X924" s="1402"/>
      <c r="Y924" s="1402"/>
      <c r="Z924" s="1403"/>
      <c r="AA924" s="1407"/>
      <c r="AB924" s="1408"/>
      <c r="AC924" s="1408"/>
      <c r="AD924" s="1408"/>
      <c r="AE924" s="1408"/>
      <c r="AF924" s="1409"/>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1" t="s">
        <v>590</v>
      </c>
      <c r="V925" s="1402"/>
      <c r="W925" s="1402"/>
      <c r="X925" s="1402"/>
      <c r="Y925" s="1402"/>
      <c r="Z925" s="1403"/>
      <c r="AA925" s="1407"/>
      <c r="AB925" s="1408"/>
      <c r="AC925" s="1408"/>
      <c r="AD925" s="1408"/>
      <c r="AE925" s="1408"/>
      <c r="AF925" s="1409"/>
      <c r="AZ925" s="34"/>
      <c r="BA925" s="34"/>
      <c r="BB925" s="34"/>
      <c r="BC925" s="34"/>
    </row>
    <row r="926" spans="1:58" ht="12.95" customHeight="1">
      <c r="F926" s="1602" t="s">
        <v>2191</v>
      </c>
      <c r="G926" s="1603"/>
      <c r="H926" s="1603"/>
      <c r="I926" s="1603"/>
      <c r="J926" s="1603"/>
      <c r="K926" s="1603"/>
      <c r="L926" s="1603"/>
      <c r="M926" s="1603"/>
      <c r="N926" s="1603"/>
      <c r="O926" s="1603"/>
      <c r="P926" s="1603"/>
      <c r="Q926" s="1603"/>
      <c r="R926" s="1603"/>
      <c r="S926" s="1603"/>
      <c r="T926" s="1604"/>
      <c r="U926" s="1401" t="s">
        <v>590</v>
      </c>
      <c r="V926" s="1402"/>
      <c r="W926" s="1402"/>
      <c r="X926" s="1402"/>
      <c r="Y926" s="1402"/>
      <c r="Z926" s="1403"/>
      <c r="AA926" s="1407"/>
      <c r="AB926" s="1408"/>
      <c r="AC926" s="1408"/>
      <c r="AD926" s="1408"/>
      <c r="AE926" s="1408"/>
      <c r="AF926" s="1409"/>
      <c r="AZ926" s="34"/>
      <c r="BA926" s="34"/>
      <c r="BB926" s="34"/>
      <c r="BC926" s="34"/>
    </row>
    <row r="927" spans="1:58" ht="12.95" customHeight="1">
      <c r="F927" s="1602" t="s">
        <v>678</v>
      </c>
      <c r="G927" s="1603"/>
      <c r="H927" s="1603"/>
      <c r="I927" s="1603"/>
      <c r="J927" s="1603"/>
      <c r="K927" s="1603"/>
      <c r="L927" s="1603"/>
      <c r="M927" s="1603"/>
      <c r="N927" s="1603"/>
      <c r="O927" s="1603"/>
      <c r="P927" s="1603"/>
      <c r="Q927" s="1603"/>
      <c r="R927" s="1603"/>
      <c r="S927" s="1603"/>
      <c r="T927" s="1604"/>
      <c r="U927" s="1401" t="s">
        <v>590</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2" t="s">
        <v>2192</v>
      </c>
      <c r="G928" s="1603"/>
      <c r="H928" s="1603"/>
      <c r="I928" s="1603"/>
      <c r="J928" s="1603"/>
      <c r="K928" s="1603"/>
      <c r="L928" s="1603"/>
      <c r="M928" s="1603"/>
      <c r="N928" s="1603"/>
      <c r="O928" s="1603"/>
      <c r="P928" s="1603"/>
      <c r="Q928" s="1603"/>
      <c r="R928" s="1603"/>
      <c r="S928" s="1603"/>
      <c r="T928" s="1604"/>
      <c r="U928" s="1401" t="s">
        <v>590</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2" t="s">
        <v>2193</v>
      </c>
      <c r="G929" s="1603"/>
      <c r="H929" s="1603"/>
      <c r="I929" s="1603"/>
      <c r="J929" s="1603"/>
      <c r="K929" s="1603"/>
      <c r="L929" s="1603"/>
      <c r="M929" s="1603"/>
      <c r="N929" s="1603"/>
      <c r="O929" s="1603"/>
      <c r="P929" s="1603"/>
      <c r="Q929" s="1603"/>
      <c r="R929" s="1603"/>
      <c r="S929" s="1603"/>
      <c r="T929" s="1604"/>
      <c r="U929" s="1401" t="s">
        <v>590</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2" t="s">
        <v>2194</v>
      </c>
      <c r="G930" s="1603"/>
      <c r="H930" s="1603"/>
      <c r="I930" s="1603"/>
      <c r="J930" s="1603"/>
      <c r="K930" s="1603"/>
      <c r="L930" s="1603"/>
      <c r="M930" s="1603"/>
      <c r="N930" s="1603"/>
      <c r="O930" s="1603"/>
      <c r="P930" s="1603"/>
      <c r="Q930" s="1603"/>
      <c r="R930" s="1603"/>
      <c r="S930" s="1603"/>
      <c r="T930" s="1604"/>
      <c r="U930" s="1401" t="s">
        <v>590</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2" t="s">
        <v>2195</v>
      </c>
      <c r="G931" s="1603"/>
      <c r="H931" s="1603"/>
      <c r="I931" s="1603"/>
      <c r="J931" s="1603"/>
      <c r="K931" s="1603"/>
      <c r="L931" s="1603"/>
      <c r="M931" s="1603"/>
      <c r="N931" s="1603"/>
      <c r="O931" s="1603"/>
      <c r="P931" s="1603"/>
      <c r="Q931" s="1603"/>
      <c r="R931" s="1603"/>
      <c r="S931" s="1603"/>
      <c r="T931" s="1604"/>
      <c r="U931" s="1401" t="s">
        <v>590</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2" t="s">
        <v>2196</v>
      </c>
      <c r="G932" s="1603"/>
      <c r="H932" s="1603"/>
      <c r="I932" s="1603"/>
      <c r="J932" s="1603"/>
      <c r="K932" s="1603"/>
      <c r="L932" s="1603"/>
      <c r="M932" s="1603"/>
      <c r="N932" s="1603"/>
      <c r="O932" s="1603"/>
      <c r="P932" s="1603"/>
      <c r="Q932" s="1603"/>
      <c r="R932" s="1603"/>
      <c r="S932" s="1603"/>
      <c r="T932" s="1604"/>
      <c r="U932" s="1401" t="s">
        <v>590</v>
      </c>
      <c r="V932" s="1402"/>
      <c r="W932" s="1402"/>
      <c r="X932" s="1402"/>
      <c r="Y932" s="1402"/>
      <c r="Z932" s="1403"/>
      <c r="AA932" s="1407"/>
      <c r="AB932" s="1408"/>
      <c r="AC932" s="1408"/>
      <c r="AD932" s="1408"/>
      <c r="AE932" s="1408"/>
      <c r="AF932" s="1409"/>
      <c r="AZ932" s="30"/>
      <c r="BA932" s="30"/>
    </row>
    <row r="933" spans="6:55" ht="12.95" customHeight="1">
      <c r="F933" s="178" t="s">
        <v>675</v>
      </c>
      <c r="G933" s="5"/>
      <c r="H933" s="5"/>
      <c r="I933" s="5"/>
      <c r="J933" s="5"/>
      <c r="K933" s="5"/>
      <c r="L933" s="5"/>
      <c r="M933" s="5"/>
      <c r="N933" s="5"/>
      <c r="O933" s="5"/>
      <c r="P933" s="5"/>
      <c r="Q933" s="5"/>
      <c r="R933" s="5"/>
      <c r="S933" s="5"/>
      <c r="T933" s="46"/>
      <c r="U933" s="1401" t="s">
        <v>590</v>
      </c>
      <c r="V933" s="1402"/>
      <c r="W933" s="1402"/>
      <c r="X933" s="1402"/>
      <c r="Y933" s="1402"/>
      <c r="Z933" s="1403"/>
      <c r="AA933" s="1407"/>
      <c r="AB933" s="1408"/>
      <c r="AC933" s="1408"/>
      <c r="AD933" s="1408"/>
      <c r="AE933" s="1408"/>
      <c r="AF933" s="1409"/>
    </row>
    <row r="934" spans="6:55" ht="12.95" customHeight="1">
      <c r="F934" s="121" t="s">
        <v>1276</v>
      </c>
      <c r="G934" s="5"/>
      <c r="H934" s="5"/>
      <c r="I934" s="5"/>
      <c r="J934" s="5"/>
      <c r="K934" s="5"/>
      <c r="L934" s="5"/>
      <c r="M934" s="5"/>
      <c r="N934" s="5"/>
      <c r="O934" s="5"/>
      <c r="P934" s="5"/>
      <c r="Q934" s="5"/>
      <c r="R934" s="5"/>
      <c r="S934" s="5"/>
      <c r="T934" s="46"/>
      <c r="U934" s="1401" t="s">
        <v>590</v>
      </c>
      <c r="V934" s="1402"/>
      <c r="W934" s="1402"/>
      <c r="X934" s="1402"/>
      <c r="Y934" s="1402"/>
      <c r="Z934" s="1403"/>
      <c r="AA934" s="1407"/>
      <c r="AB934" s="1408"/>
      <c r="AC934" s="1408"/>
      <c r="AD934" s="1408"/>
      <c r="AE934" s="1408"/>
      <c r="AF934" s="1409"/>
      <c r="AZ934" s="30"/>
      <c r="BA934" s="14"/>
    </row>
    <row r="935" spans="6:55" ht="12.95" customHeight="1">
      <c r="F935" s="66" t="s">
        <v>801</v>
      </c>
      <c r="G935" s="5"/>
      <c r="H935" s="5"/>
      <c r="I935" s="5"/>
      <c r="J935" s="5"/>
      <c r="K935" s="5"/>
      <c r="L935" s="5"/>
      <c r="M935" s="5"/>
      <c r="N935" s="5"/>
      <c r="O935" s="5"/>
      <c r="P935" s="5"/>
      <c r="Q935" s="5"/>
      <c r="R935" s="5"/>
      <c r="S935" s="5"/>
      <c r="T935" s="46"/>
      <c r="U935" s="1401" t="s">
        <v>590</v>
      </c>
      <c r="V935" s="1402"/>
      <c r="W935" s="1402"/>
      <c r="X935" s="1402"/>
      <c r="Y935" s="1402"/>
      <c r="Z935" s="1403"/>
      <c r="AA935" s="1407"/>
      <c r="AB935" s="1408"/>
      <c r="AC935" s="1408"/>
      <c r="AD935" s="1408"/>
      <c r="AE935" s="1408"/>
      <c r="AF935" s="1409"/>
      <c r="AZ935" s="30"/>
      <c r="BA935" s="14"/>
    </row>
    <row r="936" spans="6:55" ht="12.95" customHeight="1">
      <c r="F936" s="1640" t="s">
        <v>2200</v>
      </c>
      <c r="G936" s="1641"/>
      <c r="H936" s="1641"/>
      <c r="I936" s="1641"/>
      <c r="J936" s="1641"/>
      <c r="K936" s="1641"/>
      <c r="L936" s="1641"/>
      <c r="M936" s="1641"/>
      <c r="N936" s="1641"/>
      <c r="O936" s="1641"/>
      <c r="P936" s="1641"/>
      <c r="Q936" s="1641"/>
      <c r="R936" s="1641"/>
      <c r="S936" s="1641"/>
      <c r="T936" s="1642"/>
      <c r="U936" s="1401" t="s">
        <v>590</v>
      </c>
      <c r="V936" s="1402"/>
      <c r="W936" s="1402"/>
      <c r="X936" s="1402"/>
      <c r="Y936" s="1402"/>
      <c r="Z936" s="1403"/>
      <c r="AA936" s="1407"/>
      <c r="AB936" s="1408"/>
      <c r="AC936" s="1408"/>
      <c r="AD936" s="1408"/>
      <c r="AE936" s="1408"/>
      <c r="AF936" s="1409"/>
      <c r="AZ936" s="30"/>
      <c r="BA936" s="14"/>
    </row>
    <row r="937" spans="6:55" ht="12.95" customHeight="1">
      <c r="F937" s="1640" t="s">
        <v>2201</v>
      </c>
      <c r="G937" s="1641"/>
      <c r="H937" s="1641"/>
      <c r="I937" s="1641"/>
      <c r="J937" s="1641"/>
      <c r="K937" s="1641"/>
      <c r="L937" s="1641"/>
      <c r="M937" s="1641"/>
      <c r="N937" s="1641"/>
      <c r="O937" s="1641"/>
      <c r="P937" s="1641"/>
      <c r="Q937" s="1641"/>
      <c r="R937" s="1641"/>
      <c r="S937" s="1641"/>
      <c r="T937" s="1642"/>
      <c r="U937" s="1401" t="s">
        <v>590</v>
      </c>
      <c r="V937" s="1402"/>
      <c r="W937" s="1402"/>
      <c r="X937" s="1402"/>
      <c r="Y937" s="1402"/>
      <c r="Z937" s="1403"/>
      <c r="AA937" s="1407"/>
      <c r="AB937" s="1408"/>
      <c r="AC937" s="1408"/>
      <c r="AD937" s="1408"/>
      <c r="AE937" s="1408"/>
      <c r="AF937" s="1409"/>
      <c r="AZ937" s="30"/>
      <c r="BA937" s="30"/>
    </row>
    <row r="938" spans="6:55" ht="12.95" customHeight="1">
      <c r="F938" s="1602" t="s">
        <v>2197</v>
      </c>
      <c r="G938" s="1603"/>
      <c r="H938" s="1603"/>
      <c r="I938" s="1603"/>
      <c r="J938" s="1603"/>
      <c r="K938" s="1603"/>
      <c r="L938" s="1603"/>
      <c r="M938" s="1603"/>
      <c r="N938" s="1603"/>
      <c r="O938" s="1603"/>
      <c r="P938" s="1603"/>
      <c r="Q938" s="1603"/>
      <c r="R938" s="1603"/>
      <c r="S938" s="1603"/>
      <c r="T938" s="1604"/>
      <c r="U938" s="1401" t="s">
        <v>590</v>
      </c>
      <c r="V938" s="1402"/>
      <c r="W938" s="1402"/>
      <c r="X938" s="1402"/>
      <c r="Y938" s="1402"/>
      <c r="Z938" s="1403"/>
      <c r="AA938" s="1407"/>
      <c r="AB938" s="1408"/>
      <c r="AC938" s="1408"/>
      <c r="AD938" s="1408"/>
      <c r="AE938" s="1408"/>
      <c r="AF938" s="1409"/>
      <c r="AZ938" s="30"/>
      <c r="BA938" s="30"/>
    </row>
    <row r="939" spans="6:55" ht="12.95" customHeight="1">
      <c r="F939" s="1602" t="s">
        <v>2198</v>
      </c>
      <c r="G939" s="1603"/>
      <c r="H939" s="1603"/>
      <c r="I939" s="1603"/>
      <c r="J939" s="1603"/>
      <c r="K939" s="1603"/>
      <c r="L939" s="1603"/>
      <c r="M939" s="1603"/>
      <c r="N939" s="1603"/>
      <c r="O939" s="1603"/>
      <c r="P939" s="1603"/>
      <c r="Q939" s="1603"/>
      <c r="R939" s="1603"/>
      <c r="S939" s="1603"/>
      <c r="T939" s="1604"/>
      <c r="U939" s="1401" t="s">
        <v>590</v>
      </c>
      <c r="V939" s="1402"/>
      <c r="W939" s="1402"/>
      <c r="X939" s="1402"/>
      <c r="Y939" s="1402"/>
      <c r="Z939" s="1403"/>
      <c r="AA939" s="1407"/>
      <c r="AB939" s="1408"/>
      <c r="AC939" s="1408"/>
      <c r="AD939" s="1408"/>
      <c r="AE939" s="1408"/>
      <c r="AF939" s="1409"/>
      <c r="AZ939" s="30"/>
      <c r="BA939" s="30"/>
    </row>
    <row r="940" spans="6:55" ht="12.95" customHeight="1">
      <c r="F940" s="1602" t="s">
        <v>2199</v>
      </c>
      <c r="G940" s="1603"/>
      <c r="H940" s="1603"/>
      <c r="I940" s="1603"/>
      <c r="J940" s="1603"/>
      <c r="K940" s="1603"/>
      <c r="L940" s="1603"/>
      <c r="M940" s="1603"/>
      <c r="N940" s="1603"/>
      <c r="O940" s="1603"/>
      <c r="P940" s="1603"/>
      <c r="Q940" s="1603"/>
      <c r="R940" s="1603"/>
      <c r="S940" s="1603"/>
      <c r="T940" s="1604"/>
      <c r="U940" s="1401" t="s">
        <v>590</v>
      </c>
      <c r="V940" s="1402"/>
      <c r="W940" s="1402"/>
      <c r="X940" s="1402"/>
      <c r="Y940" s="1402"/>
      <c r="Z940" s="1403"/>
      <c r="AA940" s="1407"/>
      <c r="AB940" s="1408"/>
      <c r="AC940" s="1408"/>
      <c r="AD940" s="1408"/>
      <c r="AE940" s="1408"/>
      <c r="AF940" s="1409"/>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1" t="s">
        <v>590</v>
      </c>
      <c r="V941" s="1402"/>
      <c r="W941" s="1402"/>
      <c r="X941" s="1402"/>
      <c r="Y941" s="1402"/>
      <c r="Z941" s="1403"/>
      <c r="AA941" s="1407"/>
      <c r="AB941" s="1408"/>
      <c r="AC941" s="1408"/>
      <c r="AD941" s="1408"/>
      <c r="AE941" s="1408"/>
      <c r="AF941" s="1409"/>
      <c r="AZ941" s="34"/>
      <c r="BA941" s="34"/>
      <c r="BB941" s="14"/>
      <c r="BC941" s="14"/>
    </row>
    <row r="942" spans="6:55" ht="12.95" customHeight="1">
      <c r="F942" s="1640" t="s">
        <v>2202</v>
      </c>
      <c r="G942" s="1641"/>
      <c r="H942" s="1641"/>
      <c r="I942" s="1641"/>
      <c r="J942" s="1641"/>
      <c r="K942" s="1641"/>
      <c r="L942" s="1641"/>
      <c r="M942" s="1641"/>
      <c r="N942" s="1641"/>
      <c r="O942" s="1641"/>
      <c r="P942" s="1641"/>
      <c r="Q942" s="1641"/>
      <c r="R942" s="1641"/>
      <c r="S942" s="1641"/>
      <c r="T942" s="1642"/>
      <c r="U942" s="1401" t="s">
        <v>590</v>
      </c>
      <c r="V942" s="1402"/>
      <c r="W942" s="1402"/>
      <c r="X942" s="1402"/>
      <c r="Y942" s="1402"/>
      <c r="Z942" s="1403"/>
      <c r="AA942" s="1407"/>
      <c r="AB942" s="1408"/>
      <c r="AC942" s="1408"/>
      <c r="AD942" s="1408"/>
      <c r="AE942" s="1408"/>
      <c r="AF942" s="1409"/>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1" t="s">
        <v>590</v>
      </c>
      <c r="V943" s="1402"/>
      <c r="W943" s="1402"/>
      <c r="X943" s="1402"/>
      <c r="Y943" s="1402"/>
      <c r="Z943" s="1403"/>
      <c r="AA943" s="1407"/>
      <c r="AB943" s="1408"/>
      <c r="AC943" s="1408"/>
      <c r="AD943" s="1408"/>
      <c r="AE943" s="1408"/>
      <c r="AF943" s="1409"/>
      <c r="AZ943" s="34"/>
      <c r="BA943" s="34"/>
      <c r="BB943" s="34"/>
      <c r="BC943" s="34"/>
    </row>
    <row r="944" spans="6:55" ht="12.95" customHeight="1">
      <c r="F944" s="1640" t="s">
        <v>2203</v>
      </c>
      <c r="G944" s="1641"/>
      <c r="H944" s="1641"/>
      <c r="I944" s="1641"/>
      <c r="J944" s="1641"/>
      <c r="K944" s="1641"/>
      <c r="L944" s="1641"/>
      <c r="M944" s="1641"/>
      <c r="N944" s="1641"/>
      <c r="O944" s="1641"/>
      <c r="P944" s="1641"/>
      <c r="Q944" s="1641"/>
      <c r="R944" s="1641"/>
      <c r="S944" s="1641"/>
      <c r="T944" s="1642"/>
      <c r="U944" s="1401" t="s">
        <v>590</v>
      </c>
      <c r="V944" s="1402"/>
      <c r="W944" s="1402"/>
      <c r="X944" s="1402"/>
      <c r="Y944" s="1402"/>
      <c r="Z944" s="1403"/>
      <c r="AA944" s="1407"/>
      <c r="AB944" s="1408"/>
      <c r="AC944" s="1408"/>
      <c r="AD944" s="1408"/>
      <c r="AE944" s="1408"/>
      <c r="AF944" s="1409"/>
      <c r="AZ944" s="34"/>
      <c r="BA944" s="34"/>
      <c r="BB944" s="34"/>
      <c r="BC944" s="34"/>
    </row>
    <row r="945" spans="1:55" ht="12.95" customHeight="1">
      <c r="F945" s="45" t="s">
        <v>805</v>
      </c>
      <c r="G945" s="5"/>
      <c r="H945" s="5"/>
      <c r="I945" s="5"/>
      <c r="J945" s="5"/>
      <c r="K945" s="5"/>
      <c r="L945" s="5"/>
      <c r="M945" s="5"/>
      <c r="N945" s="5"/>
      <c r="O945" s="5"/>
      <c r="P945" s="1401" t="s">
        <v>668</v>
      </c>
      <c r="Q945" s="1402"/>
      <c r="R945" s="1402"/>
      <c r="S945" s="1402"/>
      <c r="T945" s="1403"/>
      <c r="U945" s="1401" t="s">
        <v>590</v>
      </c>
      <c r="V945" s="1402"/>
      <c r="W945" s="1402"/>
      <c r="X945" s="1402"/>
      <c r="Y945" s="1402"/>
      <c r="Z945" s="1403"/>
      <c r="AA945" s="1407"/>
      <c r="AB945" s="1408"/>
      <c r="AC945" s="1408"/>
      <c r="AD945" s="1408"/>
      <c r="AE945" s="1408"/>
      <c r="AF945" s="1409"/>
      <c r="AZ945" s="34"/>
      <c r="BA945" s="34"/>
      <c r="BB945" s="34"/>
      <c r="BC945" s="34"/>
    </row>
    <row r="946" spans="1:55" ht="12.95" customHeight="1">
      <c r="F946" s="1602" t="s">
        <v>2190</v>
      </c>
      <c r="G946" s="1603"/>
      <c r="H946" s="1604"/>
      <c r="I946" s="1594" t="s">
        <v>333</v>
      </c>
      <c r="J946" s="1595"/>
      <c r="K946" s="1595"/>
      <c r="L946" s="1595"/>
      <c r="M946" s="1595"/>
      <c r="N946" s="1595"/>
      <c r="O946" s="1595"/>
      <c r="P946" s="1595"/>
      <c r="Q946" s="1595"/>
      <c r="R946" s="1595"/>
      <c r="S946" s="1595"/>
      <c r="T946" s="1596"/>
      <c r="U946" s="1401" t="s">
        <v>590</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4" t="s">
        <v>333</v>
      </c>
      <c r="J947" s="1595"/>
      <c r="K947" s="1595"/>
      <c r="L947" s="1595"/>
      <c r="M947" s="1595"/>
      <c r="N947" s="1595"/>
      <c r="O947" s="1595"/>
      <c r="P947" s="1595"/>
      <c r="Q947" s="1595"/>
      <c r="R947" s="1595"/>
      <c r="S947" s="1595"/>
      <c r="T947" s="1596"/>
      <c r="U947" s="1401" t="s">
        <v>590</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7" t="s">
        <v>333</v>
      </c>
      <c r="J948" s="1538"/>
      <c r="K948" s="1538"/>
      <c r="L948" s="1538"/>
      <c r="M948" s="1538"/>
      <c r="N948" s="1538"/>
      <c r="O948" s="1538"/>
      <c r="P948" s="1538"/>
      <c r="Q948" s="1538"/>
      <c r="R948" s="1538"/>
      <c r="S948" s="1538"/>
      <c r="T948" s="1539"/>
      <c r="U948" s="1401" t="s">
        <v>590</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169</v>
      </c>
      <c r="G949" s="48"/>
      <c r="H949" s="48"/>
      <c r="I949" s="1594" t="s">
        <v>2710</v>
      </c>
      <c r="J949" s="1538"/>
      <c r="K949" s="1538"/>
      <c r="L949" s="1538"/>
      <c r="M949" s="1538"/>
      <c r="N949" s="1538"/>
      <c r="O949" s="1538"/>
      <c r="P949" s="1538"/>
      <c r="Q949" s="1538"/>
      <c r="R949" s="1538"/>
      <c r="S949" s="1538"/>
      <c r="T949" s="1539"/>
      <c r="U949" s="1401" t="s">
        <v>544</v>
      </c>
      <c r="V949" s="1402"/>
      <c r="W949" s="1402"/>
      <c r="X949" s="1402"/>
      <c r="Y949" s="1402"/>
      <c r="Z949" s="1403"/>
      <c r="AA949" s="1407">
        <v>8000000</v>
      </c>
      <c r="AB949" s="1408"/>
      <c r="AC949" s="1408"/>
      <c r="AD949" s="1408"/>
      <c r="AE949" s="1408"/>
      <c r="AF949" s="1409"/>
      <c r="AU949" s="2"/>
      <c r="AZ949" s="34"/>
      <c r="BA949" s="34"/>
      <c r="BB949" s="34"/>
      <c r="BC949" s="34"/>
    </row>
    <row r="950" spans="1:55" ht="12.95" customHeight="1">
      <c r="F950" s="47" t="s">
        <v>169</v>
      </c>
      <c r="G950" s="48"/>
      <c r="H950" s="48"/>
      <c r="I950" s="1537" t="s">
        <v>333</v>
      </c>
      <c r="J950" s="1538"/>
      <c r="K950" s="1538"/>
      <c r="L950" s="1538"/>
      <c r="M950" s="1538"/>
      <c r="N950" s="1538"/>
      <c r="O950" s="1538"/>
      <c r="P950" s="1538"/>
      <c r="Q950" s="1538"/>
      <c r="R950" s="1538"/>
      <c r="S950" s="1538"/>
      <c r="T950" s="1539"/>
      <c r="U950" s="1401" t="s">
        <v>590</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879</v>
      </c>
      <c r="D957" s="5"/>
      <c r="E957" s="5"/>
      <c r="J957" s="1554" t="s">
        <v>306</v>
      </c>
      <c r="K957" s="1555"/>
      <c r="L957" s="1555"/>
      <c r="M957" s="1555"/>
      <c r="N957" s="1555"/>
      <c r="O957" s="1555"/>
      <c r="P957" s="1555"/>
      <c r="Q957" s="1555"/>
      <c r="R957" s="1555"/>
      <c r="S957" s="1556"/>
      <c r="U957" s="66" t="s">
        <v>879</v>
      </c>
      <c r="V957" s="5"/>
      <c r="W957" s="5"/>
      <c r="AB957" s="1554" t="s">
        <v>306</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1660</v>
      </c>
      <c r="D962" s="5"/>
      <c r="E962" s="5"/>
      <c r="F962" s="5"/>
      <c r="G962" s="5"/>
      <c r="H962" s="5"/>
      <c r="I962" s="5"/>
      <c r="J962" s="5"/>
      <c r="K962" s="5"/>
      <c r="L962" s="46"/>
      <c r="M962" s="1404"/>
      <c r="N962" s="1405"/>
      <c r="O962" s="1405"/>
      <c r="P962" s="1405"/>
      <c r="Q962" s="1405"/>
      <c r="R962" s="1405"/>
      <c r="S962" s="1406"/>
      <c r="U962" s="121" t="s">
        <v>1660</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31"/>
      <c r="N967" s="1532"/>
      <c r="O967" s="1532"/>
      <c r="P967" s="1532"/>
      <c r="Q967" s="1532"/>
      <c r="R967" s="1532"/>
      <c r="S967" s="1533"/>
      <c r="T967" s="66" t="s">
        <v>789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31"/>
      <c r="N968" s="1532"/>
      <c r="O968" s="1532"/>
      <c r="P968" s="1532"/>
      <c r="Q968" s="1532"/>
      <c r="R968" s="1532"/>
      <c r="S968" s="1533"/>
      <c r="T968" s="66" t="s">
        <v>788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4" t="s">
        <v>590</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8" t="s">
        <v>668</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8"/>
      <c r="H975" s="1358"/>
      <c r="I975" s="1358"/>
      <c r="J975" s="1358"/>
      <c r="K975" s="1358"/>
      <c r="L975" s="1358"/>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547</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637</v>
      </c>
      <c r="E985" s="1551"/>
      <c r="F985" s="1551"/>
      <c r="G985" s="1551"/>
      <c r="H985" s="1551"/>
      <c r="I985" s="1551"/>
      <c r="J985" s="1551"/>
      <c r="K985" s="1551"/>
      <c r="L985" s="1551"/>
      <c r="M985" s="1551"/>
      <c r="N985" s="1551"/>
      <c r="O985" s="1551"/>
      <c r="P985" s="1551"/>
      <c r="Q985" s="1552"/>
      <c r="R985" s="1550" t="s">
        <v>638</v>
      </c>
      <c r="S985" s="1551"/>
      <c r="T985" s="1551"/>
      <c r="U985" s="1551"/>
      <c r="V985" s="1551"/>
      <c r="W985" s="1551"/>
      <c r="X985" s="1551"/>
      <c r="Y985" s="1551"/>
      <c r="Z985" s="1551"/>
      <c r="AA985" s="1552"/>
      <c r="AB985" s="1550" t="s">
        <v>639</v>
      </c>
      <c r="AC985" s="1551"/>
      <c r="AD985" s="1551"/>
      <c r="AE985" s="1551"/>
      <c r="AF985" s="1551"/>
      <c r="AG985" s="1551"/>
      <c r="AH985" s="1551"/>
      <c r="AI985" s="1552"/>
      <c r="AJ985" s="1550" t="s">
        <v>640</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6" t="s">
        <v>632</v>
      </c>
      <c r="E986" s="1387"/>
      <c r="F986" s="1387"/>
      <c r="G986" s="1387"/>
      <c r="H986" s="1387"/>
      <c r="I986" s="1387"/>
      <c r="J986" s="1387"/>
      <c r="K986" s="1387"/>
      <c r="L986" s="1387"/>
      <c r="M986" s="1387"/>
      <c r="N986" s="1387"/>
      <c r="O986" s="1387"/>
      <c r="P986" s="1387"/>
      <c r="Q986" s="1388"/>
      <c r="R986" s="1553">
        <f>IF(ISNA(IF($CU$122="4%",(INDEX($CS$160:$CW$217,MATCH($DG$122,$CR$160:$CR$217,0),MATCH(D986,$CS$159:$CW$159,0))),(INDEX($CZ$160:$DD$217,MATCH($DG$122,$CY$160:$CY$217,0),MATCH(D986,$CZ$159:$DD$159,0))))),0,IF($CU$122="4%",(INDEX($CS$160:$CW$217,MATCH($DG$122,$CR$160:$CR$217,0),MATCH(D986,$CS$159:$CW$159,0))),(INDEX($CZ$160:$DD$217,MATCH($DG$122,$CY$160:$CY$217,0),MATCH(D986,$CZ$159:$DD$159,0)))))</f>
        <v>331890</v>
      </c>
      <c r="S986" s="1553"/>
      <c r="T986" s="1553"/>
      <c r="U986" s="1553"/>
      <c r="V986" s="1553"/>
      <c r="W986" s="1553"/>
      <c r="X986" s="1553"/>
      <c r="Y986" s="1553"/>
      <c r="Z986" s="1553"/>
      <c r="AA986" s="1553"/>
      <c r="AB986" s="1389">
        <f>CP802</f>
        <v>0</v>
      </c>
      <c r="AC986" s="1390"/>
      <c r="AD986" s="1390"/>
      <c r="AE986" s="1390"/>
      <c r="AF986" s="1390"/>
      <c r="AG986" s="1390"/>
      <c r="AH986" s="1390"/>
      <c r="AI986" s="1391"/>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53">
        <f>IF(ISNA(IF($CU$122="4%",(INDEX($CS$160:$CW$217,MATCH($DG$122,$CR$160:$CR$217,0),MATCH(D987,$CS$159:$CW$159,0))),(INDEX($CZ$160:$DD$217,MATCH($DG$122,$CY$160:$CY$217,0),MATCH(D987,$CZ$159:$DD$159,0))))),0,IF($CU$122="4%",(INDEX($CS$160:$CW$217,MATCH($DG$122,$CR$160:$CR$217,0),MATCH(D987,$CS$159:$CW$159,0))),(INDEX($CZ$160:$DD$217,MATCH($DG$122,$CY$160:$CY$217,0),MATCH(D987,$CZ$159:$DD$159,0)))))</f>
        <v>382666</v>
      </c>
      <c r="S987" s="1553"/>
      <c r="T987" s="1553"/>
      <c r="U987" s="1553"/>
      <c r="V987" s="1553"/>
      <c r="W987" s="1553"/>
      <c r="X987" s="1553"/>
      <c r="Y987" s="1553"/>
      <c r="Z987" s="1553"/>
      <c r="AA987" s="1553"/>
      <c r="AB987" s="1389">
        <f>CU802</f>
        <v>60</v>
      </c>
      <c r="AC987" s="1390"/>
      <c r="AD987" s="1390"/>
      <c r="AE987" s="1390"/>
      <c r="AF987" s="1390"/>
      <c r="AG987" s="1390"/>
      <c r="AH987" s="1390"/>
      <c r="AI987" s="1391"/>
      <c r="AJ987" s="1489">
        <f>IF(ISERROR((R987*AB987)),0,(R987*AB987))</f>
        <v>22959960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3">
        <f>IF(ISNA(IF($CU$122="4%",(INDEX($CS$160:$CW$217,MATCH($DG$122,$CR$160:$CR$217,0),MATCH(D988,$CS$159:$CW$159,0))),(INDEX($CZ$160:$DD$217,MATCH($DG$122,$CY$160:$CY$217,0),MATCH(D988,$CZ$159:$DD$159,0))))),0,IF($CU$122="4%",(INDEX($CS$160:$CW$217,MATCH($DG$122,$CR$160:$CR$217,0),MATCH(D988,$CS$159:$CW$159,0))),(INDEX($CZ$160:$DD$217,MATCH($DG$122,$CY$160:$CY$217,0),MATCH(D988,$CZ$159:$DD$159,0)))))</f>
        <v>461600</v>
      </c>
      <c r="S988" s="1553"/>
      <c r="T988" s="1553"/>
      <c r="U988" s="1553"/>
      <c r="V988" s="1553"/>
      <c r="W988" s="1553"/>
      <c r="X988" s="1553"/>
      <c r="Y988" s="1553"/>
      <c r="Z988" s="1553"/>
      <c r="AA988" s="1553"/>
      <c r="AB988" s="1389">
        <f>CZ802</f>
        <v>60</v>
      </c>
      <c r="AC988" s="1390"/>
      <c r="AD988" s="1390"/>
      <c r="AE988" s="1390"/>
      <c r="AF988" s="1390"/>
      <c r="AG988" s="1390"/>
      <c r="AH988" s="1390"/>
      <c r="AI988" s="1391"/>
      <c r="AJ988" s="1489">
        <f>IF(ISERROR((R988*AB988)),0,(R988*AB988))</f>
        <v>27696000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3">
        <f>IF(ISNA(IF($CU$122="4%",(INDEX($CS$160:$CW$217,MATCH($DG$122,$CR$160:$CR$217,0),MATCH(D989,$CS$159:$CW$159,0))),(INDEX($CZ$160:$DD$217,MATCH($DG$122,$CY$160:$CY$217,0),MATCH(D989,$CZ$159:$DD$159,0))))),0,IF($CU$122="4%",(INDEX($CS$160:$CW$217,MATCH($DG$122,$CR$160:$CR$217,0),MATCH(D989,$CS$159:$CW$159,0))),(INDEX($CZ$160:$DD$217,MATCH($DG$122,$CY$160:$CY$217,0),MATCH(D989,$CZ$159:$DD$159,0)))))</f>
        <v>590848</v>
      </c>
      <c r="S989" s="1553"/>
      <c r="T989" s="1553"/>
      <c r="U989" s="1553"/>
      <c r="V989" s="1553"/>
      <c r="W989" s="1553"/>
      <c r="X989" s="1553"/>
      <c r="Y989" s="1553"/>
      <c r="Z989" s="1553"/>
      <c r="AA989" s="1553"/>
      <c r="AB989" s="1389">
        <f>DE802</f>
        <v>58</v>
      </c>
      <c r="AC989" s="1390"/>
      <c r="AD989" s="1390"/>
      <c r="AE989" s="1390"/>
      <c r="AF989" s="1390"/>
      <c r="AG989" s="1390"/>
      <c r="AH989" s="1390"/>
      <c r="AI989" s="1391"/>
      <c r="AJ989" s="1489">
        <f>IF(ISERROR((R989*AB989)),0,(R989*AB989))</f>
        <v>34269184</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6" t="s">
        <v>459</v>
      </c>
      <c r="E990" s="1387"/>
      <c r="F990" s="1387"/>
      <c r="G990" s="1387"/>
      <c r="H990" s="1387"/>
      <c r="I990" s="1387"/>
      <c r="J990" s="1387"/>
      <c r="K990" s="1387"/>
      <c r="L990" s="1387"/>
      <c r="M990" s="1387"/>
      <c r="N990" s="1387"/>
      <c r="O990" s="1387"/>
      <c r="P990" s="1387"/>
      <c r="Q990" s="1388"/>
      <c r="R990" s="1553">
        <f>IF(ISNA(IF($CU$122="4%",(INDEX($CS$160:$CW$217,MATCH($DG$122,$CR$160:$CR$217,0),MATCH(D990,$CS$159:$CW$159,0))),(INDEX($CZ$160:$DD$217,MATCH($DG$122,$CY$160:$CY$217,0),MATCH(D990,$CZ$159:$DD$159,0))))),0,IF($CU$122="4%",(INDEX($CS$160:$CW$217,MATCH($DG$122,$CR$160:$CR$217,0),MATCH(D990,$CS$159:$CW$159,0))),(INDEX($CZ$160:$DD$217,MATCH($DG$122,$CY$160:$CY$217,0),MATCH(D990,$CZ$159:$DD$159,0)))))</f>
        <v>658242</v>
      </c>
      <c r="S990" s="1553"/>
      <c r="T990" s="1553"/>
      <c r="U990" s="1553"/>
      <c r="V990" s="1553"/>
      <c r="W990" s="1553"/>
      <c r="X990" s="1553"/>
      <c r="Y990" s="1553"/>
      <c r="Z990" s="1553"/>
      <c r="AA990" s="1553"/>
      <c r="AB990" s="1389">
        <f>DO802+DJ802</f>
        <v>58</v>
      </c>
      <c r="AC990" s="1390"/>
      <c r="AD990" s="1390"/>
      <c r="AE990" s="1390"/>
      <c r="AF990" s="1390"/>
      <c r="AG990" s="1390"/>
      <c r="AH990" s="1390"/>
      <c r="AI990" s="1391"/>
      <c r="AJ990" s="1489">
        <f>IF(ISERROR((R990*AB990)),0,(R990*AB990))</f>
        <v>38178036</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790</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89">
        <f>SUM(AB986:AI990)</f>
        <v>236</v>
      </c>
      <c r="AC991" s="1390"/>
      <c r="AD991" s="1390"/>
      <c r="AE991" s="1390"/>
      <c r="AF991" s="1390"/>
      <c r="AG991" s="1390"/>
      <c r="AH991" s="1390"/>
      <c r="AI991" s="1391"/>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123103180</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665</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667</v>
      </c>
      <c r="D994" s="1505" t="s">
        <v>1219</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668</v>
      </c>
      <c r="AH994" s="1502"/>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40" t="s">
        <v>2233</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3" t="s">
        <v>2204</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5" t="s">
        <v>1285</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668</v>
      </c>
      <c r="AH1001" s="1504"/>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40" t="s">
        <v>1283</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234</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0.12</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0.12</v>
      </c>
      <c r="AZ1006" s="34"/>
      <c r="BB1006" s="34"/>
    </row>
    <row r="1007" spans="1:55" ht="12.95" customHeight="1">
      <c r="A1007" s="14"/>
      <c r="B1007" s="255"/>
      <c r="C1007" s="80" t="s">
        <v>671</v>
      </c>
      <c r="D1007" s="1495" t="s">
        <v>1682</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668</v>
      </c>
      <c r="AH1007" s="1504"/>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8" t="s">
        <v>1284</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211</v>
      </c>
      <c r="D1011" s="1495" t="s">
        <v>1286</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668</v>
      </c>
      <c r="AH1011" s="1504"/>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1" t="s">
        <v>1287</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1840</v>
      </c>
      <c r="AZ1012" s="3" t="s">
        <v>2605</v>
      </c>
    </row>
    <row r="1013" spans="1:52" ht="12.95" customHeight="1">
      <c r="A1013" s="14"/>
      <c r="B1013" s="79"/>
      <c r="C1013" s="80" t="s">
        <v>214</v>
      </c>
      <c r="D1013" s="1495" t="s">
        <v>1288</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668</v>
      </c>
      <c r="AH1013" s="1504"/>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1289</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217</v>
      </c>
      <c r="D1016" s="1505" t="s">
        <v>2234</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668</v>
      </c>
      <c r="AH1016" s="1504"/>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8" t="s">
        <v>1290</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222</v>
      </c>
      <c r="D1020" s="1522" t="s">
        <v>1291</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668</v>
      </c>
      <c r="AH1020" s="1504"/>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8" t="s">
        <v>1292</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6" t="s">
        <v>590</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8"/>
      <c r="AK1024" s="1399"/>
      <c r="AL1024" s="1399"/>
      <c r="AM1024" s="1399"/>
      <c r="AN1024" s="1399"/>
      <c r="AO1024" s="1399"/>
      <c r="AP1024" s="1399"/>
      <c r="AQ1024" s="1400"/>
      <c r="AR1024" s="68"/>
      <c r="AS1024" s="68"/>
      <c r="AT1024" s="68"/>
      <c r="AU1024" s="68"/>
      <c r="AV1024" s="68"/>
      <c r="AW1024" s="68"/>
      <c r="AX1024" s="1032" t="s">
        <v>2604</v>
      </c>
      <c r="AY1024" s="201">
        <f>IF(SUM(AY1013:AY1023)&lt;=0.2,SUM(AY1013:AY1023),0.2)</f>
        <v>0</v>
      </c>
    </row>
    <row r="1025" spans="1:57" ht="12.95" customHeight="1">
      <c r="A1025" s="14"/>
      <c r="B1025" s="79"/>
      <c r="C1025" s="80" t="s">
        <v>228</v>
      </c>
      <c r="D1025" s="1495" t="s">
        <v>1293</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668</v>
      </c>
      <c r="AH1025" s="1504"/>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8" t="s">
        <v>1689</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233</v>
      </c>
      <c r="D1029" s="1505" t="s">
        <v>1294</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668</v>
      </c>
      <c r="AH1029" s="1504"/>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8" t="s">
        <v>1295</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686</v>
      </c>
      <c r="D1032" s="1495" t="s">
        <v>1685</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668</v>
      </c>
      <c r="AH1032" s="1504"/>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7"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686</v>
      </c>
      <c r="D1036" s="1505" t="s">
        <v>1687</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668</v>
      </c>
      <c r="AH1036" s="1584"/>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7"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0.24786324786324787</v>
      </c>
      <c r="BB1039" s="3" t="s">
        <v>2491</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495" t="s">
        <v>1296</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668</v>
      </c>
      <c r="AH1041" s="1504"/>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2489</v>
      </c>
    </row>
    <row r="1042" spans="1:56" ht="12.95" customHeight="1">
      <c r="A1042" s="14"/>
      <c r="B1042" s="73"/>
      <c r="C1042" s="74"/>
      <c r="D1042" s="1508" t="s">
        <v>2143</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2490</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1683</v>
      </c>
      <c r="D1045" s="1505" t="s">
        <v>1863</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2">
        <f>IF((X1048=0),0,AY1005*AJ992)</f>
        <v>14772381.6</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508" t="s">
        <v>1298</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14300245.949999999</v>
      </c>
      <c r="BA1046" s="1182">
        <f>IF(BA1040,20%,15%)</f>
        <v>0.15</v>
      </c>
      <c r="BB1046" s="3" t="s">
        <v>2477</v>
      </c>
      <c r="BC1046" s="3" t="s">
        <v>2478</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571">
        <f>AY1003</f>
        <v>234</v>
      </c>
      <c r="J1048" s="1572"/>
      <c r="K1048" s="7"/>
      <c r="L1048" s="133"/>
      <c r="M1048" s="133"/>
      <c r="N1048" s="133"/>
      <c r="O1048" s="133"/>
      <c r="P1048" s="133"/>
      <c r="Q1048" s="133"/>
      <c r="R1048" s="133"/>
      <c r="S1048" s="133"/>
      <c r="T1048" s="133"/>
      <c r="U1048" s="133"/>
      <c r="V1048" s="134" t="s">
        <v>972</v>
      </c>
      <c r="W1048" s="48"/>
      <c r="X1048" s="1569">
        <f>CI753</f>
        <v>29</v>
      </c>
      <c r="Y1048" s="1570"/>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2477</v>
      </c>
      <c r="BC1048" s="3" t="s">
        <v>2480</v>
      </c>
      <c r="BD1048" s="3"/>
    </row>
    <row r="1049" spans="1:56" ht="12.95" customHeight="1">
      <c r="A1049" s="14"/>
      <c r="B1049" s="79"/>
      <c r="C1049" s="131" t="s">
        <v>1684</v>
      </c>
      <c r="D1049" s="1495" t="s">
        <v>2169</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2">
        <f>IF((X1052=0),0,(2*AY1006)*AJ992)</f>
        <v>29544763.199999999</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508" t="s">
        <v>1297</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1">
        <f>AY1003</f>
        <v>234</v>
      </c>
      <c r="J1052" s="1572"/>
      <c r="K1052" s="14"/>
      <c r="L1052" s="133"/>
      <c r="M1052" s="133"/>
      <c r="N1052" s="133"/>
      <c r="O1052" s="133"/>
      <c r="P1052" s="133"/>
      <c r="Q1052" s="133"/>
      <c r="R1052" s="133"/>
      <c r="S1052" s="133"/>
      <c r="T1052" s="133"/>
      <c r="U1052" s="133"/>
      <c r="V1052" s="134" t="s">
        <v>973</v>
      </c>
      <c r="X1052" s="1569">
        <f>CM753</f>
        <v>29</v>
      </c>
      <c r="Y1052" s="1570"/>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167420324.79999998</v>
      </c>
      <c r="AK1053" s="1581"/>
      <c r="AL1053" s="1581"/>
      <c r="AM1053" s="1581"/>
      <c r="AN1053" s="1581"/>
      <c r="AO1053" s="1581"/>
      <c r="AP1053" s="1581"/>
      <c r="AQ1053" s="1582"/>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109635218</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14300245.949999999</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0.7947396078639074</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14300245</v>
      </c>
      <c r="BB1058" s="3" t="s">
        <v>2492</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11800245</v>
      </c>
      <c r="BB1059" s="3" t="s">
        <v>2493</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2" t="s">
        <v>793</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590</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2137</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58" t="s">
        <v>620</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2)Citibank, N.A.</v>
      </c>
      <c r="H2" s="139" t="str">
        <f>Application!B629&amp;Application!C629</f>
        <v>3)Jefferies LLC</v>
      </c>
      <c r="I2" s="139" t="str">
        <f>Application!B630&amp;Application!C630</f>
        <v>4)Deferred Developer Fee</v>
      </c>
      <c r="J2" s="139" t="str">
        <f>Application!B631&amp;Application!C631</f>
        <v>5)GP Capital Contribution</v>
      </c>
      <c r="K2" s="139" t="str">
        <f>Application!B632&amp;Application!C632</f>
        <v>6)National Equity Fund, Inc - Solar ITC</v>
      </c>
      <c r="L2" s="139" t="str">
        <f>Application!B633&amp;Application!C633</f>
        <v>7)Cashflow From Operations</v>
      </c>
      <c r="M2" s="139" t="str">
        <f>Application!B634&amp;Application!C634</f>
        <v>8)Short-Term Bond Reinvestment Proceeds</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6065000</v>
      </c>
      <c r="C4" s="147">
        <v>6065000</v>
      </c>
      <c r="D4" s="147"/>
      <c r="E4" s="147">
        <v>6065000</v>
      </c>
      <c r="F4" s="147"/>
      <c r="G4" s="147"/>
      <c r="H4" s="147"/>
      <c r="I4" s="147"/>
      <c r="J4" s="147"/>
      <c r="K4" s="147"/>
      <c r="L4" s="147"/>
      <c r="M4" s="147"/>
      <c r="N4" s="147"/>
      <c r="O4" s="147"/>
      <c r="P4" s="147"/>
      <c r="Q4" s="147"/>
      <c r="R4" s="516">
        <f>SUM(E4:Q4)</f>
        <v>6065000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6065000</v>
      </c>
      <c r="C8" s="146">
        <f t="shared" ref="C8:Q8" si="0">SUM(C4:C7)</f>
        <v>6065000</v>
      </c>
      <c r="D8" s="146">
        <f t="shared" si="0"/>
        <v>0</v>
      </c>
      <c r="E8" s="146">
        <f t="shared" si="0"/>
        <v>6065000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6065000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6065000</v>
      </c>
      <c r="C12" s="146">
        <f t="shared" si="2"/>
        <v>6065000</v>
      </c>
      <c r="D12" s="146">
        <f t="shared" si="2"/>
        <v>0</v>
      </c>
      <c r="E12" s="146">
        <f t="shared" si="2"/>
        <v>6065000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6065000</v>
      </c>
      <c r="S12" s="148"/>
      <c r="T12" s="148"/>
      <c r="U12" s="143"/>
    </row>
    <row r="13" spans="1:21" s="144" customFormat="1">
      <c r="A13" s="287" t="s">
        <v>901</v>
      </c>
      <c r="B13" s="146">
        <f>SUM(C13+D13)</f>
        <v>643072</v>
      </c>
      <c r="C13" s="147">
        <v>643072</v>
      </c>
      <c r="D13" s="147"/>
      <c r="E13" s="147"/>
      <c r="F13" s="147"/>
      <c r="G13" s="147"/>
      <c r="H13" s="147">
        <v>643072</v>
      </c>
      <c r="I13" s="147"/>
      <c r="J13" s="147"/>
      <c r="K13" s="147"/>
      <c r="L13" s="147"/>
      <c r="M13" s="147"/>
      <c r="N13" s="147"/>
      <c r="O13" s="147"/>
      <c r="P13" s="147"/>
      <c r="Q13" s="147"/>
      <c r="R13" s="516">
        <f>SUM(E13:Q13)</f>
        <v>643072</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SUM(C18+D18)</f>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SUM(C19+D19)</f>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SUM(C20+D20)</f>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SUM(C21+D21)</f>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SUM(C29+D29)</f>
        <v>0</v>
      </c>
      <c r="C29" s="147"/>
      <c r="D29" s="147"/>
      <c r="E29" s="147"/>
      <c r="F29" s="147"/>
      <c r="G29" s="147"/>
      <c r="H29" s="147"/>
      <c r="I29" s="147"/>
      <c r="J29" s="147"/>
      <c r="K29" s="147"/>
      <c r="L29" s="147"/>
      <c r="M29" s="147"/>
      <c r="N29" s="147"/>
      <c r="O29" s="147"/>
      <c r="P29" s="147"/>
      <c r="Q29" s="147"/>
      <c r="R29" s="516">
        <f t="shared" ref="R29:R37" si="6">SUM(E29:Q29)</f>
        <v>0</v>
      </c>
      <c r="S29" s="147"/>
      <c r="T29" s="147"/>
      <c r="U29" s="143"/>
    </row>
    <row r="30" spans="1:21" s="144" customFormat="1">
      <c r="A30" s="145" t="s">
        <v>598</v>
      </c>
      <c r="B30" s="146">
        <f>SUM(C30+D30)</f>
        <v>59158986</v>
      </c>
      <c r="C30" s="147">
        <v>59158986</v>
      </c>
      <c r="D30" s="147"/>
      <c r="E30" s="147">
        <v>1312058</v>
      </c>
      <c r="F30" s="147">
        <v>32000000</v>
      </c>
      <c r="G30" s="147">
        <v>18490000</v>
      </c>
      <c r="H30" s="147">
        <v>7356928</v>
      </c>
      <c r="I30" s="147"/>
      <c r="J30" s="147"/>
      <c r="K30" s="147"/>
      <c r="L30" s="147"/>
      <c r="M30" s="147"/>
      <c r="N30" s="147"/>
      <c r="O30" s="147"/>
      <c r="P30" s="147"/>
      <c r="Q30" s="147"/>
      <c r="R30" s="516">
        <f t="shared" si="6"/>
        <v>59158986</v>
      </c>
      <c r="S30" s="147">
        <v>57853786</v>
      </c>
      <c r="T30" s="147"/>
      <c r="U30" s="143"/>
    </row>
    <row r="31" spans="1:21" s="144" customFormat="1">
      <c r="A31" s="145" t="s">
        <v>599</v>
      </c>
      <c r="B31" s="146">
        <f>SUM(C31+D31)</f>
        <v>2654000</v>
      </c>
      <c r="C31" s="147">
        <v>2654000</v>
      </c>
      <c r="D31" s="147"/>
      <c r="E31" s="147">
        <v>2654000</v>
      </c>
      <c r="F31" s="147"/>
      <c r="G31" s="147"/>
      <c r="H31" s="147"/>
      <c r="I31" s="147"/>
      <c r="J31" s="147"/>
      <c r="K31" s="147"/>
      <c r="L31" s="147"/>
      <c r="M31" s="147"/>
      <c r="N31" s="147"/>
      <c r="O31" s="147"/>
      <c r="P31" s="147"/>
      <c r="Q31" s="147"/>
      <c r="R31" s="516">
        <f t="shared" si="6"/>
        <v>2654000</v>
      </c>
      <c r="S31" s="147">
        <v>2654000</v>
      </c>
      <c r="T31" s="147"/>
      <c r="U31" s="143"/>
    </row>
    <row r="32" spans="1:21" s="144" customFormat="1">
      <c r="A32" s="145" t="s">
        <v>137</v>
      </c>
      <c r="B32" s="146">
        <f>SUM(C32+D32)</f>
        <v>1221601</v>
      </c>
      <c r="C32" s="147">
        <v>1221601</v>
      </c>
      <c r="D32" s="147"/>
      <c r="E32" s="147">
        <v>1221601</v>
      </c>
      <c r="F32" s="147"/>
      <c r="G32" s="147"/>
      <c r="H32" s="147"/>
      <c r="I32" s="147"/>
      <c r="J32" s="147"/>
      <c r="K32" s="147"/>
      <c r="L32" s="147"/>
      <c r="M32" s="147"/>
      <c r="N32" s="147"/>
      <c r="O32" s="147"/>
      <c r="P32" s="147"/>
      <c r="Q32" s="147"/>
      <c r="R32" s="516">
        <f t="shared" si="6"/>
        <v>1221601</v>
      </c>
      <c r="S32" s="147">
        <v>1221601</v>
      </c>
      <c r="T32" s="147"/>
      <c r="U32" s="143"/>
    </row>
    <row r="33" spans="1:21" s="144" customFormat="1">
      <c r="A33" s="145" t="s">
        <v>138</v>
      </c>
      <c r="B33" s="146">
        <f t="shared" ref="B33:B38" si="7">SUM(C33+D33)</f>
        <v>1221601</v>
      </c>
      <c r="C33" s="147">
        <v>1221601</v>
      </c>
      <c r="D33" s="147"/>
      <c r="E33" s="147">
        <v>1221601</v>
      </c>
      <c r="F33" s="147"/>
      <c r="G33" s="147"/>
      <c r="H33" s="147"/>
      <c r="I33" s="147"/>
      <c r="J33" s="147"/>
      <c r="K33" s="147"/>
      <c r="L33" s="147"/>
      <c r="M33" s="147"/>
      <c r="N33" s="147"/>
      <c r="O33" s="147"/>
      <c r="P33" s="147"/>
      <c r="Q33" s="147"/>
      <c r="R33" s="516">
        <f t="shared" si="6"/>
        <v>1221601</v>
      </c>
      <c r="S33" s="147">
        <v>1221601</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6"/>
        <v>0</v>
      </c>
      <c r="S34" s="147"/>
      <c r="T34" s="147"/>
      <c r="U34" s="143"/>
    </row>
    <row r="35" spans="1:21" s="144" customFormat="1">
      <c r="A35" s="145" t="s">
        <v>140</v>
      </c>
      <c r="B35" s="146">
        <f t="shared" si="7"/>
        <v>481921</v>
      </c>
      <c r="C35" s="147">
        <v>481921</v>
      </c>
      <c r="D35" s="147"/>
      <c r="E35" s="147">
        <v>481821</v>
      </c>
      <c r="F35" s="147"/>
      <c r="G35" s="147"/>
      <c r="H35" s="147"/>
      <c r="I35" s="147"/>
      <c r="J35" s="147">
        <v>100</v>
      </c>
      <c r="K35" s="147"/>
      <c r="L35" s="147"/>
      <c r="M35" s="147"/>
      <c r="N35" s="147"/>
      <c r="O35" s="147"/>
      <c r="P35" s="147"/>
      <c r="Q35" s="147"/>
      <c r="R35" s="516">
        <f t="shared" si="6"/>
        <v>481921</v>
      </c>
      <c r="S35" s="147">
        <v>481921</v>
      </c>
      <c r="T35" s="147"/>
      <c r="U35" s="143"/>
    </row>
    <row r="36" spans="1:21" s="144" customFormat="1">
      <c r="A36" s="283" t="s">
        <v>1639</v>
      </c>
      <c r="B36" s="146">
        <f t="shared" si="7"/>
        <v>0</v>
      </c>
      <c r="C36" s="147"/>
      <c r="D36" s="147"/>
      <c r="E36" s="147"/>
      <c r="F36" s="147"/>
      <c r="G36" s="147"/>
      <c r="H36" s="147"/>
      <c r="I36" s="147"/>
      <c r="J36" s="147"/>
      <c r="K36" s="147"/>
      <c r="L36" s="147"/>
      <c r="M36" s="147"/>
      <c r="N36" s="147"/>
      <c r="O36" s="147"/>
      <c r="P36" s="147"/>
      <c r="Q36" s="147"/>
      <c r="R36" s="516">
        <f t="shared" si="6"/>
        <v>0</v>
      </c>
      <c r="S36" s="147"/>
      <c r="T36" s="147"/>
      <c r="U36" s="143"/>
    </row>
    <row r="37" spans="1:21" s="144" customFormat="1">
      <c r="A37" s="1149" t="s">
        <v>2743</v>
      </c>
      <c r="B37" s="146">
        <f t="shared" si="7"/>
        <v>2500000</v>
      </c>
      <c r="C37" s="147">
        <v>2500000</v>
      </c>
      <c r="D37" s="147"/>
      <c r="E37" s="147">
        <v>1150000</v>
      </c>
      <c r="F37" s="147"/>
      <c r="G37" s="147"/>
      <c r="H37" s="147"/>
      <c r="I37" s="147"/>
      <c r="J37" s="147"/>
      <c r="K37" s="147">
        <v>1350000</v>
      </c>
      <c r="L37" s="147"/>
      <c r="M37" s="147"/>
      <c r="N37" s="147"/>
      <c r="O37" s="147"/>
      <c r="P37" s="147"/>
      <c r="Q37" s="147"/>
      <c r="R37" s="516">
        <f t="shared" si="6"/>
        <v>2500000</v>
      </c>
      <c r="S37" s="147">
        <v>2500000</v>
      </c>
      <c r="T37" s="147"/>
      <c r="U37" s="143"/>
    </row>
    <row r="38" spans="1:21" s="144" customFormat="1">
      <c r="A38" s="149" t="s">
        <v>143</v>
      </c>
      <c r="B38" s="146">
        <f t="shared" si="7"/>
        <v>67238109</v>
      </c>
      <c r="C38" s="146">
        <f>SUM(C29:C37)</f>
        <v>67238109</v>
      </c>
      <c r="D38" s="146">
        <f t="shared" ref="D38:Q38" si="8">SUM(D29:D37)</f>
        <v>0</v>
      </c>
      <c r="E38" s="146">
        <f t="shared" si="8"/>
        <v>8041081</v>
      </c>
      <c r="F38" s="146">
        <f t="shared" si="8"/>
        <v>32000000</v>
      </c>
      <c r="G38" s="146">
        <f t="shared" si="8"/>
        <v>18490000</v>
      </c>
      <c r="H38" s="146">
        <f t="shared" si="8"/>
        <v>7356928</v>
      </c>
      <c r="I38" s="146">
        <f t="shared" si="8"/>
        <v>0</v>
      </c>
      <c r="J38" s="146">
        <f t="shared" si="8"/>
        <v>100</v>
      </c>
      <c r="K38" s="146">
        <f t="shared" si="8"/>
        <v>1350000</v>
      </c>
      <c r="L38" s="146">
        <f t="shared" si="8"/>
        <v>0</v>
      </c>
      <c r="M38" s="146">
        <f t="shared" si="8"/>
        <v>0</v>
      </c>
      <c r="N38" s="146">
        <f t="shared" si="8"/>
        <v>0</v>
      </c>
      <c r="O38" s="146">
        <f t="shared" si="8"/>
        <v>0</v>
      </c>
      <c r="P38" s="146">
        <f t="shared" si="8"/>
        <v>0</v>
      </c>
      <c r="Q38" s="146">
        <f t="shared" si="8"/>
        <v>0</v>
      </c>
      <c r="R38" s="342">
        <f>SUM(R29:R37)</f>
        <v>67238109</v>
      </c>
      <c r="S38" s="150">
        <f>SUM(S29:S37)</f>
        <v>65932909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938550</v>
      </c>
      <c r="C40" s="147">
        <v>938550</v>
      </c>
      <c r="D40" s="147"/>
      <c r="E40" s="147">
        <v>938550</v>
      </c>
      <c r="F40" s="147"/>
      <c r="G40" s="147"/>
      <c r="H40" s="147"/>
      <c r="I40" s="147"/>
      <c r="J40" s="147"/>
      <c r="K40" s="147"/>
      <c r="L40" s="147"/>
      <c r="M40" s="147"/>
      <c r="N40" s="147"/>
      <c r="O40" s="147"/>
      <c r="P40" s="147"/>
      <c r="Q40" s="147"/>
      <c r="R40" s="516">
        <f>SUM(E40:Q40)</f>
        <v>938550</v>
      </c>
      <c r="S40" s="147">
        <v>938550</v>
      </c>
      <c r="T40" s="147"/>
      <c r="U40" s="143"/>
    </row>
    <row r="41" spans="1:21" s="144" customFormat="1">
      <c r="A41" s="145" t="s">
        <v>146</v>
      </c>
      <c r="B41" s="146">
        <f>SUM(C41+D41)</f>
        <v>75000</v>
      </c>
      <c r="C41" s="147">
        <v>75000</v>
      </c>
      <c r="D41" s="147"/>
      <c r="E41" s="147">
        <v>75000</v>
      </c>
      <c r="F41" s="147"/>
      <c r="G41" s="147"/>
      <c r="H41" s="147"/>
      <c r="I41" s="147"/>
      <c r="J41" s="147"/>
      <c r="K41" s="147"/>
      <c r="L41" s="147"/>
      <c r="M41" s="147"/>
      <c r="N41" s="147"/>
      <c r="O41" s="147"/>
      <c r="P41" s="147"/>
      <c r="Q41" s="147"/>
      <c r="R41" s="516">
        <f>SUM(E41:Q41)</f>
        <v>75000</v>
      </c>
      <c r="S41" s="147">
        <v>75000</v>
      </c>
      <c r="T41" s="147"/>
      <c r="U41" s="143"/>
    </row>
    <row r="42" spans="1:21" s="144" customFormat="1">
      <c r="A42" s="149" t="s">
        <v>147</v>
      </c>
      <c r="B42" s="146">
        <f>SUM(C42:D42)</f>
        <v>1013550</v>
      </c>
      <c r="C42" s="146">
        <f>SUM(C39:C41)</f>
        <v>1013550</v>
      </c>
      <c r="D42" s="146">
        <f>SUM(D39:D41)</f>
        <v>0</v>
      </c>
      <c r="E42" s="146">
        <f t="shared" ref="E42:T42" si="9">SUM(E40:E41)</f>
        <v>1013550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1013550</v>
      </c>
      <c r="S42" s="150">
        <f t="shared" si="9"/>
        <v>1013550</v>
      </c>
      <c r="T42" s="150">
        <f t="shared" si="9"/>
        <v>0</v>
      </c>
      <c r="U42" s="143"/>
    </row>
    <row r="43" spans="1:21" s="144" customFormat="1">
      <c r="A43" s="149" t="s">
        <v>148</v>
      </c>
      <c r="B43" s="146">
        <f>SUM(C43:D43)</f>
        <v>475000</v>
      </c>
      <c r="C43" s="147">
        <v>475000</v>
      </c>
      <c r="D43" s="147"/>
      <c r="E43" s="147">
        <v>475000</v>
      </c>
      <c r="F43" s="147"/>
      <c r="G43" s="147"/>
      <c r="H43" s="147"/>
      <c r="I43" s="147"/>
      <c r="J43" s="147"/>
      <c r="K43" s="147"/>
      <c r="L43" s="147"/>
      <c r="M43" s="147"/>
      <c r="N43" s="147"/>
      <c r="O43" s="147"/>
      <c r="P43" s="147"/>
      <c r="Q43" s="147"/>
      <c r="R43" s="516">
        <f>SUM(E43:Q43)</f>
        <v>475000</v>
      </c>
      <c r="S43" s="147">
        <v>475000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10328369</v>
      </c>
      <c r="C45" s="147">
        <v>10328369</v>
      </c>
      <c r="D45" s="147"/>
      <c r="E45" s="147">
        <v>9742769</v>
      </c>
      <c r="F45" s="147"/>
      <c r="G45" s="147"/>
      <c r="H45" s="147"/>
      <c r="I45" s="147"/>
      <c r="J45" s="147"/>
      <c r="K45" s="147"/>
      <c r="L45" s="147"/>
      <c r="M45" s="147">
        <v>585600</v>
      </c>
      <c r="N45" s="147"/>
      <c r="O45" s="147"/>
      <c r="P45" s="147"/>
      <c r="Q45" s="147"/>
      <c r="R45" s="516">
        <f t="shared" ref="R45:R53" si="11">SUM(E45:Q45)</f>
        <v>10328369</v>
      </c>
      <c r="S45" s="147">
        <v>6545833</v>
      </c>
      <c r="T45" s="147"/>
      <c r="U45" s="143"/>
    </row>
    <row r="46" spans="1:21" s="144" customFormat="1">
      <c r="A46" s="145" t="s">
        <v>151</v>
      </c>
      <c r="B46" s="146">
        <f t="shared" si="10"/>
        <v>922105</v>
      </c>
      <c r="C46" s="147">
        <v>922105</v>
      </c>
      <c r="D46" s="147"/>
      <c r="E46" s="147">
        <v>922105</v>
      </c>
      <c r="F46" s="147"/>
      <c r="G46" s="147"/>
      <c r="H46" s="147"/>
      <c r="I46" s="147"/>
      <c r="J46" s="147"/>
      <c r="K46" s="147"/>
      <c r="L46" s="147"/>
      <c r="M46" s="147"/>
      <c r="N46" s="147"/>
      <c r="O46" s="147"/>
      <c r="P46" s="147"/>
      <c r="Q46" s="147"/>
      <c r="R46" s="516">
        <f t="shared" si="11"/>
        <v>922105</v>
      </c>
      <c r="S46" s="147">
        <v>922105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3091200</v>
      </c>
      <c r="C48" s="147">
        <v>3091200</v>
      </c>
      <c r="D48" s="147"/>
      <c r="E48" s="147"/>
      <c r="F48" s="147"/>
      <c r="G48" s="147"/>
      <c r="H48" s="147"/>
      <c r="I48" s="147"/>
      <c r="J48" s="147"/>
      <c r="K48" s="147"/>
      <c r="L48" s="147"/>
      <c r="M48" s="147">
        <v>3091200</v>
      </c>
      <c r="N48" s="147"/>
      <c r="O48" s="147"/>
      <c r="P48" s="147"/>
      <c r="Q48" s="147"/>
      <c r="R48" s="516">
        <f t="shared" si="11"/>
        <v>3091200</v>
      </c>
      <c r="S48" s="147">
        <v>1889067</v>
      </c>
      <c r="T48" s="147"/>
      <c r="U48" s="143"/>
    </row>
    <row r="49" spans="1:21" s="144" customFormat="1">
      <c r="A49" s="145" t="s">
        <v>57</v>
      </c>
      <c r="B49" s="146">
        <f t="shared" si="10"/>
        <v>201500</v>
      </c>
      <c r="C49" s="147">
        <v>201500</v>
      </c>
      <c r="D49" s="147"/>
      <c r="E49" s="147">
        <v>201500</v>
      </c>
      <c r="F49" s="147"/>
      <c r="G49" s="147"/>
      <c r="H49" s="147"/>
      <c r="I49" s="147"/>
      <c r="J49" s="147"/>
      <c r="K49" s="147"/>
      <c r="L49" s="147"/>
      <c r="M49" s="147"/>
      <c r="N49" s="147"/>
      <c r="O49" s="147"/>
      <c r="P49" s="147"/>
      <c r="Q49" s="147"/>
      <c r="R49" s="516">
        <f t="shared" si="11"/>
        <v>201500</v>
      </c>
      <c r="S49" s="147">
        <v>11941</v>
      </c>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2744</v>
      </c>
      <c r="B53" s="146">
        <f t="shared" si="10"/>
        <v>417665</v>
      </c>
      <c r="C53" s="147">
        <v>417665</v>
      </c>
      <c r="D53" s="147"/>
      <c r="E53" s="147">
        <v>417665</v>
      </c>
      <c r="F53" s="147"/>
      <c r="G53" s="147"/>
      <c r="H53" s="147"/>
      <c r="I53" s="147"/>
      <c r="J53" s="147"/>
      <c r="K53" s="147"/>
      <c r="L53" s="147"/>
      <c r="M53" s="147"/>
      <c r="N53" s="147"/>
      <c r="O53" s="147"/>
      <c r="P53" s="147"/>
      <c r="Q53" s="147"/>
      <c r="R53" s="516">
        <f t="shared" si="11"/>
        <v>417665</v>
      </c>
      <c r="S53" s="147">
        <v>417665</v>
      </c>
      <c r="T53" s="147"/>
      <c r="U53" s="143"/>
    </row>
    <row r="54" spans="1:21" s="153" customFormat="1">
      <c r="A54" s="149" t="s">
        <v>157</v>
      </c>
      <c r="B54" s="150">
        <f>SUM(C54:D54)</f>
        <v>14960839</v>
      </c>
      <c r="C54" s="150">
        <f t="shared" ref="C54:T54" si="12">SUM(C45:C53)</f>
        <v>14960839</v>
      </c>
      <c r="D54" s="150">
        <f t="shared" si="12"/>
        <v>0</v>
      </c>
      <c r="E54" s="150">
        <f t="shared" si="12"/>
        <v>11284039</v>
      </c>
      <c r="F54" s="150">
        <f t="shared" si="12"/>
        <v>0</v>
      </c>
      <c r="G54" s="150">
        <f t="shared" si="12"/>
        <v>0</v>
      </c>
      <c r="H54" s="150">
        <f t="shared" si="12"/>
        <v>0</v>
      </c>
      <c r="I54" s="150">
        <f t="shared" si="12"/>
        <v>0</v>
      </c>
      <c r="J54" s="150">
        <f t="shared" si="12"/>
        <v>0</v>
      </c>
      <c r="K54" s="150">
        <f t="shared" si="12"/>
        <v>0</v>
      </c>
      <c r="L54" s="150">
        <f t="shared" si="12"/>
        <v>0</v>
      </c>
      <c r="M54" s="150">
        <f t="shared" si="12"/>
        <v>3676800</v>
      </c>
      <c r="N54" s="150">
        <f t="shared" si="12"/>
        <v>0</v>
      </c>
      <c r="O54" s="150">
        <f t="shared" si="12"/>
        <v>0</v>
      </c>
      <c r="P54" s="150">
        <f t="shared" si="12"/>
        <v>0</v>
      </c>
      <c r="Q54" s="150">
        <f t="shared" si="12"/>
        <v>0</v>
      </c>
      <c r="R54" s="342">
        <f t="shared" si="12"/>
        <v>14960839</v>
      </c>
      <c r="S54" s="150">
        <f t="shared" si="12"/>
        <v>9786611</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25000</v>
      </c>
      <c r="C57" s="190">
        <v>25000</v>
      </c>
      <c r="D57" s="190"/>
      <c r="E57" s="190">
        <v>25000</v>
      </c>
      <c r="F57" s="190"/>
      <c r="G57" s="190"/>
      <c r="H57" s="190"/>
      <c r="I57" s="190"/>
      <c r="J57" s="190"/>
      <c r="K57" s="190"/>
      <c r="L57" s="190"/>
      <c r="M57" s="190"/>
      <c r="N57" s="190"/>
      <c r="O57" s="190"/>
      <c r="P57" s="190"/>
      <c r="Q57" s="190"/>
      <c r="R57" s="516">
        <f t="shared" si="14"/>
        <v>25000</v>
      </c>
      <c r="S57" s="194"/>
      <c r="T57" s="194"/>
      <c r="U57" s="191"/>
    </row>
    <row r="58" spans="1:21" s="144" customFormat="1">
      <c r="A58" s="145" t="s">
        <v>156</v>
      </c>
      <c r="B58" s="146">
        <f t="shared" si="13"/>
        <v>187000</v>
      </c>
      <c r="C58" s="147">
        <v>187000</v>
      </c>
      <c r="D58" s="147"/>
      <c r="E58" s="147">
        <v>187000</v>
      </c>
      <c r="F58" s="147"/>
      <c r="G58" s="147"/>
      <c r="H58" s="147"/>
      <c r="I58" s="147"/>
      <c r="J58" s="147"/>
      <c r="K58" s="147"/>
      <c r="L58" s="147"/>
      <c r="M58" s="147"/>
      <c r="N58" s="147"/>
      <c r="O58" s="147"/>
      <c r="P58" s="147"/>
      <c r="Q58" s="147"/>
      <c r="R58" s="516">
        <f t="shared" si="14"/>
        <v>187000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212000</v>
      </c>
      <c r="C62" s="146">
        <f t="shared" ref="C62:R62" si="15">SUM(C56:C61)</f>
        <v>212000</v>
      </c>
      <c r="D62" s="146">
        <f t="shared" si="15"/>
        <v>0</v>
      </c>
      <c r="E62" s="146">
        <f t="shared" si="15"/>
        <v>212000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212000</v>
      </c>
      <c r="S62" s="148"/>
      <c r="T62" s="148"/>
      <c r="U62" s="143"/>
    </row>
    <row r="63" spans="1:21" s="144" customFormat="1">
      <c r="A63" s="154" t="s">
        <v>301</v>
      </c>
      <c r="B63" s="146">
        <f t="shared" ref="B63:R63" si="16">SUM(B8+B11+B13+B14+B15+B26+B27+B38+B42+B43+B54+B62)</f>
        <v>90607570</v>
      </c>
      <c r="C63" s="146">
        <f t="shared" si="16"/>
        <v>90607570</v>
      </c>
      <c r="D63" s="146">
        <f t="shared" si="16"/>
        <v>0</v>
      </c>
      <c r="E63" s="146">
        <f t="shared" si="16"/>
        <v>27090670</v>
      </c>
      <c r="F63" s="146">
        <f t="shared" si="16"/>
        <v>32000000</v>
      </c>
      <c r="G63" s="146">
        <f t="shared" si="16"/>
        <v>18490000</v>
      </c>
      <c r="H63" s="146">
        <f t="shared" si="16"/>
        <v>8000000</v>
      </c>
      <c r="I63" s="146">
        <f t="shared" si="16"/>
        <v>0</v>
      </c>
      <c r="J63" s="146">
        <f t="shared" si="16"/>
        <v>100</v>
      </c>
      <c r="K63" s="146">
        <f t="shared" si="16"/>
        <v>1350000</v>
      </c>
      <c r="L63" s="146">
        <f t="shared" si="16"/>
        <v>0</v>
      </c>
      <c r="M63" s="146">
        <f t="shared" si="16"/>
        <v>3676800</v>
      </c>
      <c r="N63" s="146">
        <f t="shared" si="16"/>
        <v>0</v>
      </c>
      <c r="O63" s="146">
        <f t="shared" si="16"/>
        <v>0</v>
      </c>
      <c r="P63" s="146">
        <f t="shared" si="16"/>
        <v>0</v>
      </c>
      <c r="Q63" s="146">
        <f t="shared" si="16"/>
        <v>0</v>
      </c>
      <c r="R63" s="342">
        <f t="shared" si="16"/>
        <v>90607570</v>
      </c>
      <c r="S63" s="146">
        <f>SUM(S10+S13+S14+S15+S26+S27+S38+S42+S43+S54)</f>
        <v>77208070</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455000</v>
      </c>
      <c r="C65" s="147">
        <v>455000</v>
      </c>
      <c r="D65" s="147"/>
      <c r="E65" s="147">
        <v>455000</v>
      </c>
      <c r="F65" s="147"/>
      <c r="G65" s="147"/>
      <c r="H65" s="147"/>
      <c r="I65" s="147"/>
      <c r="J65" s="147"/>
      <c r="K65" s="147"/>
      <c r="L65" s="147"/>
      <c r="M65" s="147"/>
      <c r="N65" s="147"/>
      <c r="O65" s="147"/>
      <c r="P65" s="147"/>
      <c r="Q65" s="147"/>
      <c r="R65" s="516">
        <f>SUM(E65:Q65)</f>
        <v>455000</v>
      </c>
      <c r="S65" s="147">
        <v>187059</v>
      </c>
      <c r="T65" s="147"/>
      <c r="U65" s="143"/>
    </row>
    <row r="66" spans="1:21" s="144" customFormat="1" ht="24" customHeight="1">
      <c r="A66" s="283" t="s">
        <v>1640</v>
      </c>
      <c r="B66" s="146">
        <f>SUM(C66+D66)</f>
        <v>315000</v>
      </c>
      <c r="C66" s="147">
        <v>315000</v>
      </c>
      <c r="D66" s="147"/>
      <c r="E66" s="147">
        <v>315000</v>
      </c>
      <c r="F66" s="147"/>
      <c r="G66" s="147"/>
      <c r="H66" s="147"/>
      <c r="I66" s="147"/>
      <c r="J66" s="147"/>
      <c r="K66" s="147"/>
      <c r="L66" s="147"/>
      <c r="M66" s="147"/>
      <c r="N66" s="147"/>
      <c r="O66" s="147"/>
      <c r="P66" s="147"/>
      <c r="Q66" s="147"/>
      <c r="R66" s="516">
        <f>SUM(E66:Q66)</f>
        <v>315000</v>
      </c>
      <c r="S66" s="147">
        <v>315000</v>
      </c>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1644</v>
      </c>
      <c r="B70" s="146">
        <f>SUM(C70:D70)</f>
        <v>770000</v>
      </c>
      <c r="C70" s="146">
        <f>SUM(C65:C69)</f>
        <v>770000</v>
      </c>
      <c r="D70" s="146">
        <f>SUM(D65:D69)</f>
        <v>0</v>
      </c>
      <c r="E70" s="146">
        <f t="shared" ref="E70:T70" si="17">SUM(E65:E69)</f>
        <v>770000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770000</v>
      </c>
      <c r="S70" s="150">
        <f t="shared" si="17"/>
        <v>502059</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897847</v>
      </c>
      <c r="C75" s="147">
        <v>897847</v>
      </c>
      <c r="D75" s="147"/>
      <c r="E75" s="147"/>
      <c r="F75" s="147"/>
      <c r="G75" s="147"/>
      <c r="H75" s="147"/>
      <c r="I75" s="147"/>
      <c r="J75" s="147"/>
      <c r="K75" s="147"/>
      <c r="L75" s="147">
        <v>897847</v>
      </c>
      <c r="M75" s="147"/>
      <c r="N75" s="147"/>
      <c r="O75" s="147"/>
      <c r="P75" s="147"/>
      <c r="Q75" s="147"/>
      <c r="R75" s="516">
        <f>SUM(E75:Q75)</f>
        <v>897847</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897847</v>
      </c>
      <c r="C77" s="146">
        <f>SUM(C72:C76)</f>
        <v>897847</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897847</v>
      </c>
      <c r="M77" s="146">
        <f t="shared" si="18"/>
        <v>0</v>
      </c>
      <c r="N77" s="146">
        <f t="shared" si="18"/>
        <v>0</v>
      </c>
      <c r="O77" s="146">
        <f t="shared" si="18"/>
        <v>0</v>
      </c>
      <c r="P77" s="146">
        <f t="shared" si="18"/>
        <v>0</v>
      </c>
      <c r="Q77" s="146">
        <f t="shared" si="18"/>
        <v>0</v>
      </c>
      <c r="R77" s="342">
        <f>SUM(R72:R76)</f>
        <v>897847</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3212809</v>
      </c>
      <c r="C79" s="147">
        <v>3212809</v>
      </c>
      <c r="D79" s="147"/>
      <c r="E79" s="147">
        <v>3212809</v>
      </c>
      <c r="F79" s="147"/>
      <c r="G79" s="147"/>
      <c r="H79" s="147"/>
      <c r="I79" s="147"/>
      <c r="J79" s="147"/>
      <c r="K79" s="147"/>
      <c r="L79" s="147"/>
      <c r="M79" s="147"/>
      <c r="N79" s="147"/>
      <c r="O79" s="147"/>
      <c r="P79" s="147"/>
      <c r="Q79" s="147"/>
      <c r="R79" s="516">
        <f>SUM(E79:Q79)</f>
        <v>3212809</v>
      </c>
      <c r="S79" s="147">
        <v>3212809</v>
      </c>
      <c r="T79" s="147"/>
      <c r="U79" s="143"/>
    </row>
    <row r="80" spans="1:21" s="144" customFormat="1">
      <c r="A80" s="283" t="s">
        <v>58</v>
      </c>
      <c r="B80" s="146">
        <f>SUM(C80:D80)</f>
        <v>93000</v>
      </c>
      <c r="C80" s="147">
        <v>93000</v>
      </c>
      <c r="D80" s="147"/>
      <c r="E80" s="147">
        <v>93000</v>
      </c>
      <c r="F80" s="147"/>
      <c r="G80" s="147"/>
      <c r="H80" s="147"/>
      <c r="I80" s="147"/>
      <c r="J80" s="147"/>
      <c r="K80" s="147"/>
      <c r="L80" s="147"/>
      <c r="M80" s="147"/>
      <c r="N80" s="147"/>
      <c r="O80" s="147"/>
      <c r="P80" s="147"/>
      <c r="Q80" s="147"/>
      <c r="R80" s="516">
        <f>SUM(E80:Q80)</f>
        <v>93000</v>
      </c>
      <c r="S80" s="147">
        <v>93000</v>
      </c>
      <c r="T80" s="147"/>
      <c r="U80" s="143"/>
    </row>
    <row r="81" spans="1:21" s="144" customFormat="1">
      <c r="A81" s="149" t="s">
        <v>1208</v>
      </c>
      <c r="B81" s="146">
        <f>SUM(C81:D81)</f>
        <v>3305809</v>
      </c>
      <c r="C81" s="509">
        <f>SUM(C79:C80)</f>
        <v>3305809</v>
      </c>
      <c r="D81" s="509">
        <f t="shared" ref="D81:T81" si="19">SUM(D79:D80)</f>
        <v>0</v>
      </c>
      <c r="E81" s="509">
        <f t="shared" si="19"/>
        <v>3305809</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3305809</v>
      </c>
      <c r="S81" s="509">
        <f t="shared" si="19"/>
        <v>3305809</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20">SUM(C83+D83)</f>
        <v>241310</v>
      </c>
      <c r="C83" s="147">
        <v>241310</v>
      </c>
      <c r="D83" s="147"/>
      <c r="E83" s="147">
        <v>241310</v>
      </c>
      <c r="F83" s="147"/>
      <c r="G83" s="147"/>
      <c r="H83" s="147"/>
      <c r="I83" s="147"/>
      <c r="J83" s="147"/>
      <c r="K83" s="147"/>
      <c r="L83" s="147"/>
      <c r="M83" s="147"/>
      <c r="N83" s="147"/>
      <c r="O83" s="147"/>
      <c r="P83" s="147"/>
      <c r="Q83" s="147"/>
      <c r="R83" s="516">
        <f t="shared" ref="R83:R95" si="21">SUM(E83:Q83)</f>
        <v>241310</v>
      </c>
      <c r="S83" s="148"/>
      <c r="T83" s="148"/>
      <c r="U83" s="143"/>
    </row>
    <row r="84" spans="1:21" s="144" customFormat="1">
      <c r="A84" s="145" t="s">
        <v>766</v>
      </c>
      <c r="B84" s="146">
        <f t="shared" si="20"/>
        <v>98500</v>
      </c>
      <c r="C84" s="147">
        <v>98500</v>
      </c>
      <c r="D84" s="147"/>
      <c r="E84" s="147">
        <v>98500</v>
      </c>
      <c r="F84" s="147"/>
      <c r="G84" s="147"/>
      <c r="H84" s="147"/>
      <c r="I84" s="147"/>
      <c r="J84" s="147"/>
      <c r="K84" s="147"/>
      <c r="L84" s="147"/>
      <c r="M84" s="147"/>
      <c r="N84" s="147"/>
      <c r="O84" s="147"/>
      <c r="P84" s="147"/>
      <c r="Q84" s="147"/>
      <c r="R84" s="516">
        <f t="shared" si="21"/>
        <v>98500</v>
      </c>
      <c r="S84" s="147">
        <v>98500</v>
      </c>
      <c r="T84" s="147"/>
      <c r="U84" s="143"/>
    </row>
    <row r="85" spans="1:21" s="144" customFormat="1">
      <c r="A85" s="145" t="s">
        <v>767</v>
      </c>
      <c r="B85" s="146">
        <f t="shared" si="20"/>
        <v>12590142</v>
      </c>
      <c r="C85" s="147">
        <v>12590142</v>
      </c>
      <c r="D85" s="147"/>
      <c r="E85" s="147">
        <v>12590142</v>
      </c>
      <c r="F85" s="147"/>
      <c r="G85" s="147"/>
      <c r="H85" s="147"/>
      <c r="I85" s="147"/>
      <c r="J85" s="147"/>
      <c r="K85" s="147"/>
      <c r="L85" s="147"/>
      <c r="M85" s="147"/>
      <c r="N85" s="147"/>
      <c r="O85" s="147"/>
      <c r="P85" s="147"/>
      <c r="Q85" s="147"/>
      <c r="R85" s="516">
        <f t="shared" si="21"/>
        <v>12590142</v>
      </c>
      <c r="S85" s="147">
        <v>12590142</v>
      </c>
      <c r="T85" s="147"/>
      <c r="U85" s="143"/>
    </row>
    <row r="86" spans="1:21" s="144" customFormat="1">
      <c r="A86" s="145" t="s">
        <v>768</v>
      </c>
      <c r="B86" s="146">
        <f t="shared" si="20"/>
        <v>300340</v>
      </c>
      <c r="C86" s="147">
        <v>300340</v>
      </c>
      <c r="D86" s="147"/>
      <c r="E86" s="147">
        <v>300340</v>
      </c>
      <c r="F86" s="147"/>
      <c r="G86" s="147"/>
      <c r="H86" s="147"/>
      <c r="I86" s="147"/>
      <c r="J86" s="147"/>
      <c r="K86" s="147"/>
      <c r="L86" s="147"/>
      <c r="M86" s="147"/>
      <c r="N86" s="147"/>
      <c r="O86" s="147"/>
      <c r="P86" s="147"/>
      <c r="Q86" s="147"/>
      <c r="R86" s="516">
        <f t="shared" si="21"/>
        <v>300340</v>
      </c>
      <c r="S86" s="147">
        <v>300340</v>
      </c>
      <c r="T86" s="147"/>
      <c r="U86" s="143"/>
    </row>
    <row r="87" spans="1:21" s="144" customFormat="1">
      <c r="A87" s="145" t="s">
        <v>769</v>
      </c>
      <c r="B87" s="146">
        <f t="shared" si="20"/>
        <v>1142713</v>
      </c>
      <c r="C87" s="147">
        <v>1142713</v>
      </c>
      <c r="D87" s="147"/>
      <c r="E87" s="147">
        <v>1142713</v>
      </c>
      <c r="F87" s="147"/>
      <c r="G87" s="147"/>
      <c r="H87" s="147"/>
      <c r="I87" s="147"/>
      <c r="J87" s="147"/>
      <c r="K87" s="147"/>
      <c r="L87" s="147"/>
      <c r="M87" s="147"/>
      <c r="N87" s="147"/>
      <c r="O87" s="147"/>
      <c r="P87" s="147"/>
      <c r="Q87" s="147"/>
      <c r="R87" s="516">
        <f t="shared" si="21"/>
        <v>1142713</v>
      </c>
      <c r="S87" s="147">
        <v>842713</v>
      </c>
      <c r="T87" s="147"/>
      <c r="U87" s="143"/>
    </row>
    <row r="88" spans="1:21" s="144" customFormat="1">
      <c r="A88" s="145" t="s">
        <v>770</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771</v>
      </c>
      <c r="B89" s="146">
        <f t="shared" si="20"/>
        <v>1135140</v>
      </c>
      <c r="C89" s="147">
        <v>1135140</v>
      </c>
      <c r="D89" s="147"/>
      <c r="E89" s="147">
        <v>1135140</v>
      </c>
      <c r="F89" s="147"/>
      <c r="G89" s="147"/>
      <c r="H89" s="147"/>
      <c r="I89" s="147"/>
      <c r="J89" s="147"/>
      <c r="K89" s="147"/>
      <c r="L89" s="147"/>
      <c r="M89" s="147"/>
      <c r="N89" s="147"/>
      <c r="O89" s="147"/>
      <c r="P89" s="147"/>
      <c r="Q89" s="147"/>
      <c r="R89" s="516">
        <f t="shared" si="21"/>
        <v>1135140</v>
      </c>
      <c r="S89" s="147">
        <v>451340</v>
      </c>
      <c r="T89" s="147"/>
      <c r="U89" s="143"/>
    </row>
    <row r="90" spans="1:21" s="144" customFormat="1">
      <c r="A90" s="145" t="s">
        <v>772</v>
      </c>
      <c r="B90" s="146">
        <f t="shared" si="20"/>
        <v>15000</v>
      </c>
      <c r="C90" s="147">
        <v>15000</v>
      </c>
      <c r="D90" s="147"/>
      <c r="E90" s="147">
        <v>15000</v>
      </c>
      <c r="F90" s="147"/>
      <c r="G90" s="147"/>
      <c r="H90" s="147"/>
      <c r="I90" s="147"/>
      <c r="J90" s="147"/>
      <c r="K90" s="147"/>
      <c r="L90" s="147"/>
      <c r="M90" s="147"/>
      <c r="N90" s="147"/>
      <c r="O90" s="147"/>
      <c r="P90" s="147"/>
      <c r="Q90" s="147"/>
      <c r="R90" s="516">
        <f t="shared" si="21"/>
        <v>15000</v>
      </c>
      <c r="S90" s="147">
        <v>15000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v>0</v>
      </c>
      <c r="T91" s="147"/>
      <c r="U91" s="143"/>
    </row>
    <row r="92" spans="1:21" s="144" customFormat="1">
      <c r="A92" s="283" t="s">
        <v>1210</v>
      </c>
      <c r="B92" s="146">
        <f t="shared" si="20"/>
        <v>21000</v>
      </c>
      <c r="C92" s="147">
        <v>21000</v>
      </c>
      <c r="D92" s="147"/>
      <c r="E92" s="147">
        <v>21000</v>
      </c>
      <c r="F92" s="147"/>
      <c r="G92" s="147"/>
      <c r="H92" s="147"/>
      <c r="I92" s="147"/>
      <c r="J92" s="147"/>
      <c r="K92" s="147"/>
      <c r="L92" s="147"/>
      <c r="M92" s="147"/>
      <c r="N92" s="147"/>
      <c r="O92" s="147"/>
      <c r="P92" s="147"/>
      <c r="Q92" s="147"/>
      <c r="R92" s="516">
        <f t="shared" si="21"/>
        <v>21000</v>
      </c>
      <c r="S92" s="147">
        <v>21000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15559145</v>
      </c>
      <c r="C96" s="146">
        <f t="shared" ref="C96:R96" si="22">SUM(C83:C95)</f>
        <v>15559145</v>
      </c>
      <c r="D96" s="146">
        <f t="shared" si="22"/>
        <v>0</v>
      </c>
      <c r="E96" s="146">
        <f t="shared" si="22"/>
        <v>15559145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15559145</v>
      </c>
      <c r="S96" s="150">
        <f>SUM(S84:S87,S89:S95)</f>
        <v>14319035</v>
      </c>
      <c r="T96" s="146">
        <f>SUM(T84:T87,T89:T95)</f>
        <v>0</v>
      </c>
      <c r="U96" s="143"/>
    </row>
    <row r="97" spans="1:21" s="144" customFormat="1">
      <c r="A97" s="149" t="s">
        <v>774</v>
      </c>
      <c r="B97" s="146">
        <f>SUM(C97:D97)</f>
        <v>111140371</v>
      </c>
      <c r="C97" s="146">
        <f t="shared" ref="C97:R97" si="23">SUM(C63+C70+C77+C81+C96)</f>
        <v>111140371</v>
      </c>
      <c r="D97" s="146">
        <f t="shared" si="23"/>
        <v>0</v>
      </c>
      <c r="E97" s="146">
        <f t="shared" si="23"/>
        <v>46725624</v>
      </c>
      <c r="F97" s="146">
        <f t="shared" si="23"/>
        <v>32000000</v>
      </c>
      <c r="G97" s="146">
        <f t="shared" si="23"/>
        <v>18490000</v>
      </c>
      <c r="H97" s="146">
        <f t="shared" si="23"/>
        <v>8000000</v>
      </c>
      <c r="I97" s="146">
        <f t="shared" si="23"/>
        <v>0</v>
      </c>
      <c r="J97" s="146">
        <f t="shared" si="23"/>
        <v>100</v>
      </c>
      <c r="K97" s="146">
        <f t="shared" si="23"/>
        <v>1350000</v>
      </c>
      <c r="L97" s="146">
        <f t="shared" si="23"/>
        <v>897847</v>
      </c>
      <c r="M97" s="146">
        <f t="shared" si="23"/>
        <v>3676800</v>
      </c>
      <c r="N97" s="146">
        <f t="shared" si="23"/>
        <v>0</v>
      </c>
      <c r="O97" s="146">
        <f t="shared" si="23"/>
        <v>0</v>
      </c>
      <c r="P97" s="146">
        <f t="shared" si="23"/>
        <v>0</v>
      </c>
      <c r="Q97" s="146">
        <f t="shared" si="23"/>
        <v>0</v>
      </c>
      <c r="R97" s="146">
        <f t="shared" si="23"/>
        <v>111140371</v>
      </c>
      <c r="S97" s="146">
        <f>SUM(S63+S70+S81+S96)</f>
        <v>95334973</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13220190</v>
      </c>
      <c r="C99" s="979">
        <v>13220190</v>
      </c>
      <c r="D99" s="979"/>
      <c r="E99" s="979">
        <v>1218287</v>
      </c>
      <c r="F99" s="147"/>
      <c r="G99" s="147"/>
      <c r="H99" s="147"/>
      <c r="I99" s="147">
        <v>8878800</v>
      </c>
      <c r="J99" s="147"/>
      <c r="K99" s="147"/>
      <c r="L99" s="147">
        <v>3123103</v>
      </c>
      <c r="M99" s="147"/>
      <c r="N99" s="147"/>
      <c r="O99" s="147"/>
      <c r="P99" s="147"/>
      <c r="Q99" s="147"/>
      <c r="R99" s="516">
        <f>SUM(E99:Q99)</f>
        <v>13220190</v>
      </c>
      <c r="S99" s="147">
        <v>13220190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1080055</v>
      </c>
      <c r="C102" s="147">
        <v>1080055</v>
      </c>
      <c r="D102" s="147"/>
      <c r="E102" s="147">
        <v>1080055</v>
      </c>
      <c r="F102" s="147"/>
      <c r="G102" s="147"/>
      <c r="H102" s="147"/>
      <c r="I102" s="147"/>
      <c r="J102" s="147"/>
      <c r="K102" s="147"/>
      <c r="L102" s="147"/>
      <c r="M102" s="147"/>
      <c r="N102" s="147"/>
      <c r="O102" s="147"/>
      <c r="P102" s="147"/>
      <c r="Q102" s="147"/>
      <c r="R102" s="516">
        <f>SUM(E102:Q102)</f>
        <v>1080055</v>
      </c>
      <c r="S102" s="147">
        <v>1080055</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14300245</v>
      </c>
      <c r="C104" s="146">
        <f>SUM(C99:C103)</f>
        <v>14300245</v>
      </c>
      <c r="D104" s="146">
        <f t="shared" ref="D104:T104" si="24">SUM(D99:D103)</f>
        <v>0</v>
      </c>
      <c r="E104" s="146">
        <f t="shared" si="24"/>
        <v>2298342</v>
      </c>
      <c r="F104" s="146">
        <f t="shared" si="24"/>
        <v>0</v>
      </c>
      <c r="G104" s="146">
        <f t="shared" si="24"/>
        <v>0</v>
      </c>
      <c r="H104" s="146">
        <f t="shared" si="24"/>
        <v>0</v>
      </c>
      <c r="I104" s="146">
        <f t="shared" si="24"/>
        <v>8878800</v>
      </c>
      <c r="J104" s="146">
        <f t="shared" si="24"/>
        <v>0</v>
      </c>
      <c r="K104" s="146">
        <f t="shared" si="24"/>
        <v>0</v>
      </c>
      <c r="L104" s="146">
        <f t="shared" si="24"/>
        <v>3123103</v>
      </c>
      <c r="M104" s="146">
        <f t="shared" si="24"/>
        <v>0</v>
      </c>
      <c r="N104" s="146">
        <f t="shared" si="24"/>
        <v>0</v>
      </c>
      <c r="O104" s="146">
        <f t="shared" si="24"/>
        <v>0</v>
      </c>
      <c r="P104" s="146">
        <f t="shared" si="24"/>
        <v>0</v>
      </c>
      <c r="Q104" s="146">
        <f t="shared" si="24"/>
        <v>0</v>
      </c>
      <c r="R104" s="342">
        <f t="shared" si="24"/>
        <v>14300245</v>
      </c>
      <c r="S104" s="150">
        <f t="shared" si="24"/>
        <v>14300245</v>
      </c>
      <c r="T104" s="150">
        <f t="shared" si="24"/>
        <v>0</v>
      </c>
      <c r="U104" s="143"/>
    </row>
    <row r="105" spans="1:21" s="144" customFormat="1">
      <c r="A105" s="149" t="s">
        <v>779</v>
      </c>
      <c r="B105" s="150">
        <f>SUM(C105:D105)</f>
        <v>125440616</v>
      </c>
      <c r="C105" s="150">
        <f t="shared" ref="C105:R105" si="25">SUM(C97+C104)</f>
        <v>125440616</v>
      </c>
      <c r="D105" s="150">
        <f t="shared" si="25"/>
        <v>0</v>
      </c>
      <c r="E105" s="150">
        <f t="shared" si="25"/>
        <v>49023966</v>
      </c>
      <c r="F105" s="150">
        <f t="shared" si="25"/>
        <v>32000000</v>
      </c>
      <c r="G105" s="150">
        <f t="shared" si="25"/>
        <v>18490000</v>
      </c>
      <c r="H105" s="150">
        <f t="shared" si="25"/>
        <v>8000000</v>
      </c>
      <c r="I105" s="150">
        <f t="shared" si="25"/>
        <v>8878800</v>
      </c>
      <c r="J105" s="150">
        <f t="shared" si="25"/>
        <v>100</v>
      </c>
      <c r="K105" s="150">
        <f t="shared" si="25"/>
        <v>1350000</v>
      </c>
      <c r="L105" s="150">
        <f t="shared" si="25"/>
        <v>4020950</v>
      </c>
      <c r="M105" s="150">
        <f t="shared" si="25"/>
        <v>3676800</v>
      </c>
      <c r="N105" s="150">
        <f t="shared" si="25"/>
        <v>0</v>
      </c>
      <c r="O105" s="150">
        <f t="shared" si="25"/>
        <v>0</v>
      </c>
      <c r="P105" s="150">
        <f t="shared" si="25"/>
        <v>0</v>
      </c>
      <c r="Q105" s="150">
        <f t="shared" si="25"/>
        <v>0</v>
      </c>
      <c r="R105" s="342">
        <f t="shared" si="25"/>
        <v>125440616</v>
      </c>
      <c r="S105" s="150">
        <f>S97+S104</f>
        <v>109635218</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109635218</v>
      </c>
      <c r="T107" s="150">
        <f>T105+T106</f>
        <v>0</v>
      </c>
    </row>
    <row r="108" spans="1:21" s="189" customFormat="1">
      <c r="A108" s="162" t="s">
        <v>878</v>
      </c>
      <c r="B108" s="157"/>
      <c r="C108" s="157"/>
      <c r="D108" s="157"/>
      <c r="E108" s="301">
        <f>Application!AO640</f>
        <v>49023966.000000007</v>
      </c>
      <c r="F108" s="301">
        <f>Application!AO627</f>
        <v>32000000</v>
      </c>
      <c r="G108" s="301">
        <f>Application!AO628</f>
        <v>18490000</v>
      </c>
      <c r="H108" s="301">
        <f>Application!AO629</f>
        <v>8000000</v>
      </c>
      <c r="I108" s="301">
        <f>Application!AO630</f>
        <v>8878800</v>
      </c>
      <c r="J108" s="301">
        <f>Application!AO631</f>
        <v>100</v>
      </c>
      <c r="K108" s="301">
        <f>Application!AO632</f>
        <v>1350000</v>
      </c>
      <c r="L108" s="301">
        <f>Application!AO633</f>
        <v>4020950</v>
      </c>
      <c r="M108" s="301">
        <f>Application!AO634</f>
        <v>3676800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4" t="s">
        <v>989</v>
      </c>
      <c r="E122" s="1864"/>
      <c r="F122" s="186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784"/>
      <c r="F123" s="1784"/>
      <c r="G123" s="1784"/>
      <c r="H123" s="1784"/>
      <c r="I123" s="1784"/>
      <c r="J123" s="1784"/>
      <c r="K123" s="1784"/>
      <c r="L123" s="1784"/>
      <c r="M123" s="1784"/>
      <c r="N123" s="1784"/>
      <c r="O123" s="1784"/>
      <c r="P123" s="1784"/>
      <c r="Q123" s="1784"/>
      <c r="R123" s="1784"/>
      <c r="S123" s="1784"/>
      <c r="T123" s="324"/>
      <c r="U123" s="326"/>
    </row>
    <row r="124" spans="1:21" ht="12.75">
      <c r="A124" s="117" t="s">
        <v>991</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75">
      <c r="A125" s="117" t="s">
        <v>992</v>
      </c>
      <c r="B125" s="333"/>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299</v>
      </c>
      <c r="B129" s="333"/>
      <c r="C129" s="117"/>
      <c r="D129" s="1863" t="s">
        <v>996</v>
      </c>
      <c r="E129" s="1863"/>
      <c r="F129" s="1863"/>
      <c r="G129" s="1863"/>
      <c r="H129" s="186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2"/>
      <c r="E131" s="1812"/>
      <c r="F131" s="1812"/>
      <c r="G131" s="1812"/>
      <c r="H131" s="1812"/>
      <c r="I131" s="117"/>
      <c r="J131" s="1812"/>
      <c r="K131" s="1812"/>
      <c r="L131" s="1812"/>
      <c r="M131" s="1812"/>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1226</v>
      </c>
      <c r="B1" s="1872"/>
      <c r="C1" s="1872"/>
      <c r="D1" s="1872"/>
      <c r="E1" s="1872"/>
      <c r="F1" s="1872"/>
      <c r="G1" s="1872"/>
      <c r="H1" s="1872"/>
      <c r="I1" s="1872"/>
      <c r="J1" s="187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6065000</v>
      </c>
      <c r="C4" s="362">
        <v>6065000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6065000</v>
      </c>
      <c r="C8" s="361">
        <f>SUM(C4:C7)</f>
        <v>6065000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6065000</v>
      </c>
      <c r="C12" s="361">
        <f>SUM(C8+C11)</f>
        <v>6065000</v>
      </c>
      <c r="D12" s="361">
        <f>SUM(D8+D11)</f>
        <v>0</v>
      </c>
      <c r="E12" s="363"/>
      <c r="F12" s="363"/>
      <c r="G12" s="363"/>
      <c r="H12" s="363"/>
      <c r="I12" s="363"/>
      <c r="J12" s="363"/>
      <c r="K12" s="359"/>
    </row>
    <row r="13" spans="1:11" s="360" customFormat="1">
      <c r="A13" s="366" t="s">
        <v>901</v>
      </c>
      <c r="B13" s="361">
        <f>'Sources and Uses Budget'!C13</f>
        <v>643072</v>
      </c>
      <c r="C13" s="362">
        <v>643072</v>
      </c>
      <c r="D13" s="362"/>
      <c r="E13" s="361">
        <f>'Sources and Uses Budget'!S13</f>
        <v>0</v>
      </c>
      <c r="F13" s="362">
        <f>E13</f>
        <v>0</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v>0</v>
      </c>
      <c r="D29" s="362"/>
      <c r="E29" s="361">
        <f>'Sources and Uses Budget'!S29</f>
        <v>0</v>
      </c>
      <c r="F29" s="362">
        <v>0</v>
      </c>
      <c r="G29" s="362"/>
      <c r="H29" s="361">
        <f>'Sources and Uses Budget'!T29</f>
        <v>0</v>
      </c>
      <c r="I29" s="362"/>
      <c r="J29" s="362"/>
      <c r="K29" s="359"/>
    </row>
    <row r="30" spans="1:11" s="360" customFormat="1">
      <c r="A30" s="145" t="s">
        <v>598</v>
      </c>
      <c r="B30" s="361">
        <f>'Sources and Uses Budget'!C30</f>
        <v>59158986</v>
      </c>
      <c r="C30" s="362">
        <v>59158986</v>
      </c>
      <c r="D30" s="362"/>
      <c r="E30" s="361">
        <f>'Sources and Uses Budget'!S30</f>
        <v>57853786</v>
      </c>
      <c r="F30" s="362">
        <v>57853786</v>
      </c>
      <c r="G30" s="362"/>
      <c r="H30" s="361">
        <f>'Sources and Uses Budget'!T30</f>
        <v>0</v>
      </c>
      <c r="I30" s="362"/>
      <c r="J30" s="362"/>
      <c r="K30" s="359"/>
    </row>
    <row r="31" spans="1:11" s="360" customFormat="1">
      <c r="A31" s="145" t="s">
        <v>599</v>
      </c>
      <c r="B31" s="361">
        <f>'Sources and Uses Budget'!C31</f>
        <v>2654000</v>
      </c>
      <c r="C31" s="362">
        <v>2654000</v>
      </c>
      <c r="D31" s="362"/>
      <c r="E31" s="361">
        <f>'Sources and Uses Budget'!S31</f>
        <v>2654000</v>
      </c>
      <c r="F31" s="362">
        <v>2654000</v>
      </c>
      <c r="G31" s="362"/>
      <c r="H31" s="361">
        <f>'Sources and Uses Budget'!T31</f>
        <v>0</v>
      </c>
      <c r="I31" s="362"/>
      <c r="J31" s="362"/>
      <c r="K31" s="359"/>
    </row>
    <row r="32" spans="1:11" s="360" customFormat="1">
      <c r="A32" s="145" t="s">
        <v>137</v>
      </c>
      <c r="B32" s="361">
        <f>'Sources and Uses Budget'!C32</f>
        <v>1221601</v>
      </c>
      <c r="C32" s="362">
        <v>1221601</v>
      </c>
      <c r="D32" s="362"/>
      <c r="E32" s="361">
        <f>'Sources and Uses Budget'!S32</f>
        <v>1221601</v>
      </c>
      <c r="F32" s="362">
        <v>1221601</v>
      </c>
      <c r="G32" s="362"/>
      <c r="H32" s="361">
        <f>'Sources and Uses Budget'!T32</f>
        <v>0</v>
      </c>
      <c r="I32" s="362"/>
      <c r="J32" s="362"/>
      <c r="K32" s="359"/>
    </row>
    <row r="33" spans="1:11" s="360" customFormat="1">
      <c r="A33" s="145" t="s">
        <v>138</v>
      </c>
      <c r="B33" s="361">
        <f>'Sources and Uses Budget'!C33</f>
        <v>1221601</v>
      </c>
      <c r="C33" s="362">
        <v>1221601</v>
      </c>
      <c r="D33" s="362"/>
      <c r="E33" s="361">
        <f>'Sources and Uses Budget'!S33</f>
        <v>1221601</v>
      </c>
      <c r="F33" s="362">
        <v>1221601</v>
      </c>
      <c r="G33" s="362"/>
      <c r="H33" s="361">
        <f>'Sources and Uses Budget'!T33</f>
        <v>0</v>
      </c>
      <c r="I33" s="362"/>
      <c r="J33" s="362"/>
      <c r="K33" s="359"/>
    </row>
    <row r="34" spans="1:11" s="360" customFormat="1">
      <c r="A34" s="145" t="s">
        <v>139</v>
      </c>
      <c r="B34" s="361">
        <f>'Sources and Uses Budget'!C34</f>
        <v>0</v>
      </c>
      <c r="C34" s="362">
        <v>0</v>
      </c>
      <c r="D34" s="362"/>
      <c r="E34" s="361">
        <f>'Sources and Uses Budget'!S34</f>
        <v>0</v>
      </c>
      <c r="F34" s="362">
        <v>0</v>
      </c>
      <c r="G34" s="362"/>
      <c r="H34" s="361">
        <f>'Sources and Uses Budget'!T34</f>
        <v>0</v>
      </c>
      <c r="I34" s="362"/>
      <c r="J34" s="362"/>
      <c r="K34" s="359"/>
    </row>
    <row r="35" spans="1:11" s="360" customFormat="1">
      <c r="A35" s="145" t="s">
        <v>140</v>
      </c>
      <c r="B35" s="361">
        <f>'Sources and Uses Budget'!C35</f>
        <v>481921</v>
      </c>
      <c r="C35" s="362">
        <v>481921</v>
      </c>
      <c r="D35" s="362"/>
      <c r="E35" s="361">
        <f>'Sources and Uses Budget'!S35</f>
        <v>481921</v>
      </c>
      <c r="F35" s="362">
        <v>481921</v>
      </c>
      <c r="G35" s="362"/>
      <c r="H35" s="361">
        <f>'Sources and Uses Budget'!T35</f>
        <v>0</v>
      </c>
      <c r="I35" s="362"/>
      <c r="J35" s="362"/>
      <c r="K35" s="359"/>
    </row>
    <row r="36" spans="1:11" s="360" customFormat="1">
      <c r="A36" s="508" t="s">
        <v>1639</v>
      </c>
      <c r="B36" s="361">
        <f>'Sources and Uses Budget'!C36</f>
        <v>0</v>
      </c>
      <c r="C36" s="362">
        <v>0</v>
      </c>
      <c r="D36" s="362"/>
      <c r="E36" s="361">
        <f>'Sources and Uses Budget'!S36</f>
        <v>0</v>
      </c>
      <c r="F36" s="362">
        <v>0</v>
      </c>
      <c r="G36" s="362"/>
      <c r="H36" s="361">
        <f>'Sources and Uses Budget'!T36</f>
        <v>0</v>
      </c>
      <c r="I36" s="362"/>
      <c r="J36" s="362"/>
      <c r="K36" s="359"/>
    </row>
    <row r="37" spans="1:11" s="360" customFormat="1">
      <c r="A37" s="364" t="str">
        <f>'Sources and Uses Budget'!$A37</f>
        <v>Other: Solar</v>
      </c>
      <c r="B37" s="361">
        <f>'Sources and Uses Budget'!C37</f>
        <v>2500000</v>
      </c>
      <c r="C37" s="362">
        <v>2500000</v>
      </c>
      <c r="D37" s="362"/>
      <c r="E37" s="361">
        <f>'Sources and Uses Budget'!S37</f>
        <v>2500000</v>
      </c>
      <c r="F37" s="362">
        <v>2500000</v>
      </c>
      <c r="G37" s="362"/>
      <c r="H37" s="361">
        <f>'Sources and Uses Budget'!T37</f>
        <v>0</v>
      </c>
      <c r="I37" s="362"/>
      <c r="J37" s="362"/>
      <c r="K37" s="359"/>
    </row>
    <row r="38" spans="1:11" s="360" customFormat="1">
      <c r="A38" s="365" t="s">
        <v>143</v>
      </c>
      <c r="B38" s="361">
        <f>'Sources and Uses Budget'!C38</f>
        <v>67238109</v>
      </c>
      <c r="C38" s="361">
        <f>SUM(C29:C37)</f>
        <v>67238109</v>
      </c>
      <c r="D38" s="361">
        <f>SUM(D29:D37)</f>
        <v>0</v>
      </c>
      <c r="E38" s="361">
        <f>'Sources and Uses Budget'!S38</f>
        <v>65932909</v>
      </c>
      <c r="F38" s="367">
        <f>SUM(F29:F37)</f>
        <v>65932909</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938550</v>
      </c>
      <c r="C40" s="362">
        <v>938550</v>
      </c>
      <c r="D40" s="362"/>
      <c r="E40" s="361">
        <f>'Sources and Uses Budget'!S40</f>
        <v>938550</v>
      </c>
      <c r="F40" s="362">
        <v>938550</v>
      </c>
      <c r="G40" s="362"/>
      <c r="H40" s="361">
        <f>'Sources and Uses Budget'!T40</f>
        <v>0</v>
      </c>
      <c r="I40" s="362"/>
      <c r="J40" s="362"/>
      <c r="K40" s="359"/>
    </row>
    <row r="41" spans="1:11" s="360" customFormat="1">
      <c r="A41" s="364" t="s">
        <v>146</v>
      </c>
      <c r="B41" s="361">
        <f>'Sources and Uses Budget'!C41</f>
        <v>75000</v>
      </c>
      <c r="C41" s="362">
        <v>75000</v>
      </c>
      <c r="D41" s="362"/>
      <c r="E41" s="361">
        <f>'Sources and Uses Budget'!S41</f>
        <v>75000</v>
      </c>
      <c r="F41" s="362">
        <v>75000</v>
      </c>
      <c r="G41" s="362"/>
      <c r="H41" s="361">
        <f>'Sources and Uses Budget'!T41</f>
        <v>0</v>
      </c>
      <c r="I41" s="362"/>
      <c r="J41" s="362"/>
      <c r="K41" s="359"/>
    </row>
    <row r="42" spans="1:11" s="360" customFormat="1">
      <c r="A42" s="365" t="s">
        <v>147</v>
      </c>
      <c r="B42" s="361">
        <f>'Sources and Uses Budget'!C42</f>
        <v>1013550</v>
      </c>
      <c r="C42" s="361">
        <f>SUM(C39:C41)</f>
        <v>1013550</v>
      </c>
      <c r="D42" s="361">
        <f>SUM(D39:D41)</f>
        <v>0</v>
      </c>
      <c r="E42" s="361">
        <f>'Sources and Uses Budget'!S42</f>
        <v>1013550</v>
      </c>
      <c r="F42" s="367">
        <f>SUM(F40:F41)</f>
        <v>1013550</v>
      </c>
      <c r="G42" s="367">
        <f>SUM(G40:G41)</f>
        <v>0</v>
      </c>
      <c r="H42" s="361">
        <f>'Sources and Uses Budget'!T42</f>
        <v>0</v>
      </c>
      <c r="I42" s="367">
        <f>SUM(I40:I41)</f>
        <v>0</v>
      </c>
      <c r="J42" s="367">
        <f>SUM(J40:J41)</f>
        <v>0</v>
      </c>
      <c r="K42" s="359"/>
    </row>
    <row r="43" spans="1:11" s="360" customFormat="1">
      <c r="A43" s="365" t="s">
        <v>148</v>
      </c>
      <c r="B43" s="361">
        <f>'Sources and Uses Budget'!C43</f>
        <v>475000</v>
      </c>
      <c r="C43" s="362">
        <v>475000</v>
      </c>
      <c r="D43" s="362"/>
      <c r="E43" s="361">
        <f>'Sources and Uses Budget'!S43</f>
        <v>475000</v>
      </c>
      <c r="F43" s="362">
        <v>475000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10328369</v>
      </c>
      <c r="C45" s="362">
        <v>10328369</v>
      </c>
      <c r="D45" s="362"/>
      <c r="E45" s="361">
        <f>'Sources and Uses Budget'!S45</f>
        <v>6545833</v>
      </c>
      <c r="F45" s="362">
        <v>6545833</v>
      </c>
      <c r="G45" s="362"/>
      <c r="H45" s="361">
        <f>'Sources and Uses Budget'!T45</f>
        <v>0</v>
      </c>
      <c r="I45" s="362"/>
      <c r="J45" s="362"/>
      <c r="K45" s="359"/>
    </row>
    <row r="46" spans="1:11" s="360" customFormat="1">
      <c r="A46" s="364" t="s">
        <v>151</v>
      </c>
      <c r="B46" s="361">
        <f>'Sources and Uses Budget'!C46</f>
        <v>922105</v>
      </c>
      <c r="C46" s="362">
        <v>922105</v>
      </c>
      <c r="D46" s="362"/>
      <c r="E46" s="361">
        <f>'Sources and Uses Budget'!S46</f>
        <v>922105</v>
      </c>
      <c r="F46" s="362">
        <v>922105</v>
      </c>
      <c r="G46" s="362"/>
      <c r="H46" s="361">
        <f>'Sources and Uses Budget'!T46</f>
        <v>0</v>
      </c>
      <c r="I46" s="362"/>
      <c r="J46" s="362"/>
      <c r="K46" s="359"/>
    </row>
    <row r="47" spans="1:11" s="360" customFormat="1" ht="12" customHeight="1">
      <c r="A47" s="364" t="s">
        <v>152</v>
      </c>
      <c r="B47" s="361">
        <f>'Sources and Uses Budget'!C47</f>
        <v>0</v>
      </c>
      <c r="C47" s="362">
        <v>0</v>
      </c>
      <c r="D47" s="362"/>
      <c r="E47" s="361">
        <f>'Sources and Uses Budget'!S47</f>
        <v>0</v>
      </c>
      <c r="F47" s="362">
        <v>0</v>
      </c>
      <c r="G47" s="362"/>
      <c r="H47" s="361">
        <f>'Sources and Uses Budget'!T47</f>
        <v>0</v>
      </c>
      <c r="I47" s="362"/>
      <c r="J47" s="362"/>
      <c r="K47" s="359"/>
    </row>
    <row r="48" spans="1:11" s="360" customFormat="1">
      <c r="A48" s="364" t="s">
        <v>153</v>
      </c>
      <c r="B48" s="361">
        <f>'Sources and Uses Budget'!C48</f>
        <v>3091200</v>
      </c>
      <c r="C48" s="362">
        <v>3091200</v>
      </c>
      <c r="D48" s="362"/>
      <c r="E48" s="361">
        <f>'Sources and Uses Budget'!S48</f>
        <v>1889067</v>
      </c>
      <c r="F48" s="362">
        <v>1889067</v>
      </c>
      <c r="G48" s="362"/>
      <c r="H48" s="361">
        <f>'Sources and Uses Budget'!T48</f>
        <v>0</v>
      </c>
      <c r="I48" s="362"/>
      <c r="J48" s="362"/>
      <c r="K48" s="359"/>
    </row>
    <row r="49" spans="1:11" s="360" customFormat="1">
      <c r="A49" s="283" t="s">
        <v>57</v>
      </c>
      <c r="B49" s="361">
        <f>'Sources and Uses Budget'!C49</f>
        <v>201500</v>
      </c>
      <c r="C49" s="362">
        <v>201500</v>
      </c>
      <c r="D49" s="362"/>
      <c r="E49" s="361">
        <f>'Sources and Uses Budget'!S49</f>
        <v>11941</v>
      </c>
      <c r="F49" s="362">
        <v>11941</v>
      </c>
      <c r="G49" s="362"/>
      <c r="H49" s="361">
        <f>'Sources and Uses Budget'!T49</f>
        <v>0</v>
      </c>
      <c r="I49" s="362"/>
      <c r="J49" s="362"/>
      <c r="K49" s="359"/>
    </row>
    <row r="50" spans="1:11" s="360" customFormat="1">
      <c r="A50" s="364" t="s">
        <v>156</v>
      </c>
      <c r="B50" s="361">
        <f>'Sources and Uses Budget'!C50</f>
        <v>0</v>
      </c>
      <c r="C50" s="362">
        <v>0</v>
      </c>
      <c r="D50" s="362"/>
      <c r="E50" s="361">
        <f>'Sources and Uses Budget'!S50</f>
        <v>0</v>
      </c>
      <c r="F50" s="362">
        <v>0</v>
      </c>
      <c r="G50" s="362"/>
      <c r="H50" s="361">
        <f>'Sources and Uses Budget'!T50</f>
        <v>0</v>
      </c>
      <c r="I50" s="362"/>
      <c r="J50" s="362"/>
      <c r="K50" s="359"/>
    </row>
    <row r="51" spans="1:11" s="360" customFormat="1">
      <c r="A51" s="364" t="s">
        <v>154</v>
      </c>
      <c r="B51" s="361">
        <f>'Sources and Uses Budget'!C51</f>
        <v>0</v>
      </c>
      <c r="C51" s="362">
        <v>0</v>
      </c>
      <c r="D51" s="362"/>
      <c r="E51" s="361">
        <f>'Sources and Uses Budget'!S51</f>
        <v>0</v>
      </c>
      <c r="F51" s="362">
        <v>0</v>
      </c>
      <c r="G51" s="362"/>
      <c r="H51" s="361">
        <f>'Sources and Uses Budget'!T51</f>
        <v>0</v>
      </c>
      <c r="I51" s="362"/>
      <c r="J51" s="362"/>
      <c r="K51" s="359"/>
    </row>
    <row r="52" spans="1:11" s="360" customFormat="1">
      <c r="A52" s="364" t="s">
        <v>155</v>
      </c>
      <c r="B52" s="361">
        <f>'Sources and Uses Budget'!C52</f>
        <v>0</v>
      </c>
      <c r="C52" s="362">
        <v>0</v>
      </c>
      <c r="D52" s="362"/>
      <c r="E52" s="361">
        <f>'Sources and Uses Budget'!S52</f>
        <v>0</v>
      </c>
      <c r="F52" s="362">
        <v>0</v>
      </c>
      <c r="G52" s="362"/>
      <c r="H52" s="361">
        <f>'Sources and Uses Budget'!T52</f>
        <v>0</v>
      </c>
      <c r="I52" s="362"/>
      <c r="J52" s="362"/>
      <c r="K52" s="359"/>
    </row>
    <row r="53" spans="1:11" s="360" customFormat="1">
      <c r="A53" s="364" t="str">
        <f>'Sources and Uses Budget'!$A53</f>
        <v>Other: GC P&amp;P Bond</v>
      </c>
      <c r="B53" s="361">
        <f>'Sources and Uses Budget'!C53</f>
        <v>417665</v>
      </c>
      <c r="C53" s="362">
        <v>417665</v>
      </c>
      <c r="D53" s="362"/>
      <c r="E53" s="361">
        <f>'Sources and Uses Budget'!S53</f>
        <v>417665</v>
      </c>
      <c r="F53" s="362">
        <v>417665</v>
      </c>
      <c r="G53" s="362"/>
      <c r="H53" s="361">
        <f>'Sources and Uses Budget'!T53</f>
        <v>0</v>
      </c>
      <c r="I53" s="362"/>
      <c r="J53" s="362"/>
      <c r="K53" s="359"/>
    </row>
    <row r="54" spans="1:11" s="369" customFormat="1">
      <c r="A54" s="365" t="s">
        <v>157</v>
      </c>
      <c r="B54" s="361">
        <f>'Sources and Uses Budget'!C54</f>
        <v>14960839</v>
      </c>
      <c r="C54" s="367">
        <f>SUM(C45:C53)</f>
        <v>14960839</v>
      </c>
      <c r="D54" s="367">
        <f>SUM(D45:D53)</f>
        <v>0</v>
      </c>
      <c r="E54" s="361">
        <f>'Sources and Uses Budget'!S54</f>
        <v>9786611</v>
      </c>
      <c r="F54" s="367">
        <f>SUM(F45:F53)</f>
        <v>9786611</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v>0</v>
      </c>
      <c r="D56" s="362"/>
      <c r="E56" s="363"/>
      <c r="F56" s="363"/>
      <c r="G56" s="363"/>
      <c r="H56" s="363"/>
      <c r="I56" s="363"/>
      <c r="J56" s="363"/>
      <c r="K56" s="359"/>
    </row>
    <row r="57" spans="1:11" s="360" customFormat="1" ht="12" customHeight="1">
      <c r="A57" s="364" t="s">
        <v>152</v>
      </c>
      <c r="B57" s="361">
        <f>'Sources and Uses Budget'!C57</f>
        <v>25000</v>
      </c>
      <c r="C57" s="362">
        <v>25000</v>
      </c>
      <c r="D57" s="362"/>
      <c r="E57" s="363"/>
      <c r="F57" s="363"/>
      <c r="G57" s="363"/>
      <c r="H57" s="363"/>
      <c r="I57" s="363"/>
      <c r="J57" s="363"/>
      <c r="K57" s="359"/>
    </row>
    <row r="58" spans="1:11" s="360" customFormat="1">
      <c r="A58" s="364" t="s">
        <v>156</v>
      </c>
      <c r="B58" s="361">
        <f>'Sources and Uses Budget'!C58</f>
        <v>187000</v>
      </c>
      <c r="C58" s="362">
        <v>187000</v>
      </c>
      <c r="D58" s="362"/>
      <c r="E58" s="363"/>
      <c r="F58" s="363"/>
      <c r="G58" s="363"/>
      <c r="H58" s="363"/>
      <c r="I58" s="363"/>
      <c r="J58" s="363"/>
      <c r="K58" s="359"/>
    </row>
    <row r="59" spans="1:11" s="360" customFormat="1">
      <c r="A59" s="364" t="s">
        <v>154</v>
      </c>
      <c r="B59" s="361">
        <f>'Sources and Uses Budget'!C59</f>
        <v>0</v>
      </c>
      <c r="C59" s="362">
        <v>0</v>
      </c>
      <c r="D59" s="362"/>
      <c r="E59" s="363"/>
      <c r="F59" s="363"/>
      <c r="G59" s="363"/>
      <c r="H59" s="363"/>
      <c r="I59" s="363"/>
      <c r="J59" s="363"/>
      <c r="K59" s="359"/>
    </row>
    <row r="60" spans="1:11" s="360" customFormat="1">
      <c r="A60" s="364" t="s">
        <v>155</v>
      </c>
      <c r="B60" s="361">
        <f>'Sources and Uses Budget'!C60</f>
        <v>0</v>
      </c>
      <c r="C60" s="362">
        <v>0</v>
      </c>
      <c r="D60" s="362"/>
      <c r="E60" s="363"/>
      <c r="F60" s="363"/>
      <c r="G60" s="363"/>
      <c r="H60" s="363"/>
      <c r="I60" s="363"/>
      <c r="J60" s="363"/>
      <c r="K60" s="359"/>
    </row>
    <row r="61" spans="1:11" s="360" customFormat="1">
      <c r="A61" s="364" t="str">
        <f>'Sources and Uses Budget'!$A61</f>
        <v>Other: (Specify)</v>
      </c>
      <c r="B61" s="361">
        <f>'Sources and Uses Budget'!C61</f>
        <v>0</v>
      </c>
      <c r="C61" s="362">
        <v>0</v>
      </c>
      <c r="D61" s="362"/>
      <c r="E61" s="363"/>
      <c r="F61" s="363"/>
      <c r="G61" s="363"/>
      <c r="H61" s="363"/>
      <c r="I61" s="363"/>
      <c r="J61" s="363"/>
      <c r="K61" s="359"/>
    </row>
    <row r="62" spans="1:11" s="360" customFormat="1" ht="13.7" customHeight="1">
      <c r="A62" s="365" t="s">
        <v>300</v>
      </c>
      <c r="B62" s="361">
        <f>'Sources and Uses Budget'!C62</f>
        <v>212000</v>
      </c>
      <c r="C62" s="361">
        <f>SUM(C56:C61)</f>
        <v>212000</v>
      </c>
      <c r="D62" s="361">
        <f>SUM(D56:D61)</f>
        <v>0</v>
      </c>
      <c r="E62" s="363"/>
      <c r="F62" s="363"/>
      <c r="G62" s="363"/>
      <c r="H62" s="363"/>
      <c r="I62" s="363"/>
      <c r="J62" s="363"/>
      <c r="K62" s="359"/>
    </row>
    <row r="63" spans="1:11" s="360" customFormat="1">
      <c r="A63" s="370" t="s">
        <v>301</v>
      </c>
      <c r="B63" s="361">
        <f>'Sources and Uses Budget'!C63</f>
        <v>90607570</v>
      </c>
      <c r="C63" s="361">
        <f>SUM(C8+C11+C13+C14+C15+C26+C27+C38+C42+C43+C54+C62)</f>
        <v>90607570</v>
      </c>
      <c r="D63" s="361">
        <f>SUM(D8+D11+D13+D14+D15+D26+D27+D38+D42+D43+D54+D62)</f>
        <v>0</v>
      </c>
      <c r="E63" s="361">
        <f>'Sources and Uses Budget'!S63</f>
        <v>77208070</v>
      </c>
      <c r="F63" s="361">
        <f>SUM(F10+F13+F14+F15+F26+F27+F38+F42+F43+F54)</f>
        <v>77208070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455000</v>
      </c>
      <c r="C65" s="362">
        <v>455000</v>
      </c>
      <c r="D65" s="362"/>
      <c r="E65" s="361">
        <f>'Sources and Uses Budget'!S65</f>
        <v>187059</v>
      </c>
      <c r="F65" s="362">
        <v>187059</v>
      </c>
      <c r="G65" s="362"/>
      <c r="H65" s="361">
        <f>'Sources and Uses Budget'!T65</f>
        <v>0</v>
      </c>
      <c r="I65" s="362"/>
      <c r="J65" s="362"/>
      <c r="K65" s="359"/>
    </row>
    <row r="66" spans="1:11" s="360" customFormat="1" ht="24">
      <c r="A66" s="283" t="s">
        <v>1640</v>
      </c>
      <c r="B66" s="361">
        <f>'Sources and Uses Budget'!C66</f>
        <v>315000</v>
      </c>
      <c r="C66" s="362">
        <v>315000</v>
      </c>
      <c r="D66" s="362"/>
      <c r="E66" s="361">
        <f>'Sources and Uses Budget'!S66</f>
        <v>315000</v>
      </c>
      <c r="F66" s="362">
        <v>315000</v>
      </c>
      <c r="G66" s="362"/>
      <c r="H66" s="361">
        <f>'Sources and Uses Budget'!T66</f>
        <v>0</v>
      </c>
      <c r="I66" s="362"/>
      <c r="J66" s="362"/>
      <c r="K66" s="359"/>
    </row>
    <row r="67" spans="1:11" s="360" customFormat="1" ht="24">
      <c r="A67" s="283" t="s">
        <v>1641</v>
      </c>
      <c r="B67" s="361">
        <f>'Sources and Uses Budget'!C67</f>
        <v>0</v>
      </c>
      <c r="C67" s="362">
        <v>0</v>
      </c>
      <c r="D67" s="362"/>
      <c r="E67" s="361">
        <f>'Sources and Uses Budget'!S67</f>
        <v>0</v>
      </c>
      <c r="F67" s="362">
        <v>0</v>
      </c>
      <c r="G67" s="362"/>
      <c r="H67" s="361">
        <f>'Sources and Uses Budget'!T67</f>
        <v>0</v>
      </c>
      <c r="I67" s="362"/>
      <c r="J67" s="362"/>
      <c r="K67" s="359"/>
    </row>
    <row r="68" spans="1:11" s="360" customFormat="1">
      <c r="A68" s="283" t="s">
        <v>1647</v>
      </c>
      <c r="B68" s="361">
        <f>'Sources and Uses Budget'!C68</f>
        <v>0</v>
      </c>
      <c r="C68" s="362">
        <v>0</v>
      </c>
      <c r="D68" s="362"/>
      <c r="E68" s="361">
        <f>'Sources and Uses Budget'!S68</f>
        <v>0</v>
      </c>
      <c r="F68" s="362">
        <v>0</v>
      </c>
      <c r="G68" s="362"/>
      <c r="H68" s="361">
        <f>'Sources and Uses Budget'!T68</f>
        <v>0</v>
      </c>
      <c r="I68" s="362"/>
      <c r="J68" s="362"/>
      <c r="K68" s="359"/>
    </row>
    <row r="69" spans="1:11" s="360" customFormat="1">
      <c r="A69" s="364" t="str">
        <f>'Sources and Uses Budget'!$A69</f>
        <v>Other: (Specify)</v>
      </c>
      <c r="B69" s="361">
        <f>'Sources and Uses Budget'!C69</f>
        <v>0</v>
      </c>
      <c r="C69" s="362">
        <v>0</v>
      </c>
      <c r="D69" s="362"/>
      <c r="E69" s="361">
        <f>'Sources and Uses Budget'!S69</f>
        <v>0</v>
      </c>
      <c r="F69" s="362">
        <v>0</v>
      </c>
      <c r="G69" s="362"/>
      <c r="H69" s="361">
        <f>'Sources and Uses Budget'!T69</f>
        <v>0</v>
      </c>
      <c r="I69" s="362"/>
      <c r="J69" s="362"/>
      <c r="K69" s="359"/>
    </row>
    <row r="70" spans="1:11" s="360" customFormat="1">
      <c r="A70" s="365" t="s">
        <v>600</v>
      </c>
      <c r="B70" s="361">
        <f>'Sources and Uses Budget'!C70</f>
        <v>770000</v>
      </c>
      <c r="C70" s="361">
        <f>SUM(C64:C69)</f>
        <v>770000</v>
      </c>
      <c r="D70" s="361">
        <f>SUM(D64:D69)</f>
        <v>0</v>
      </c>
      <c r="E70" s="361">
        <f>'Sources and Uses Budget'!S70</f>
        <v>502059</v>
      </c>
      <c r="F70" s="367">
        <f>SUM(F65:F69)</f>
        <v>502059</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v>0</v>
      </c>
      <c r="D72" s="362"/>
      <c r="E72" s="363"/>
      <c r="F72" s="363"/>
      <c r="G72" s="363"/>
      <c r="H72" s="363"/>
      <c r="I72" s="363"/>
      <c r="J72" s="363"/>
      <c r="K72" s="359"/>
    </row>
    <row r="73" spans="1:11" s="360" customFormat="1">
      <c r="A73" s="364" t="s">
        <v>603</v>
      </c>
      <c r="B73" s="361">
        <f>'Sources and Uses Budget'!C73</f>
        <v>0</v>
      </c>
      <c r="C73" s="362">
        <v>0</v>
      </c>
      <c r="D73" s="362"/>
      <c r="E73" s="363"/>
      <c r="F73" s="363"/>
      <c r="G73" s="363"/>
      <c r="H73" s="363"/>
      <c r="I73" s="363"/>
      <c r="J73" s="363"/>
      <c r="K73" s="359"/>
    </row>
    <row r="74" spans="1:11" s="360" customFormat="1">
      <c r="A74" s="366" t="s">
        <v>985</v>
      </c>
      <c r="B74" s="361">
        <f>'Sources and Uses Budget'!C74</f>
        <v>0</v>
      </c>
      <c r="C74" s="362">
        <v>0</v>
      </c>
      <c r="D74" s="362"/>
      <c r="E74" s="363"/>
      <c r="F74" s="363"/>
      <c r="G74" s="363"/>
      <c r="H74" s="363"/>
      <c r="I74" s="363"/>
      <c r="J74" s="363"/>
      <c r="K74" s="359"/>
    </row>
    <row r="75" spans="1:11" s="360" customFormat="1">
      <c r="A75" s="364" t="s">
        <v>604</v>
      </c>
      <c r="B75" s="361">
        <f>'Sources and Uses Budget'!C75</f>
        <v>897847</v>
      </c>
      <c r="C75" s="362">
        <v>897847</v>
      </c>
      <c r="D75" s="362"/>
      <c r="E75" s="363"/>
      <c r="F75" s="363"/>
      <c r="G75" s="363"/>
      <c r="H75" s="363"/>
      <c r="I75" s="363"/>
      <c r="J75" s="363"/>
      <c r="K75" s="359"/>
    </row>
    <row r="76" spans="1:11" s="360" customFormat="1">
      <c r="A76" s="364" t="str">
        <f>'Sources and Uses Budget'!$A76</f>
        <v>Other: (Specify)</v>
      </c>
      <c r="B76" s="361">
        <f>'Sources and Uses Budget'!C76</f>
        <v>0</v>
      </c>
      <c r="C76" s="362">
        <v>0</v>
      </c>
      <c r="D76" s="362"/>
      <c r="E76" s="363"/>
      <c r="F76" s="363"/>
      <c r="G76" s="363"/>
      <c r="H76" s="363"/>
      <c r="I76" s="363"/>
      <c r="J76" s="363"/>
      <c r="K76" s="359"/>
    </row>
    <row r="77" spans="1:11" s="360" customFormat="1">
      <c r="A77" s="365" t="s">
        <v>605</v>
      </c>
      <c r="B77" s="361">
        <f>'Sources and Uses Budget'!C77</f>
        <v>897847</v>
      </c>
      <c r="C77" s="361">
        <f>SUM(C72:C76)</f>
        <v>897847</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3212809</v>
      </c>
      <c r="C79" s="362">
        <v>3212809</v>
      </c>
      <c r="D79" s="362"/>
      <c r="E79" s="361">
        <f>'Sources and Uses Budget'!S79</f>
        <v>3212809</v>
      </c>
      <c r="F79" s="362">
        <v>3212809</v>
      </c>
      <c r="G79" s="362"/>
      <c r="H79" s="361">
        <f>'Sources and Uses Budget'!T79</f>
        <v>0</v>
      </c>
      <c r="I79" s="362"/>
      <c r="J79" s="362"/>
      <c r="K79" s="359"/>
    </row>
    <row r="80" spans="1:11" s="360" customFormat="1">
      <c r="A80" s="364" t="s">
        <v>58</v>
      </c>
      <c r="B80" s="361">
        <f>'Sources and Uses Budget'!C80</f>
        <v>93000</v>
      </c>
      <c r="C80" s="362">
        <v>93000</v>
      </c>
      <c r="D80" s="362"/>
      <c r="E80" s="361">
        <f>'Sources and Uses Budget'!S80</f>
        <v>93000</v>
      </c>
      <c r="F80" s="362">
        <v>93000</v>
      </c>
      <c r="G80" s="362"/>
      <c r="H80" s="361">
        <f>'Sources and Uses Budget'!T80</f>
        <v>0</v>
      </c>
      <c r="I80" s="362"/>
      <c r="J80" s="362"/>
      <c r="K80" s="359"/>
    </row>
    <row r="81" spans="1:11" s="360" customFormat="1">
      <c r="A81" s="365" t="s">
        <v>1208</v>
      </c>
      <c r="B81" s="361">
        <f>'Sources and Uses Budget'!C81</f>
        <v>3305809</v>
      </c>
      <c r="C81" s="361">
        <f>SUM(C79:C80)</f>
        <v>3305809</v>
      </c>
      <c r="D81" s="361">
        <f>SUM(D79:D80)</f>
        <v>0</v>
      </c>
      <c r="E81" s="361">
        <f>'Sources and Uses Budget'!S81</f>
        <v>3305809</v>
      </c>
      <c r="F81" s="361">
        <f>SUM(F79:F80)</f>
        <v>3305809</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2093</v>
      </c>
      <c r="B83" s="361">
        <f>'Sources and Uses Budget'!C83</f>
        <v>241310</v>
      </c>
      <c r="C83" s="362">
        <v>241310</v>
      </c>
      <c r="D83" s="362"/>
      <c r="E83" s="363"/>
      <c r="F83" s="363"/>
      <c r="G83" s="363"/>
      <c r="H83" s="363"/>
      <c r="I83" s="363"/>
      <c r="J83" s="363"/>
      <c r="K83" s="359"/>
    </row>
    <row r="84" spans="1:11" s="360" customFormat="1">
      <c r="A84" s="145" t="s">
        <v>766</v>
      </c>
      <c r="B84" s="361">
        <f>'Sources and Uses Budget'!C84</f>
        <v>98500</v>
      </c>
      <c r="C84" s="362">
        <v>98500</v>
      </c>
      <c r="D84" s="362"/>
      <c r="E84" s="361">
        <f>'Sources and Uses Budget'!S84</f>
        <v>98500</v>
      </c>
      <c r="F84" s="362">
        <v>98500</v>
      </c>
      <c r="G84" s="362"/>
      <c r="H84" s="361">
        <f>'Sources and Uses Budget'!T84</f>
        <v>0</v>
      </c>
      <c r="I84" s="362"/>
      <c r="J84" s="362"/>
      <c r="K84" s="359"/>
    </row>
    <row r="85" spans="1:11" s="360" customFormat="1">
      <c r="A85" s="145" t="s">
        <v>767</v>
      </c>
      <c r="B85" s="361">
        <f>'Sources and Uses Budget'!C85</f>
        <v>12590142</v>
      </c>
      <c r="C85" s="362">
        <v>12590142</v>
      </c>
      <c r="D85" s="362"/>
      <c r="E85" s="361">
        <f>'Sources and Uses Budget'!S85</f>
        <v>12590142</v>
      </c>
      <c r="F85" s="362">
        <v>12590142</v>
      </c>
      <c r="G85" s="362"/>
      <c r="H85" s="361">
        <f>'Sources and Uses Budget'!T85</f>
        <v>0</v>
      </c>
      <c r="I85" s="362"/>
      <c r="J85" s="362"/>
      <c r="K85" s="359"/>
    </row>
    <row r="86" spans="1:11" s="360" customFormat="1">
      <c r="A86" s="145" t="s">
        <v>768</v>
      </c>
      <c r="B86" s="361">
        <f>'Sources and Uses Budget'!C86</f>
        <v>300340</v>
      </c>
      <c r="C86" s="362">
        <v>300340</v>
      </c>
      <c r="D86" s="362"/>
      <c r="E86" s="361">
        <f>'Sources and Uses Budget'!S86</f>
        <v>300340</v>
      </c>
      <c r="F86" s="362">
        <v>300340</v>
      </c>
      <c r="G86" s="362"/>
      <c r="H86" s="361">
        <f>'Sources and Uses Budget'!T86</f>
        <v>0</v>
      </c>
      <c r="I86" s="362"/>
      <c r="J86" s="362"/>
      <c r="K86" s="359"/>
    </row>
    <row r="87" spans="1:11" s="360" customFormat="1">
      <c r="A87" s="145" t="s">
        <v>769</v>
      </c>
      <c r="B87" s="361">
        <f>'Sources and Uses Budget'!C87</f>
        <v>1142713</v>
      </c>
      <c r="C87" s="362">
        <v>1142713</v>
      </c>
      <c r="D87" s="362"/>
      <c r="E87" s="361">
        <f>'Sources and Uses Budget'!S87</f>
        <v>842713</v>
      </c>
      <c r="F87" s="362">
        <v>842713</v>
      </c>
      <c r="G87" s="362"/>
      <c r="H87" s="361">
        <f>'Sources and Uses Budget'!T87</f>
        <v>0</v>
      </c>
      <c r="I87" s="362"/>
      <c r="J87" s="362"/>
      <c r="K87" s="359"/>
    </row>
    <row r="88" spans="1:11" s="360" customFormat="1">
      <c r="A88" s="145" t="s">
        <v>770</v>
      </c>
      <c r="B88" s="361">
        <f>'Sources and Uses Budget'!C88</f>
        <v>0</v>
      </c>
      <c r="C88" s="362">
        <v>0</v>
      </c>
      <c r="D88" s="362"/>
      <c r="E88" s="363"/>
      <c r="F88" s="363"/>
      <c r="G88" s="363"/>
      <c r="H88" s="363"/>
      <c r="I88" s="363"/>
      <c r="J88" s="363"/>
      <c r="K88" s="359"/>
    </row>
    <row r="89" spans="1:11" s="360" customFormat="1">
      <c r="A89" s="145" t="s">
        <v>771</v>
      </c>
      <c r="B89" s="361">
        <f>'Sources and Uses Budget'!C89</f>
        <v>1135140</v>
      </c>
      <c r="C89" s="362">
        <v>1135140</v>
      </c>
      <c r="D89" s="362"/>
      <c r="E89" s="361">
        <f>'Sources and Uses Budget'!S89</f>
        <v>451340</v>
      </c>
      <c r="F89" s="362">
        <v>451340</v>
      </c>
      <c r="G89" s="362"/>
      <c r="H89" s="361">
        <f>'Sources and Uses Budget'!T89</f>
        <v>0</v>
      </c>
      <c r="I89" s="362"/>
      <c r="J89" s="362"/>
      <c r="K89" s="359"/>
    </row>
    <row r="90" spans="1:11" s="360" customFormat="1">
      <c r="A90" s="145" t="s">
        <v>772</v>
      </c>
      <c r="B90" s="361">
        <f>'Sources and Uses Budget'!C90</f>
        <v>15000</v>
      </c>
      <c r="C90" s="362">
        <v>15000</v>
      </c>
      <c r="D90" s="362"/>
      <c r="E90" s="361">
        <f>'Sources and Uses Budget'!S90</f>
        <v>15000</v>
      </c>
      <c r="F90" s="362">
        <v>15000</v>
      </c>
      <c r="G90" s="362"/>
      <c r="H90" s="361">
        <f>'Sources and Uses Budget'!T90</f>
        <v>0</v>
      </c>
      <c r="I90" s="362"/>
      <c r="J90" s="362"/>
      <c r="K90" s="359"/>
    </row>
    <row r="91" spans="1:11" s="360" customFormat="1">
      <c r="A91" s="155" t="s">
        <v>371</v>
      </c>
      <c r="B91" s="361">
        <f>'Sources and Uses Budget'!C91</f>
        <v>15000</v>
      </c>
      <c r="C91" s="362">
        <v>15000</v>
      </c>
      <c r="D91" s="362"/>
      <c r="E91" s="361">
        <f>'Sources and Uses Budget'!S91</f>
        <v>0</v>
      </c>
      <c r="F91" s="362">
        <v>0</v>
      </c>
      <c r="G91" s="362"/>
      <c r="H91" s="361">
        <f>'Sources and Uses Budget'!T91</f>
        <v>0</v>
      </c>
      <c r="I91" s="362"/>
      <c r="J91" s="362"/>
      <c r="K91" s="359"/>
    </row>
    <row r="92" spans="1:11" s="360" customFormat="1">
      <c r="A92" s="508" t="s">
        <v>1210</v>
      </c>
      <c r="B92" s="361">
        <f>'Sources and Uses Budget'!C92</f>
        <v>21000</v>
      </c>
      <c r="C92" s="362">
        <v>21000</v>
      </c>
      <c r="D92" s="362"/>
      <c r="E92" s="361">
        <f>'Sources and Uses Budget'!S92</f>
        <v>21000</v>
      </c>
      <c r="F92" s="362">
        <v>21000</v>
      </c>
      <c r="G92" s="362"/>
      <c r="H92" s="361">
        <f>'Sources and Uses Budget'!T92</f>
        <v>0</v>
      </c>
      <c r="I92" s="362"/>
      <c r="J92" s="362"/>
      <c r="K92" s="359"/>
    </row>
    <row r="93" spans="1:11" s="360" customFormat="1">
      <c r="A93" s="364" t="str">
        <f>'Sources and Uses Budget'!$A93</f>
        <v>Other: (Specify)</v>
      </c>
      <c r="B93" s="361">
        <f>'Sources and Uses Budget'!C93</f>
        <v>0</v>
      </c>
      <c r="C93" s="362">
        <v>0</v>
      </c>
      <c r="D93" s="362"/>
      <c r="E93" s="361">
        <f>'Sources and Uses Budget'!S93</f>
        <v>0</v>
      </c>
      <c r="F93" s="362">
        <v>0</v>
      </c>
      <c r="G93" s="362"/>
      <c r="H93" s="361">
        <f>'Sources and Uses Budget'!T93</f>
        <v>0</v>
      </c>
      <c r="I93" s="362"/>
      <c r="J93" s="362"/>
      <c r="K93" s="359"/>
    </row>
    <row r="94" spans="1:11" s="360" customFormat="1">
      <c r="A94" s="364" t="str">
        <f>'Sources and Uses Budget'!$A94</f>
        <v>Other: (Specify)</v>
      </c>
      <c r="B94" s="361">
        <f>'Sources and Uses Budget'!C94</f>
        <v>0</v>
      </c>
      <c r="C94" s="362">
        <v>0</v>
      </c>
      <c r="D94" s="362"/>
      <c r="E94" s="361">
        <f>'Sources and Uses Budget'!S94</f>
        <v>0</v>
      </c>
      <c r="F94" s="362">
        <v>0</v>
      </c>
      <c r="G94" s="362"/>
      <c r="H94" s="361">
        <f>'Sources and Uses Budget'!T94</f>
        <v>0</v>
      </c>
      <c r="I94" s="362"/>
      <c r="J94" s="362"/>
      <c r="K94" s="359"/>
    </row>
    <row r="95" spans="1:11" s="360" customFormat="1">
      <c r="A95" s="364" t="str">
        <f>'Sources and Uses Budget'!$A95</f>
        <v>Other: (Specify)</v>
      </c>
      <c r="B95" s="361">
        <f>'Sources and Uses Budget'!C95</f>
        <v>0</v>
      </c>
      <c r="C95" s="362">
        <v>0</v>
      </c>
      <c r="D95" s="362"/>
      <c r="E95" s="361">
        <f>'Sources and Uses Budget'!S95</f>
        <v>0</v>
      </c>
      <c r="F95" s="362">
        <v>0</v>
      </c>
      <c r="G95" s="362"/>
      <c r="H95" s="361">
        <f>'Sources and Uses Budget'!T95</f>
        <v>0</v>
      </c>
      <c r="I95" s="362"/>
      <c r="J95" s="362"/>
      <c r="K95" s="359"/>
    </row>
    <row r="96" spans="1:11" s="360" customFormat="1">
      <c r="A96" s="365" t="s">
        <v>773</v>
      </c>
      <c r="B96" s="361">
        <f>'Sources and Uses Budget'!C96</f>
        <v>15559145</v>
      </c>
      <c r="C96" s="361">
        <f>SUM(C83:C95)</f>
        <v>15559145</v>
      </c>
      <c r="D96" s="361">
        <f>SUM(D83:D95)</f>
        <v>0</v>
      </c>
      <c r="E96" s="361">
        <f>'Sources and Uses Budget'!S96</f>
        <v>14319035</v>
      </c>
      <c r="F96" s="367">
        <f>SUM(F84:F87,F89:F95)</f>
        <v>14319035</v>
      </c>
      <c r="G96" s="367">
        <f>SUM(G84:G87,G89:G95)</f>
        <v>0</v>
      </c>
      <c r="H96" s="361">
        <f>'Sources and Uses Budget'!T96</f>
        <v>0</v>
      </c>
      <c r="I96" s="361">
        <f>SUM(I84:I87,I89:I95)</f>
        <v>0</v>
      </c>
      <c r="J96" s="361">
        <f>SUM(J84:J87,J89:J95)</f>
        <v>0</v>
      </c>
      <c r="K96" s="359"/>
    </row>
    <row r="97" spans="1:11" s="360" customFormat="1">
      <c r="A97" s="365" t="s">
        <v>1028</v>
      </c>
      <c r="B97" s="361">
        <f>'Sources and Uses Budget'!C97</f>
        <v>111140371</v>
      </c>
      <c r="C97" s="361">
        <f>SUM(C63+C70+C77+C81+C96)</f>
        <v>111140371</v>
      </c>
      <c r="D97" s="361">
        <f>SUM(D63+D70+D77+D81+D96)</f>
        <v>0</v>
      </c>
      <c r="E97" s="361">
        <f>'Sources and Uses Budget'!S97</f>
        <v>95334973</v>
      </c>
      <c r="F97" s="367">
        <f>SUM(+F63+F70+F81+F96)</f>
        <v>95334973</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13220190</v>
      </c>
      <c r="C99" s="362">
        <v>13220190</v>
      </c>
      <c r="D99" s="362"/>
      <c r="E99" s="361">
        <f>'Sources and Uses Budget'!S99</f>
        <v>13220190</v>
      </c>
      <c r="F99" s="362">
        <v>13220190</v>
      </c>
      <c r="G99" s="362"/>
      <c r="H99" s="361">
        <f>'Sources and Uses Budget'!T99</f>
        <v>0</v>
      </c>
      <c r="I99" s="362"/>
      <c r="J99" s="362"/>
      <c r="K99" s="359"/>
    </row>
    <row r="100" spans="1:11" s="360" customFormat="1">
      <c r="A100" s="283" t="s">
        <v>1645</v>
      </c>
      <c r="B100" s="361">
        <f>'Sources and Uses Budget'!C100</f>
        <v>0</v>
      </c>
      <c r="C100" s="362">
        <v>0</v>
      </c>
      <c r="D100" s="362"/>
      <c r="E100" s="361">
        <f>'Sources and Uses Budget'!S100</f>
        <v>0</v>
      </c>
      <c r="F100" s="362">
        <v>0</v>
      </c>
      <c r="G100" s="362"/>
      <c r="H100" s="361">
        <f>'Sources and Uses Budget'!T100</f>
        <v>0</v>
      </c>
      <c r="I100" s="362"/>
      <c r="J100" s="362"/>
      <c r="K100" s="359"/>
    </row>
    <row r="101" spans="1:11" s="360" customFormat="1">
      <c r="A101" s="145" t="s">
        <v>777</v>
      </c>
      <c r="B101" s="361">
        <f>'Sources and Uses Budget'!C101</f>
        <v>0</v>
      </c>
      <c r="C101" s="362">
        <v>0</v>
      </c>
      <c r="D101" s="362"/>
      <c r="E101" s="361">
        <f>'Sources and Uses Budget'!S101</f>
        <v>0</v>
      </c>
      <c r="F101" s="362">
        <v>0</v>
      </c>
      <c r="G101" s="362"/>
      <c r="H101" s="361">
        <f>'Sources and Uses Budget'!T101</f>
        <v>0</v>
      </c>
      <c r="I101" s="362"/>
      <c r="J101" s="362"/>
      <c r="K101" s="359"/>
    </row>
    <row r="102" spans="1:11" s="360" customFormat="1" ht="12" customHeight="1">
      <c r="A102" s="283" t="s">
        <v>1646</v>
      </c>
      <c r="B102" s="361">
        <f>'Sources and Uses Budget'!C102</f>
        <v>1080055</v>
      </c>
      <c r="C102" s="362">
        <v>1080055</v>
      </c>
      <c r="D102" s="362"/>
      <c r="E102" s="361">
        <f>'Sources and Uses Budget'!S102</f>
        <v>1080055</v>
      </c>
      <c r="F102" s="362">
        <v>1080055</v>
      </c>
      <c r="G102" s="362"/>
      <c r="H102" s="361">
        <f>'Sources and Uses Budget'!T102</f>
        <v>0</v>
      </c>
      <c r="I102" s="362"/>
      <c r="J102" s="362"/>
      <c r="K102" s="359"/>
    </row>
    <row r="103" spans="1:11" s="360" customFormat="1">
      <c r="A103" s="364" t="str">
        <f>'Sources and Uses Budget'!$A103</f>
        <v>Other: (Specify)</v>
      </c>
      <c r="B103" s="361">
        <f>'Sources and Uses Budget'!C103</f>
        <v>0</v>
      </c>
      <c r="C103" s="362">
        <v>0</v>
      </c>
      <c r="D103" s="362"/>
      <c r="E103" s="361">
        <f>'Sources and Uses Budget'!S103</f>
        <v>0</v>
      </c>
      <c r="F103" s="362">
        <v>0</v>
      </c>
      <c r="G103" s="362"/>
      <c r="H103" s="361">
        <f>'Sources and Uses Budget'!T103</f>
        <v>0</v>
      </c>
      <c r="I103" s="362"/>
      <c r="J103" s="362"/>
      <c r="K103" s="359"/>
    </row>
    <row r="104" spans="1:11" s="360" customFormat="1">
      <c r="A104" s="365" t="s">
        <v>778</v>
      </c>
      <c r="B104" s="361">
        <f>'Sources and Uses Budget'!C104</f>
        <v>14300245</v>
      </c>
      <c r="C104" s="361">
        <f>SUM(C99:C103)</f>
        <v>14300245</v>
      </c>
      <c r="D104" s="361">
        <f>SUM(D99:D103)</f>
        <v>0</v>
      </c>
      <c r="E104" s="361">
        <f>'Sources and Uses Budget'!S104</f>
        <v>14300245</v>
      </c>
      <c r="F104" s="367">
        <f>SUM(F99:F103)</f>
        <v>14300245</v>
      </c>
      <c r="G104" s="367">
        <f>SUM(G99:G103)</f>
        <v>0</v>
      </c>
      <c r="H104" s="361">
        <f>'Sources and Uses Budget'!T104</f>
        <v>0</v>
      </c>
      <c r="I104" s="367">
        <f>SUM(I99:I103)</f>
        <v>0</v>
      </c>
      <c r="J104" s="367">
        <f>SUM(J99:J103)</f>
        <v>0</v>
      </c>
      <c r="K104" s="359"/>
    </row>
    <row r="105" spans="1:11" s="360" customFormat="1">
      <c r="A105" s="365" t="s">
        <v>1029</v>
      </c>
      <c r="B105" s="361">
        <f>'Sources and Uses Budget'!C105</f>
        <v>125440616</v>
      </c>
      <c r="C105" s="367">
        <f>SUM(C97+C104)</f>
        <v>125440616</v>
      </c>
      <c r="D105" s="367">
        <f>SUM(D97+D104)</f>
        <v>0</v>
      </c>
      <c r="E105" s="361">
        <f>'Sources and Uses Budget'!S105</f>
        <v>109635218</v>
      </c>
      <c r="F105" s="367">
        <f>F97+F104</f>
        <v>109635218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109635218</v>
      </c>
      <c r="F107" s="367">
        <f>F105+F106</f>
        <v>109635218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2455</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2454</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1" t="str">
        <f>IF(Application!H18="","",Application!H18)</f>
        <v>Asteria Flats</v>
      </c>
      <c r="M4" s="2312"/>
      <c r="N4" s="2312"/>
      <c r="O4" s="2312"/>
      <c r="P4" s="2312"/>
      <c r="Q4" s="2312"/>
      <c r="R4" s="2312"/>
      <c r="S4" s="2312"/>
      <c r="T4" s="2312"/>
      <c r="U4" s="2312"/>
      <c r="V4" s="2312"/>
      <c r="W4" s="2312"/>
      <c r="X4" s="2312"/>
      <c r="Y4" s="2312"/>
      <c r="Z4" s="2312"/>
      <c r="AA4" s="2312"/>
      <c r="AB4" s="2312"/>
      <c r="AC4" s="2313"/>
      <c r="AD4" s="1190"/>
      <c r="AE4" s="1190"/>
      <c r="AF4" s="2307" t="s">
        <v>2453</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2452</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1" t="str">
        <f>IF(Application!H16="","",Application!H16)</f>
        <v>Rancho Cordova Owner LP</v>
      </c>
      <c r="M6" s="2312"/>
      <c r="N6" s="2312"/>
      <c r="O6" s="2312"/>
      <c r="P6" s="2312"/>
      <c r="Q6" s="2312"/>
      <c r="R6" s="2312"/>
      <c r="S6" s="2312"/>
      <c r="T6" s="2312"/>
      <c r="U6" s="2312"/>
      <c r="V6" s="2312"/>
      <c r="W6" s="2312"/>
      <c r="X6" s="2312"/>
      <c r="Y6" s="2312"/>
      <c r="Z6" s="2312"/>
      <c r="AA6" s="2312"/>
      <c r="AB6" s="2312"/>
      <c r="AC6" s="2313"/>
      <c r="AD6" s="1190"/>
      <c r="AE6" s="1190"/>
      <c r="AF6" s="2314" t="s">
        <v>2450</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2449</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2447</v>
      </c>
      <c r="AG8" s="2314"/>
      <c r="AH8" s="2314"/>
      <c r="AI8" s="2314"/>
      <c r="AJ8" s="2314"/>
      <c r="AK8" s="2314"/>
      <c r="AL8" s="2314"/>
      <c r="AM8" s="2314"/>
      <c r="AN8" s="2314"/>
      <c r="AO8" s="2314"/>
      <c r="AP8" s="2315" t="s">
        <v>2097</v>
      </c>
      <c r="AQ8" s="2315"/>
      <c r="AR8" s="2315"/>
      <c r="AS8" s="2315"/>
      <c r="AT8" s="2315"/>
      <c r="AU8" s="2315"/>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2446</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0">
        <f>Application!AO627</f>
        <v>32000000</v>
      </c>
      <c r="O10" s="2310"/>
      <c r="P10" s="2310"/>
      <c r="Q10" s="2310"/>
      <c r="R10" s="2310"/>
      <c r="S10" s="2310"/>
      <c r="T10" s="2310"/>
      <c r="U10" s="1190"/>
      <c r="V10" s="1190"/>
      <c r="W10" s="1190"/>
      <c r="X10" s="1193"/>
      <c r="Y10" s="1193"/>
      <c r="Z10" s="1193"/>
      <c r="AA10" s="1193"/>
      <c r="AB10" s="1193"/>
      <c r="AC10" s="1193"/>
      <c r="AD10" s="1193"/>
      <c r="AE10" s="1193"/>
      <c r="AF10" s="2307" t="s">
        <v>2443</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2440</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298" t="s">
        <v>2438</v>
      </c>
      <c r="C13" s="2299"/>
      <c r="D13" s="2299"/>
      <c r="E13" s="2299"/>
      <c r="F13" s="2299"/>
      <c r="G13" s="2299"/>
      <c r="H13" s="2299"/>
      <c r="I13" s="2299"/>
      <c r="J13" s="2299"/>
      <c r="K13" s="2299"/>
      <c r="L13" s="2299"/>
      <c r="M13" s="2299"/>
      <c r="N13" s="2299"/>
      <c r="O13" s="2299"/>
      <c r="P13" s="2300"/>
      <c r="Q13" s="2301" t="s">
        <v>668</v>
      </c>
      <c r="R13" s="2302"/>
      <c r="S13" s="2302"/>
      <c r="T13" s="2303"/>
      <c r="U13" s="1193"/>
      <c r="V13" s="1190"/>
      <c r="W13" s="1190"/>
      <c r="X13" s="1190"/>
      <c r="Y13" s="1190"/>
      <c r="Z13" s="1190"/>
      <c r="AA13" s="2288" t="s">
        <v>2437</v>
      </c>
      <c r="AB13" s="2288"/>
      <c r="AC13" s="2288"/>
      <c r="AD13" s="2288"/>
      <c r="AE13" s="2288"/>
      <c r="AF13" s="2288"/>
      <c r="AG13" s="2288"/>
      <c r="AH13" s="2288"/>
      <c r="AI13" s="2288"/>
      <c r="AJ13" s="2288"/>
      <c r="AK13" s="2288"/>
      <c r="AL13" s="2288"/>
      <c r="AM13" s="2288"/>
      <c r="AN13" s="2288"/>
      <c r="AO13" s="2304">
        <f>Application!W473</f>
        <v>36</v>
      </c>
      <c r="AP13" s="2305"/>
      <c r="AQ13" s="2305"/>
      <c r="AR13" s="2305"/>
      <c r="AS13" s="2305"/>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2435</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2434</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2433</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2432</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2431</v>
      </c>
      <c r="C18" s="2292"/>
      <c r="D18" s="2292"/>
      <c r="E18" s="2292"/>
      <c r="F18" s="2292"/>
      <c r="G18" s="2292"/>
      <c r="H18" s="2292"/>
      <c r="I18" s="2293"/>
      <c r="J18" s="2294" t="s">
        <v>1585</v>
      </c>
      <c r="K18" s="2295"/>
      <c r="L18" s="2295"/>
      <c r="M18" s="2295"/>
      <c r="N18" s="2295"/>
      <c r="O18" s="2296"/>
      <c r="P18" s="2294" t="s">
        <v>323</v>
      </c>
      <c r="Q18" s="2295"/>
      <c r="R18" s="2295"/>
      <c r="S18" s="2295"/>
      <c r="T18" s="2295"/>
      <c r="U18" s="2296"/>
      <c r="V18" s="2294" t="s">
        <v>324</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2430</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29</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20</v>
      </c>
      <c r="W19" s="2281"/>
      <c r="X19" s="2281"/>
      <c r="Y19" s="2281"/>
      <c r="Z19" s="2281"/>
      <c r="AA19" s="2282"/>
      <c r="AB19" s="2280" cm="1">
        <f t="array" ref="AB19">SUMPRODUCT((Application!$B$714:$B$738 = 'CalHFA Addendum'!AB$18)*(Application!$AC$714:$AC$738 = 'CalHFA Addendum'!$B19),Application!$G$714:$G$738)</f>
        <v>3</v>
      </c>
      <c r="AC19" s="2281"/>
      <c r="AD19" s="2281"/>
      <c r="AE19" s="2281"/>
      <c r="AF19" s="2281"/>
      <c r="AG19" s="2282"/>
      <c r="AH19" s="2280" cm="1">
        <f t="array" ref="AH19">SUMPRODUCT((Application!$B$714:$B$738 = 'CalHFA Addendum'!AH$18)*(Application!$AC$714:$AC$738 = 'CalHFA Addendum'!$B19),Application!$G$714:$G$738)</f>
        <v>3</v>
      </c>
      <c r="AI19" s="2281"/>
      <c r="AJ19" s="2281"/>
      <c r="AK19" s="2281"/>
      <c r="AL19" s="2281"/>
      <c r="AM19" s="2282"/>
      <c r="AN19" s="2280" cm="1">
        <f t="array" ref="AN19">SUMPRODUCT((Application!$B$714:$B$738 = 'CalHFA Addendum'!AN$18)*(Application!$AC$714:$AC$738 = 'CalHFA Addendum'!$B19),Application!$G$714:$G$738)</f>
        <v>3</v>
      </c>
      <c r="AO19" s="2281"/>
      <c r="AP19" s="2281"/>
      <c r="AQ19" s="2281"/>
      <c r="AR19" s="2281"/>
      <c r="AS19" s="2282"/>
      <c r="AT19" s="2265">
        <f t="shared" ref="AT19:AT29" si="1">J19/$J$29</f>
        <v>0.1228813559322034</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29</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20</v>
      </c>
      <c r="W21" s="2281"/>
      <c r="X21" s="2281"/>
      <c r="Y21" s="2281"/>
      <c r="Z21" s="2281"/>
      <c r="AA21" s="2282"/>
      <c r="AB21" s="2280" cm="1">
        <f t="array" ref="AB21">SUMPRODUCT((Application!$B$714:$B$738 = 'CalHFA Addendum'!AB$18)*(Application!$AC$714:$AC$738 = 'CalHFA Addendum'!$B21),Application!$G$714:$G$738)</f>
        <v>3</v>
      </c>
      <c r="AC21" s="2281"/>
      <c r="AD21" s="2281"/>
      <c r="AE21" s="2281"/>
      <c r="AF21" s="2281"/>
      <c r="AG21" s="2282"/>
      <c r="AH21" s="2280" cm="1">
        <f t="array" ref="AH21">SUMPRODUCT((Application!$B$714:$B$738 = 'CalHFA Addendum'!AH$18)*(Application!$AC$714:$AC$738 = 'CalHFA Addendum'!$B21),Application!$G$714:$G$738)</f>
        <v>3</v>
      </c>
      <c r="AI21" s="2281"/>
      <c r="AJ21" s="2281"/>
      <c r="AK21" s="2281"/>
      <c r="AL21" s="2281"/>
      <c r="AM21" s="2282"/>
      <c r="AN21" s="2280" cm="1">
        <f t="array" ref="AN21">SUMPRODUCT((Application!$B$714:$B$738 = 'CalHFA Addendum'!AN$18)*(Application!$AC$714:$AC$738 = 'CalHFA Addendum'!$B21),Application!$G$714:$G$738)</f>
        <v>3</v>
      </c>
      <c r="AO21" s="2281"/>
      <c r="AP21" s="2281"/>
      <c r="AQ21" s="2281"/>
      <c r="AR21" s="2281"/>
      <c r="AS21" s="2282"/>
      <c r="AT21" s="2265">
        <f t="shared" si="1"/>
        <v>0.1228813559322034</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64</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11</v>
      </c>
      <c r="W22" s="2281"/>
      <c r="X22" s="2281"/>
      <c r="Y22" s="2281"/>
      <c r="Z22" s="2281"/>
      <c r="AA22" s="2282"/>
      <c r="AB22" s="2280" cm="1">
        <f t="array" ref="AB22">SUMPRODUCT((Application!$B$714:$B$738 = 'CalHFA Addendum'!AB$18)*(Application!$AC$714:$AC$738 = 'CalHFA Addendum'!$B22),Application!$G$714:$G$738)</f>
        <v>25</v>
      </c>
      <c r="AC22" s="2281"/>
      <c r="AD22" s="2281"/>
      <c r="AE22" s="2281"/>
      <c r="AF22" s="2281"/>
      <c r="AG22" s="2282"/>
      <c r="AH22" s="2280" cm="1">
        <f t="array" ref="AH22">SUMPRODUCT((Application!$B$714:$B$738 = 'CalHFA Addendum'!AH$18)*(Application!$AC$714:$AC$738 = 'CalHFA Addendum'!$B22),Application!$G$714:$G$738)</f>
        <v>15</v>
      </c>
      <c r="AI22" s="2281"/>
      <c r="AJ22" s="2281"/>
      <c r="AK22" s="2281"/>
      <c r="AL22" s="2281"/>
      <c r="AM22" s="2282"/>
      <c r="AN22" s="2280" cm="1">
        <f t="array" ref="AN22">SUMPRODUCT((Application!$B$714:$B$738 = 'CalHFA Addendum'!AN$18)*(Application!$AC$714:$AC$738 = 'CalHFA Addendum'!$B22),Application!$G$714:$G$738)</f>
        <v>13</v>
      </c>
      <c r="AO22" s="2281"/>
      <c r="AP22" s="2281"/>
      <c r="AQ22" s="2281"/>
      <c r="AR22" s="2281"/>
      <c r="AS22" s="2282"/>
      <c r="AT22" s="2265">
        <f t="shared" si="1"/>
        <v>0.2711864406779661</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112</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9</v>
      </c>
      <c r="W23" s="2281"/>
      <c r="X23" s="2281"/>
      <c r="Y23" s="2281"/>
      <c r="Z23" s="2281"/>
      <c r="AA23" s="2282"/>
      <c r="AB23" s="2280" cm="1">
        <f t="array" ref="AB23">SUMPRODUCT((Application!$B$714:$B$738 = 'CalHFA Addendum'!AB$18)*(Application!$AC$714:$AC$738 = 'CalHFA Addendum'!$B23),Application!$G$714:$G$738)</f>
        <v>29</v>
      </c>
      <c r="AC23" s="2281"/>
      <c r="AD23" s="2281"/>
      <c r="AE23" s="2281"/>
      <c r="AF23" s="2281"/>
      <c r="AG23" s="2282"/>
      <c r="AH23" s="2280" cm="1">
        <f t="array" ref="AH23">SUMPRODUCT((Application!$B$714:$B$738 = 'CalHFA Addendum'!AH$18)*(Application!$AC$714:$AC$738 = 'CalHFA Addendum'!$B23),Application!$G$714:$G$738)</f>
        <v>35</v>
      </c>
      <c r="AI23" s="2281"/>
      <c r="AJ23" s="2281"/>
      <c r="AK23" s="2281"/>
      <c r="AL23" s="2281"/>
      <c r="AM23" s="2282"/>
      <c r="AN23" s="2280" cm="1">
        <f t="array" ref="AN23">SUMPRODUCT((Application!$B$714:$B$738 = 'CalHFA Addendum'!AN$18)*(Application!$AC$714:$AC$738 = 'CalHFA Addendum'!$B23),Application!$G$714:$G$738)</f>
        <v>39</v>
      </c>
      <c r="AO23" s="2281"/>
      <c r="AP23" s="2281"/>
      <c r="AQ23" s="2281"/>
      <c r="AR23" s="2281"/>
      <c r="AS23" s="2282"/>
      <c r="AT23" s="2265">
        <f t="shared" si="1"/>
        <v>0.47457627118644069</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2429</v>
      </c>
      <c r="C28" s="2269"/>
      <c r="D28" s="2269"/>
      <c r="E28" s="2269"/>
      <c r="F28" s="2269"/>
      <c r="G28" s="2269"/>
      <c r="H28" s="2269"/>
      <c r="I28" s="2270"/>
      <c r="J28" s="2271">
        <f>SUM(P28:AS28)</f>
        <v>2</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0</v>
      </c>
      <c r="AC28" s="2272"/>
      <c r="AD28" s="2272"/>
      <c r="AE28" s="2272"/>
      <c r="AF28" s="2272"/>
      <c r="AG28" s="2273"/>
      <c r="AH28" s="2271">
        <f>_xlfn.IFNA(VLOOKUP(AH$18,Application!$J$773:$S$776,6,FALSE), 0)</f>
        <v>2</v>
      </c>
      <c r="AI28" s="2272"/>
      <c r="AJ28" s="2272"/>
      <c r="AK28" s="2272"/>
      <c r="AL28" s="2272"/>
      <c r="AM28" s="2273"/>
      <c r="AN28" s="2271">
        <f>_xlfn.IFNA(VLOOKUP(AN$18,Application!$J$773:$S$776,6,FALSE), 0)</f>
        <v>0</v>
      </c>
      <c r="AO28" s="2272"/>
      <c r="AP28" s="2272"/>
      <c r="AQ28" s="2272"/>
      <c r="AR28" s="2272"/>
      <c r="AS28" s="2273"/>
      <c r="AT28" s="2274">
        <f t="shared" si="1"/>
        <v>8.4745762711864406E-3</v>
      </c>
      <c r="AU28" s="2275"/>
      <c r="AV28" s="2275"/>
      <c r="AW28" s="2275"/>
      <c r="AX28" s="2275"/>
      <c r="AY28" s="2276"/>
      <c r="AZ28" s="1190"/>
      <c r="BA28" s="1190"/>
      <c r="BB28" s="1190"/>
      <c r="BC28" s="1190"/>
      <c r="BD28" s="1190"/>
      <c r="BE28" s="1194"/>
    </row>
    <row r="29" spans="1:58" thickBot="1">
      <c r="A29" s="1190"/>
      <c r="B29" s="2251" t="s">
        <v>1585</v>
      </c>
      <c r="C29" s="2224"/>
      <c r="D29" s="2224"/>
      <c r="E29" s="2224"/>
      <c r="F29" s="2224"/>
      <c r="G29" s="2224"/>
      <c r="H29" s="2224"/>
      <c r="I29" s="2225"/>
      <c r="J29" s="2223">
        <f>SUM(J19:O28)</f>
        <v>236</v>
      </c>
      <c r="K29" s="2224"/>
      <c r="L29" s="2224"/>
      <c r="M29" s="2224"/>
      <c r="N29" s="2224"/>
      <c r="O29" s="2225"/>
      <c r="P29" s="2223">
        <f>SUM(P19:U28)</f>
        <v>0</v>
      </c>
      <c r="Q29" s="2224"/>
      <c r="R29" s="2224"/>
      <c r="S29" s="2224"/>
      <c r="T29" s="2224"/>
      <c r="U29" s="2225"/>
      <c r="V29" s="2223">
        <f>SUM(V19:AA28)</f>
        <v>60</v>
      </c>
      <c r="W29" s="2224"/>
      <c r="X29" s="2224"/>
      <c r="Y29" s="2224"/>
      <c r="Z29" s="2224"/>
      <c r="AA29" s="2225"/>
      <c r="AB29" s="2223">
        <f>SUM(AB19:AG28)</f>
        <v>60</v>
      </c>
      <c r="AC29" s="2224"/>
      <c r="AD29" s="2224"/>
      <c r="AE29" s="2224"/>
      <c r="AF29" s="2224"/>
      <c r="AG29" s="2225"/>
      <c r="AH29" s="2223">
        <f>SUM(AH19:AM28)</f>
        <v>58</v>
      </c>
      <c r="AI29" s="2224"/>
      <c r="AJ29" s="2224"/>
      <c r="AK29" s="2224"/>
      <c r="AL29" s="2224"/>
      <c r="AM29" s="2225"/>
      <c r="AN29" s="2223">
        <f>SUM(AN19:AS28)</f>
        <v>58</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2428</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2427</v>
      </c>
      <c r="C32" s="2233"/>
      <c r="D32" s="2233"/>
      <c r="E32" s="2233"/>
      <c r="F32" s="2233"/>
      <c r="G32" s="2233"/>
      <c r="H32" s="2233"/>
      <c r="I32" s="2233"/>
      <c r="J32" s="2236" t="s">
        <v>2426</v>
      </c>
      <c r="K32" s="2237"/>
      <c r="L32" s="2237"/>
      <c r="M32" s="2237"/>
      <c r="N32" s="2236" t="s">
        <v>2425</v>
      </c>
      <c r="O32" s="2237"/>
      <c r="P32" s="2237"/>
      <c r="Q32" s="2239"/>
      <c r="R32" s="2241" t="s">
        <v>2424</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2423</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2422</v>
      </c>
      <c r="AT35" s="2253"/>
      <c r="AU35" s="2253"/>
      <c r="AV35" s="2253"/>
      <c r="AW35" s="2253"/>
      <c r="AX35" s="2261"/>
      <c r="AY35" s="2252" t="s">
        <v>2421</v>
      </c>
      <c r="AZ35" s="2253"/>
      <c r="BA35" s="2253"/>
      <c r="BB35" s="2253"/>
      <c r="BC35" s="2253"/>
      <c r="BD35" s="2254"/>
      <c r="BE35" s="1194"/>
    </row>
    <row r="36" spans="1:58" ht="15.75" customHeight="1">
      <c r="A36" s="1190"/>
      <c r="B36" s="2156" t="s">
        <v>2420</v>
      </c>
      <c r="C36" s="2157"/>
      <c r="D36" s="2157"/>
      <c r="E36" s="2157"/>
      <c r="F36" s="2157"/>
      <c r="G36" s="2157"/>
      <c r="H36" s="2157"/>
      <c r="I36" s="2157"/>
      <c r="J36" s="2221" t="s">
        <v>2419</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2418</v>
      </c>
      <c r="C37" s="2157"/>
      <c r="D37" s="2157"/>
      <c r="E37" s="2157"/>
      <c r="F37" s="2157"/>
      <c r="G37" s="2157"/>
      <c r="H37" s="2157"/>
      <c r="I37" s="2157"/>
      <c r="J37" s="2221" t="s">
        <v>2417</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2416</v>
      </c>
      <c r="C38" s="2157"/>
      <c r="D38" s="2157"/>
      <c r="E38" s="2157"/>
      <c r="F38" s="2157"/>
      <c r="G38" s="2157"/>
      <c r="H38" s="2157"/>
      <c r="I38" s="2157"/>
      <c r="J38" s="2221" t="s">
        <v>2415</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2414</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2414</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2413</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2413</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2412</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2411</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2410</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2334</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299</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2407</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2400</v>
      </c>
      <c r="C51" s="2099"/>
      <c r="D51" s="2099"/>
      <c r="E51" s="2099"/>
      <c r="F51" s="2099"/>
      <c r="G51" s="2099"/>
      <c r="H51" s="2099"/>
      <c r="I51" s="2099"/>
      <c r="J51" s="2099" t="s">
        <v>2406</v>
      </c>
      <c r="K51" s="2099"/>
      <c r="L51" s="2099"/>
      <c r="M51" s="2099"/>
      <c r="N51" s="2099"/>
      <c r="O51" s="2099"/>
      <c r="P51" s="2099"/>
      <c r="Q51" s="2099"/>
      <c r="R51" s="2200" t="s">
        <v>2405</v>
      </c>
      <c r="S51" s="2200"/>
      <c r="T51" s="2200"/>
      <c r="U51" s="2200"/>
      <c r="V51" s="2200"/>
      <c r="W51" s="2200"/>
      <c r="X51" s="2200"/>
      <c r="Y51" s="2200"/>
      <c r="Z51" s="2200" t="s">
        <v>2404</v>
      </c>
      <c r="AA51" s="2200"/>
      <c r="AB51" s="2200"/>
      <c r="AC51" s="2200"/>
      <c r="AD51" s="2200"/>
      <c r="AE51" s="2200"/>
      <c r="AF51" s="2200"/>
      <c r="AG51" s="2200"/>
      <c r="AH51" s="2200" t="s">
        <v>2403</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2402</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2401</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1585</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2400</v>
      </c>
      <c r="C59" s="2190"/>
      <c r="D59" s="2190"/>
      <c r="E59" s="2190"/>
      <c r="F59" s="2190"/>
      <c r="G59" s="2190"/>
      <c r="H59" s="2190"/>
      <c r="I59" s="2191"/>
      <c r="J59" s="2097" t="s">
        <v>2399</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2397</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2396</v>
      </c>
      <c r="AD68" s="2023"/>
      <c r="AE68" s="2023"/>
      <c r="AF68" s="2023"/>
      <c r="AG68" s="2023"/>
      <c r="AH68" s="2023"/>
      <c r="AI68" s="2023"/>
      <c r="AJ68" s="2023"/>
      <c r="AK68" s="2023"/>
      <c r="AL68" s="2023"/>
      <c r="AM68" s="2023"/>
      <c r="AN68" s="2023"/>
      <c r="AO68" s="2023"/>
      <c r="AP68" s="2023"/>
      <c r="AQ68" s="2023"/>
      <c r="AR68" s="2023"/>
      <c r="AS68" s="2023"/>
      <c r="AT68" s="2023"/>
      <c r="AU68" s="2023"/>
      <c r="AV68" s="2173" t="s">
        <v>668</v>
      </c>
      <c r="AW68" s="2079"/>
      <c r="AX68" s="2079"/>
      <c r="AY68" s="2079"/>
      <c r="AZ68" s="2079"/>
      <c r="BA68" s="2079"/>
      <c r="BB68" s="2079"/>
      <c r="BC68" s="2080"/>
      <c r="BD68" s="1190"/>
      <c r="BE68" s="1194"/>
      <c r="BM68" s="1199" t="s">
        <v>2395</v>
      </c>
    </row>
    <row r="69" spans="1:94" ht="15.75" customHeight="1" thickTop="1" thickBot="1">
      <c r="A69" s="1190"/>
      <c r="B69" s="2174" t="s">
        <v>2394</v>
      </c>
      <c r="C69" s="2175"/>
      <c r="D69" s="2175"/>
      <c r="E69" s="2175"/>
      <c r="F69" s="2175"/>
      <c r="G69" s="2175"/>
      <c r="H69" s="2175"/>
      <c r="I69" s="2175"/>
      <c r="J69" s="2175"/>
      <c r="K69" s="2175"/>
      <c r="L69" s="2175"/>
      <c r="M69" s="2175"/>
      <c r="N69" s="2175"/>
      <c r="O69" s="2176" t="s">
        <v>2393</v>
      </c>
      <c r="P69" s="2177"/>
      <c r="Q69" s="2177"/>
      <c r="R69" s="2177"/>
      <c r="S69" s="2177"/>
      <c r="T69" s="2177"/>
      <c r="U69" s="2177"/>
      <c r="V69" s="2177"/>
      <c r="W69" s="2177"/>
      <c r="X69" s="2177"/>
      <c r="Y69" s="2177"/>
      <c r="Z69" s="2177"/>
      <c r="AA69" s="2178"/>
      <c r="AB69" s="1190"/>
      <c r="AC69" s="2179" t="s">
        <v>2392</v>
      </c>
      <c r="AD69" s="2180"/>
      <c r="AE69" s="2180"/>
      <c r="AF69" s="2180"/>
      <c r="AG69" s="2180"/>
      <c r="AH69" s="2180"/>
      <c r="AI69" s="2180"/>
      <c r="AJ69" s="2180"/>
      <c r="AK69" s="2180"/>
      <c r="AL69" s="2180"/>
      <c r="AM69" s="2180"/>
      <c r="AN69" s="2180"/>
      <c r="AO69" s="2180"/>
      <c r="AP69" s="2180"/>
      <c r="AQ69" s="2180"/>
      <c r="AR69" s="2180"/>
      <c r="AS69" s="2180"/>
      <c r="AT69" s="2180"/>
      <c r="AU69" s="2180"/>
      <c r="AV69" s="2173" t="s">
        <v>668</v>
      </c>
      <c r="AW69" s="2079"/>
      <c r="AX69" s="2079"/>
      <c r="AY69" s="2079"/>
      <c r="AZ69" s="2079"/>
      <c r="BA69" s="2079"/>
      <c r="BB69" s="2079"/>
      <c r="BC69" s="2080"/>
      <c r="BD69" s="1190"/>
      <c r="BE69" s="1194"/>
      <c r="BM69" s="1200" t="s">
        <v>544</v>
      </c>
    </row>
    <row r="70" spans="1:94" ht="15.75" customHeight="1">
      <c r="A70" s="1190"/>
      <c r="B70" s="2156" t="s">
        <v>2391</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2390</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668</v>
      </c>
    </row>
    <row r="71" spans="1:94" ht="15.75" customHeight="1" thickBot="1">
      <c r="A71" s="1190"/>
      <c r="B71" s="2156" t="s">
        <v>2389</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2388</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2387</v>
      </c>
    </row>
    <row r="72" spans="1:94" ht="15.75" customHeight="1">
      <c r="A72" s="1190"/>
      <c r="B72" s="2156" t="s">
        <v>2386</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2385</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2384</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2329</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2382</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2381</v>
      </c>
      <c r="C81" s="2151"/>
      <c r="D81" s="2151"/>
      <c r="E81" s="2151"/>
      <c r="F81" s="2151"/>
      <c r="G81" s="2151"/>
      <c r="H81" s="2151"/>
      <c r="I81" s="2151"/>
      <c r="J81" s="2151"/>
      <c r="K81" s="2151"/>
      <c r="L81" s="2151"/>
      <c r="M81" s="2151"/>
      <c r="N81" s="2151"/>
      <c r="O81" s="2151"/>
      <c r="P81" s="2151"/>
      <c r="Q81" s="2151"/>
      <c r="R81" s="2132" t="s">
        <v>2187</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2380</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2379</v>
      </c>
      <c r="AK83" s="2121"/>
      <c r="AL83" s="2121"/>
      <c r="AM83" s="2121"/>
      <c r="AN83" s="2121"/>
      <c r="AO83" s="2121"/>
      <c r="AP83" s="2121"/>
      <c r="AQ83" s="2121"/>
      <c r="AR83" s="2121"/>
      <c r="AS83" s="2121"/>
      <c r="AT83" s="2121"/>
      <c r="AU83" s="2121"/>
      <c r="AV83" s="2121"/>
      <c r="AW83" s="2121"/>
      <c r="AX83" s="2121"/>
      <c r="AY83" s="2137" t="s">
        <v>544</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2369</v>
      </c>
      <c r="J84" s="2099"/>
      <c r="K84" s="2099"/>
      <c r="L84" s="2099"/>
      <c r="M84" s="2099"/>
      <c r="N84" s="2099"/>
      <c r="O84" s="2099" t="s">
        <v>2345</v>
      </c>
      <c r="P84" s="2099"/>
      <c r="Q84" s="2099"/>
      <c r="R84" s="2099"/>
      <c r="S84" s="2099"/>
      <c r="T84" s="2099"/>
      <c r="U84" s="2099"/>
      <c r="V84" s="2135" t="s">
        <v>2344</v>
      </c>
      <c r="W84" s="2135"/>
      <c r="X84" s="2135"/>
      <c r="Y84" s="2135"/>
      <c r="Z84" s="2135"/>
      <c r="AA84" s="2135"/>
      <c r="AB84" s="2069" t="s">
        <v>2368</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2367</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2366</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2373</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2365</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2377</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2376</v>
      </c>
      <c r="C94" s="2151"/>
      <c r="D94" s="2151"/>
      <c r="E94" s="2151"/>
      <c r="F94" s="2151"/>
      <c r="G94" s="2151"/>
      <c r="H94" s="2151"/>
      <c r="I94" s="2151"/>
      <c r="J94" s="2151"/>
      <c r="K94" s="2151"/>
      <c r="L94" s="2151"/>
      <c r="M94" s="2151"/>
      <c r="N94" s="2151"/>
      <c r="O94" s="2151"/>
      <c r="P94" s="2151"/>
      <c r="Q94" s="2152"/>
      <c r="R94" s="2132" t="s">
        <v>2187</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2375</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2374</v>
      </c>
      <c r="AK96" s="2121"/>
      <c r="AL96" s="2121"/>
      <c r="AM96" s="2121"/>
      <c r="AN96" s="2121"/>
      <c r="AO96" s="2121"/>
      <c r="AP96" s="2121"/>
      <c r="AQ96" s="2121"/>
      <c r="AR96" s="2121"/>
      <c r="AS96" s="2121"/>
      <c r="AT96" s="2121"/>
      <c r="AU96" s="2121"/>
      <c r="AV96" s="2121"/>
      <c r="AW96" s="2121"/>
      <c r="AX96" s="2121"/>
      <c r="AY96" s="2137" t="s">
        <v>544</v>
      </c>
      <c r="AZ96" s="2137"/>
      <c r="BA96" s="2137"/>
      <c r="BB96" s="2138"/>
      <c r="BC96" s="1190"/>
      <c r="BD96" s="1190"/>
      <c r="BE96" s="1194"/>
      <c r="BQ96" s="1256" t="str">
        <f>Application!M243&amp;IF(TRIM(Application!AA249)&lt;&gt;""," ("&amp;Application!AA249&amp;")","")</f>
        <v>Pacific Housing, Inc. (Pacific Housing, Inc.)</v>
      </c>
      <c r="BR96" s="1259">
        <f>Application!AH246</f>
        <v>1E-3</v>
      </c>
      <c r="CM96" s="1188"/>
      <c r="CN96" s="1188"/>
      <c r="CO96" s="1188"/>
      <c r="CP96" s="1188"/>
    </row>
    <row r="97" spans="1:94" ht="15.75" customHeight="1">
      <c r="A97" s="1190"/>
      <c r="B97" s="2131"/>
      <c r="C97" s="2099"/>
      <c r="D97" s="2099"/>
      <c r="E97" s="2099"/>
      <c r="F97" s="2099"/>
      <c r="G97" s="2099"/>
      <c r="H97" s="2099"/>
      <c r="I97" s="2099" t="s">
        <v>2369</v>
      </c>
      <c r="J97" s="2099"/>
      <c r="K97" s="2099"/>
      <c r="L97" s="2099"/>
      <c r="M97" s="2099"/>
      <c r="N97" s="2099"/>
      <c r="O97" s="2099" t="s">
        <v>2345</v>
      </c>
      <c r="P97" s="2099"/>
      <c r="Q97" s="2099"/>
      <c r="R97" s="2099"/>
      <c r="S97" s="2099"/>
      <c r="T97" s="2099"/>
      <c r="U97" s="2099"/>
      <c r="V97" s="2135" t="s">
        <v>2344</v>
      </c>
      <c r="W97" s="2135"/>
      <c r="X97" s="2135"/>
      <c r="Y97" s="2135"/>
      <c r="Z97" s="2135"/>
      <c r="AA97" s="2135"/>
      <c r="AB97" s="2069" t="s">
        <v>2368</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Rancho Cordova AGP LLC (Lincoln Avenue Capital LLC)</v>
      </c>
      <c r="BR97" s="1259">
        <f>Application!AH254</f>
        <v>8.9999999999999993E-3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2367</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2366</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2373</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2365</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2370</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2369</v>
      </c>
      <c r="J108" s="2099"/>
      <c r="K108" s="2099"/>
      <c r="L108" s="2099"/>
      <c r="M108" s="2099"/>
      <c r="N108" s="2099"/>
      <c r="O108" s="2099" t="s">
        <v>2345</v>
      </c>
      <c r="P108" s="2099"/>
      <c r="Q108" s="2099"/>
      <c r="R108" s="2099"/>
      <c r="S108" s="2099"/>
      <c r="T108" s="2099"/>
      <c r="U108" s="2099"/>
      <c r="V108" s="2135" t="s">
        <v>2344</v>
      </c>
      <c r="W108" s="2135"/>
      <c r="X108" s="2135"/>
      <c r="Y108" s="2135"/>
      <c r="Z108" s="2135"/>
      <c r="AA108" s="2135"/>
      <c r="AB108" s="2069" t="s">
        <v>2368</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2367</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2366</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2365</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2363</v>
      </c>
      <c r="C117" s="2105"/>
      <c r="D117" s="2105"/>
      <c r="E117" s="2105"/>
      <c r="F117" s="2105"/>
      <c r="G117" s="2105"/>
      <c r="H117" s="2105"/>
      <c r="I117" s="2105"/>
      <c r="J117" s="2105"/>
      <c r="K117" s="2105"/>
      <c r="L117" s="2105"/>
      <c r="M117" s="2105"/>
      <c r="N117" s="2105"/>
      <c r="O117" s="2105"/>
      <c r="P117" s="2105"/>
      <c r="Q117" s="2105"/>
      <c r="R117" s="2105"/>
      <c r="S117" s="2105"/>
      <c r="T117" s="2105"/>
      <c r="U117" s="2108" t="s">
        <v>544</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2363</v>
      </c>
      <c r="C121" s="2113"/>
      <c r="D121" s="2113"/>
      <c r="E121" s="2113"/>
      <c r="F121" s="2113"/>
      <c r="G121" s="2113"/>
      <c r="H121" s="2113"/>
      <c r="I121" s="2113"/>
      <c r="J121" s="2113"/>
      <c r="K121" s="2113"/>
      <c r="L121" s="2113"/>
      <c r="M121" s="2113"/>
      <c r="N121" s="2113"/>
      <c r="O121" s="2113"/>
      <c r="P121" s="2113"/>
      <c r="Q121" s="2113"/>
      <c r="R121" s="2113"/>
      <c r="S121" s="2113"/>
      <c r="T121" s="2113"/>
      <c r="U121" s="2116" t="s">
        <v>544</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2361</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1575</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2360</v>
      </c>
      <c r="J127" s="2099"/>
      <c r="K127" s="2099"/>
      <c r="L127" s="2099"/>
      <c r="M127" s="2099"/>
      <c r="N127" s="2099"/>
      <c r="O127" s="2100" t="s">
        <v>2359</v>
      </c>
      <c r="P127" s="2100"/>
      <c r="Q127" s="2100"/>
      <c r="R127" s="2100"/>
      <c r="S127" s="2100"/>
      <c r="T127" s="2100"/>
      <c r="U127" s="2101"/>
      <c r="V127" s="1190"/>
      <c r="W127" s="1190"/>
      <c r="X127" s="2039" t="s">
        <v>2329</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2343</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2342</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2357</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2345</v>
      </c>
      <c r="J134" s="2074"/>
      <c r="K134" s="2074"/>
      <c r="L134" s="2074"/>
      <c r="M134" s="2074"/>
      <c r="N134" s="2074"/>
      <c r="O134" s="2074"/>
      <c r="P134" s="2074" t="s">
        <v>2344</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2343</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2342</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2356</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544</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2355</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2354</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544</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2353</v>
      </c>
      <c r="C142" s="2082"/>
      <c r="D142" s="2082"/>
      <c r="E142" s="2082"/>
      <c r="F142" s="2082"/>
      <c r="G142" s="2082"/>
      <c r="H142" s="2082"/>
      <c r="I142" s="2082"/>
      <c r="J142" s="2082"/>
      <c r="K142" s="2082"/>
      <c r="L142" s="2082"/>
      <c r="M142" s="2082"/>
      <c r="N142" s="2082"/>
      <c r="O142" s="2082"/>
      <c r="P142" s="2082"/>
      <c r="Q142" s="2082"/>
      <c r="R142" s="2083" t="s">
        <v>2352</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249</v>
      </c>
      <c r="BD142" s="1190"/>
      <c r="BE142" s="1194"/>
    </row>
    <row r="143" spans="1:57" ht="15.75" customHeight="1">
      <c r="A143" s="1190"/>
      <c r="B143" s="2085" t="s">
        <v>2351</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2348</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2347</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2345</v>
      </c>
      <c r="J157" s="2074"/>
      <c r="K157" s="2074"/>
      <c r="L157" s="2074"/>
      <c r="M157" s="2074"/>
      <c r="N157" s="2074"/>
      <c r="O157" s="2074"/>
      <c r="P157" s="2074" t="s">
        <v>2346</v>
      </c>
      <c r="Q157" s="2074"/>
      <c r="R157" s="2074"/>
      <c r="S157" s="2074"/>
      <c r="T157" s="2074"/>
      <c r="U157" s="2075"/>
      <c r="V157" s="1190"/>
      <c r="W157" s="1190"/>
      <c r="X157" s="2036"/>
      <c r="Y157" s="2037"/>
      <c r="Z157" s="2037"/>
      <c r="AA157" s="2037"/>
      <c r="AB157" s="2037"/>
      <c r="AC157" s="2037"/>
      <c r="AD157" s="2037"/>
      <c r="AE157" s="2074" t="s">
        <v>2345</v>
      </c>
      <c r="AF157" s="2074"/>
      <c r="AG157" s="2074"/>
      <c r="AH157" s="2074"/>
      <c r="AI157" s="2074"/>
      <c r="AJ157" s="2074"/>
      <c r="AK157" s="2074"/>
      <c r="AL157" s="2074" t="s">
        <v>2344</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2343</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2343</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2342</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2341</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2326</v>
      </c>
      <c r="D163" s="2037"/>
      <c r="E163" s="2037"/>
      <c r="F163" s="2037"/>
      <c r="G163" s="2037"/>
      <c r="H163" s="2037"/>
      <c r="I163" s="2037"/>
      <c r="J163" s="2037"/>
      <c r="K163" s="2037"/>
      <c r="L163" s="2037"/>
      <c r="M163" s="2037"/>
      <c r="N163" s="2037"/>
      <c r="O163" s="2037"/>
      <c r="P163" s="2037"/>
      <c r="Q163" s="2037" t="s">
        <v>2340</v>
      </c>
      <c r="R163" s="2037"/>
      <c r="S163" s="2037"/>
      <c r="T163" s="2069" t="s">
        <v>2339</v>
      </c>
      <c r="U163" s="2069"/>
      <c r="V163" s="2069"/>
      <c r="W163" s="2069"/>
      <c r="X163" s="2069"/>
      <c r="Y163" s="2069"/>
      <c r="Z163" s="2069"/>
      <c r="AA163" s="2069"/>
      <c r="AB163" s="2037" t="s">
        <v>2338</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2337</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2336</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2335</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2334</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169</v>
      </c>
      <c r="D168" s="2052"/>
      <c r="E168" s="2052"/>
      <c r="F168" s="2053" t="s">
        <v>2315</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169</v>
      </c>
      <c r="D169" s="2052"/>
      <c r="E169" s="2052"/>
      <c r="F169" s="2053" t="s">
        <v>2315</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169</v>
      </c>
      <c r="D170" s="2058"/>
      <c r="E170" s="2058"/>
      <c r="F170" s="2059" t="s">
        <v>2315</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2333</v>
      </c>
      <c r="D172" s="2023"/>
      <c r="E172" s="2023"/>
      <c r="F172" s="2023"/>
      <c r="G172" s="2023"/>
      <c r="H172" s="2023"/>
      <c r="I172" s="2023"/>
      <c r="J172" s="2023"/>
      <c r="K172" s="2023"/>
      <c r="L172" s="2023"/>
      <c r="M172" s="2023"/>
      <c r="N172" s="2032"/>
      <c r="O172" s="1190"/>
      <c r="P172" s="2033" t="s">
        <v>2332</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2331</v>
      </c>
      <c r="D173" s="2037"/>
      <c r="E173" s="2037"/>
      <c r="F173" s="2037"/>
      <c r="G173" s="2037"/>
      <c r="H173" s="2037"/>
      <c r="I173" s="2037" t="s">
        <v>2330</v>
      </c>
      <c r="J173" s="2037"/>
      <c r="K173" s="2037"/>
      <c r="L173" s="2037"/>
      <c r="M173" s="2037"/>
      <c r="N173" s="2038"/>
      <c r="O173" s="1190"/>
      <c r="P173" s="2039" t="s">
        <v>2329</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2328</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2326</v>
      </c>
      <c r="D184" s="2023"/>
      <c r="E184" s="2023"/>
      <c r="F184" s="2023"/>
      <c r="G184" s="2023"/>
      <c r="H184" s="2023"/>
      <c r="I184" s="2023"/>
      <c r="J184" s="2023"/>
      <c r="K184" s="2023"/>
      <c r="L184" s="2023"/>
      <c r="M184" s="2023"/>
      <c r="N184" s="2023" t="s">
        <v>2327</v>
      </c>
      <c r="O184" s="2023"/>
      <c r="P184" s="2023"/>
      <c r="Q184" s="2023"/>
      <c r="R184" s="2023"/>
      <c r="S184" s="2023"/>
      <c r="T184" s="2023"/>
      <c r="U184" s="2024" t="s">
        <v>2326</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2325</v>
      </c>
      <c r="D185" s="2002"/>
      <c r="E185" s="2002"/>
      <c r="F185" s="2002"/>
      <c r="G185" s="2002"/>
      <c r="H185" s="2002"/>
      <c r="I185" s="2002"/>
      <c r="J185" s="2002"/>
      <c r="K185" s="2002"/>
      <c r="L185" s="2002"/>
      <c r="M185" s="2002"/>
      <c r="N185" s="2012">
        <f>'Sources and Uses Budget'!B105</f>
        <v>125440616</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2324</v>
      </c>
      <c r="D186" s="2002"/>
      <c r="E186" s="2002"/>
      <c r="F186" s="2002"/>
      <c r="G186" s="2002"/>
      <c r="H186" s="2002"/>
      <c r="I186" s="2002"/>
      <c r="J186" s="2002"/>
      <c r="K186" s="2002"/>
      <c r="L186" s="2002"/>
      <c r="M186" s="2002"/>
      <c r="N186" s="2012">
        <f>N185/J29</f>
        <v>531528.03389830503</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2323</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2322</v>
      </c>
      <c r="D188" s="2002"/>
      <c r="E188" s="2002"/>
      <c r="F188" s="2002"/>
      <c r="G188" s="2002"/>
      <c r="H188" s="2002"/>
      <c r="I188" s="2002"/>
      <c r="J188" s="2002"/>
      <c r="K188" s="2002"/>
      <c r="L188" s="2002"/>
      <c r="M188" s="2002"/>
      <c r="N188" s="2031">
        <f>SUM('Sources and Uses Budget'!B85:B86)</f>
        <v>12890482</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2321</v>
      </c>
      <c r="D189" s="2002"/>
      <c r="E189" s="2002"/>
      <c r="F189" s="2002"/>
      <c r="G189" s="2002"/>
      <c r="H189" s="2002"/>
      <c r="I189" s="2002"/>
      <c r="J189" s="2002"/>
      <c r="K189" s="2002"/>
      <c r="L189" s="2002"/>
      <c r="M189" s="2002"/>
      <c r="N189" s="2031">
        <f>'Sources and Uses Budget'!B8</f>
        <v>6065000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2319</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2320</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2319</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2318</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2317</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299</v>
      </c>
      <c r="D192" s="1994"/>
      <c r="E192" s="1986" t="s">
        <v>2315</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2316</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299</v>
      </c>
      <c r="D193" s="1985"/>
      <c r="E193" s="1986" t="s">
        <v>2315</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299</v>
      </c>
      <c r="D194" s="1973"/>
      <c r="E194" s="1974" t="s">
        <v>2315</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2314</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2313</v>
      </c>
      <c r="D195" s="1956"/>
      <c r="E195" s="1956"/>
      <c r="F195" s="1956"/>
      <c r="G195" s="1956"/>
      <c r="H195" s="1956"/>
      <c r="I195" s="1956"/>
      <c r="J195" s="1956"/>
      <c r="K195" s="1956"/>
      <c r="L195" s="1956"/>
      <c r="M195" s="1956"/>
      <c r="N195" s="1957">
        <f>SUM(N187:T194)</f>
        <v>18955482</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2312</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2311</v>
      </c>
      <c r="D196" s="1966"/>
      <c r="E196" s="1966"/>
      <c r="F196" s="1966"/>
      <c r="G196" s="1966"/>
      <c r="H196" s="1966"/>
      <c r="I196" s="1966"/>
      <c r="J196" s="1966"/>
      <c r="K196" s="1966"/>
      <c r="L196" s="1966"/>
      <c r="M196" s="1966"/>
      <c r="N196" s="1967">
        <f>(N185-N195)/J29</f>
        <v>451208.19491525425</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2310</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2309</v>
      </c>
      <c r="D200" s="1953"/>
      <c r="E200" s="1953"/>
      <c r="F200" s="1953"/>
      <c r="G200" s="1953"/>
      <c r="H200" s="1953"/>
      <c r="I200" s="1953"/>
      <c r="J200" s="1953"/>
      <c r="K200" s="1953"/>
      <c r="L200" s="1953"/>
      <c r="M200" s="1953"/>
      <c r="N200" s="1953"/>
      <c r="O200" s="1954" t="s">
        <v>2308</v>
      </c>
      <c r="P200" s="1954"/>
      <c r="Q200" s="1954"/>
      <c r="R200" s="1954"/>
      <c r="S200" s="1954"/>
      <c r="T200" s="1954"/>
      <c r="U200" s="1954"/>
      <c r="V200" s="1954"/>
      <c r="W200" s="1954"/>
      <c r="X200" s="1954" t="s">
        <v>2307</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2306</v>
      </c>
      <c r="D201" s="1945"/>
      <c r="E201" s="1945"/>
      <c r="F201" s="1945"/>
      <c r="G201" s="1945"/>
      <c r="H201" s="1945"/>
      <c r="I201" s="1945"/>
      <c r="J201" s="1945"/>
      <c r="K201" s="1945"/>
      <c r="L201" s="1945"/>
      <c r="M201" s="1945"/>
      <c r="N201" s="1945"/>
      <c r="O201" s="1946" t="s">
        <v>2305</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853</v>
      </c>
      <c r="D202" s="1945"/>
      <c r="E202" s="1945"/>
      <c r="F202" s="1945"/>
      <c r="G202" s="1945"/>
      <c r="H202" s="1945"/>
      <c r="I202" s="1945"/>
      <c r="J202" s="1945"/>
      <c r="K202" s="1945"/>
      <c r="L202" s="1945"/>
      <c r="M202" s="1945"/>
      <c r="N202" s="1945"/>
      <c r="O202" s="1946" t="s">
        <v>2305</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2304</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2303</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2302</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2301</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2300</v>
      </c>
      <c r="D207" s="1924"/>
      <c r="E207" s="1924"/>
      <c r="F207" s="1925"/>
      <c r="G207" s="1929" t="s">
        <v>2299</v>
      </c>
      <c r="H207" s="1924"/>
      <c r="I207" s="1924"/>
      <c r="J207" s="1924"/>
      <c r="K207" s="1924"/>
      <c r="L207" s="1924"/>
      <c r="M207" s="1924"/>
      <c r="N207" s="1924"/>
      <c r="O207" s="1925"/>
      <c r="P207" s="1931" t="s">
        <v>2298</v>
      </c>
      <c r="Q207" s="1932"/>
      <c r="R207" s="1932"/>
      <c r="S207" s="1932"/>
      <c r="T207" s="1933"/>
      <c r="U207" s="1937" t="s">
        <v>2297</v>
      </c>
      <c r="V207" s="1938"/>
      <c r="W207" s="1938"/>
      <c r="X207" s="1939"/>
      <c r="Y207" s="1937" t="s">
        <v>2296</v>
      </c>
      <c r="Z207" s="1938"/>
      <c r="AA207" s="1938"/>
      <c r="AB207" s="1939"/>
      <c r="AC207" s="1937" t="s">
        <v>2295</v>
      </c>
      <c r="AD207" s="1938"/>
      <c r="AE207" s="1938"/>
      <c r="AF207" s="1939"/>
      <c r="AG207" s="1929" t="s">
        <v>2294</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1883</v>
      </c>
      <c r="H209" s="1914"/>
      <c r="I209" s="1914"/>
      <c r="J209" s="1914"/>
      <c r="K209" s="1914"/>
      <c r="L209" s="1914"/>
      <c r="M209" s="1914"/>
      <c r="N209" s="1914"/>
      <c r="O209" s="1914"/>
      <c r="P209" s="1915"/>
      <c r="Q209" s="1918"/>
      <c r="R209" s="1918"/>
      <c r="S209" s="1918"/>
      <c r="T209" s="1918"/>
      <c r="U209" s="1916" t="s">
        <v>1883</v>
      </c>
      <c r="V209" s="1916"/>
      <c r="W209" s="1916"/>
      <c r="X209" s="1916"/>
      <c r="Y209" s="1916" t="s">
        <v>1883</v>
      </c>
      <c r="Z209" s="1916"/>
      <c r="AA209" s="1916"/>
      <c r="AB209" s="1916"/>
      <c r="AC209" s="1917" t="s">
        <v>1883</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1883</v>
      </c>
      <c r="H210" s="1914"/>
      <c r="I210" s="1914"/>
      <c r="J210" s="1914"/>
      <c r="K210" s="1914"/>
      <c r="L210" s="1914"/>
      <c r="M210" s="1914"/>
      <c r="N210" s="1914"/>
      <c r="O210" s="1914"/>
      <c r="P210" s="1915"/>
      <c r="Q210" s="1915"/>
      <c r="R210" s="1915"/>
      <c r="S210" s="1915"/>
      <c r="T210" s="1915"/>
      <c r="U210" s="1916" t="s">
        <v>1883</v>
      </c>
      <c r="V210" s="1916"/>
      <c r="W210" s="1916"/>
      <c r="X210" s="1916"/>
      <c r="Y210" s="1916" t="s">
        <v>1883</v>
      </c>
      <c r="Z210" s="1916"/>
      <c r="AA210" s="1916"/>
      <c r="AB210" s="1916"/>
      <c r="AC210" s="1917" t="s">
        <v>1883</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1883</v>
      </c>
      <c r="H211" s="1914"/>
      <c r="I211" s="1914"/>
      <c r="J211" s="1914"/>
      <c r="K211" s="1914"/>
      <c r="L211" s="1914"/>
      <c r="M211" s="1914"/>
      <c r="N211" s="1914"/>
      <c r="O211" s="1914"/>
      <c r="P211" s="1915"/>
      <c r="Q211" s="1915"/>
      <c r="R211" s="1915"/>
      <c r="S211" s="1915"/>
      <c r="T211" s="1915"/>
      <c r="U211" s="1916" t="s">
        <v>1883</v>
      </c>
      <c r="V211" s="1916"/>
      <c r="W211" s="1916"/>
      <c r="X211" s="1916"/>
      <c r="Y211" s="1916" t="s">
        <v>1883</v>
      </c>
      <c r="Z211" s="1916"/>
      <c r="AA211" s="1916"/>
      <c r="AB211" s="1916"/>
      <c r="AC211" s="1917" t="s">
        <v>1883</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1883</v>
      </c>
      <c r="H212" s="1914"/>
      <c r="I212" s="1914"/>
      <c r="J212" s="1914"/>
      <c r="K212" s="1914"/>
      <c r="L212" s="1914"/>
      <c r="M212" s="1914"/>
      <c r="N212" s="1914"/>
      <c r="O212" s="1914"/>
      <c r="P212" s="1915"/>
      <c r="Q212" s="1915"/>
      <c r="R212" s="1915"/>
      <c r="S212" s="1915"/>
      <c r="T212" s="1915"/>
      <c r="U212" s="1916" t="s">
        <v>1883</v>
      </c>
      <c r="V212" s="1916"/>
      <c r="W212" s="1916"/>
      <c r="X212" s="1916"/>
      <c r="Y212" s="1916" t="s">
        <v>1883</v>
      </c>
      <c r="Z212" s="1916"/>
      <c r="AA212" s="1916"/>
      <c r="AB212" s="1916"/>
      <c r="AC212" s="1917" t="s">
        <v>1883</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1883</v>
      </c>
      <c r="H213" s="1914"/>
      <c r="I213" s="1914"/>
      <c r="J213" s="1914"/>
      <c r="K213" s="1914"/>
      <c r="L213" s="1914"/>
      <c r="M213" s="1914"/>
      <c r="N213" s="1914"/>
      <c r="O213" s="1914"/>
      <c r="P213" s="1915"/>
      <c r="Q213" s="1915"/>
      <c r="R213" s="1915"/>
      <c r="S213" s="1915"/>
      <c r="T213" s="1915"/>
      <c r="U213" s="1916" t="s">
        <v>1883</v>
      </c>
      <c r="V213" s="1916"/>
      <c r="W213" s="1916"/>
      <c r="X213" s="1916"/>
      <c r="Y213" s="1916" t="s">
        <v>1883</v>
      </c>
      <c r="Z213" s="1916"/>
      <c r="AA213" s="1916"/>
      <c r="AB213" s="1916"/>
      <c r="AC213" s="1917" t="s">
        <v>1883</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1883</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1883</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1883</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2293</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2291</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2290</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2289</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2288</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2286</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2285</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2284</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2283</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2282</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440</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2281</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2280</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5" zoomScaleNormal="115" workbookViewId="0">
      <selection sqref="A1:AN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109635218</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496</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497</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498</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499</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804</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500</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5" t="s">
        <v>959</v>
      </c>
      <c r="D18" s="1565"/>
      <c r="E18" s="1565"/>
      <c r="F18" s="1565"/>
      <c r="G18" s="1565"/>
      <c r="H18" s="1565"/>
      <c r="I18" s="1565"/>
      <c r="J18" s="1565"/>
      <c r="K18" s="1565"/>
      <c r="L18" s="1565"/>
      <c r="M18" s="1565"/>
      <c r="N18" s="1565"/>
      <c r="O18" s="1565"/>
      <c r="P18" s="1565"/>
      <c r="Q18" s="1565"/>
      <c r="R18" s="1565"/>
      <c r="S18" s="1566"/>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5" t="s">
        <v>959</v>
      </c>
      <c r="D19" s="1565"/>
      <c r="E19" s="1565"/>
      <c r="F19" s="1565"/>
      <c r="G19" s="1565"/>
      <c r="H19" s="1565"/>
      <c r="I19" s="1565"/>
      <c r="J19" s="1565"/>
      <c r="K19" s="1565"/>
      <c r="L19" s="1565"/>
      <c r="M19" s="1565"/>
      <c r="N19" s="1565"/>
      <c r="O19" s="1565"/>
      <c r="P19" s="1565"/>
      <c r="Q19" s="1565"/>
      <c r="R19" s="1565"/>
      <c r="S19" s="1566"/>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501</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1262</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502</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503</v>
      </c>
      <c r="C23" s="2339"/>
      <c r="D23" s="2339"/>
      <c r="E23" s="2339"/>
      <c r="F23" s="2339"/>
      <c r="G23" s="2339"/>
      <c r="H23" s="2339"/>
      <c r="I23" s="2339"/>
      <c r="J23" s="2339"/>
      <c r="K23" s="2339"/>
      <c r="L23" s="2339"/>
      <c r="M23" s="2339"/>
      <c r="N23" s="2339"/>
      <c r="O23" s="2339"/>
      <c r="P23" s="2339"/>
      <c r="Q23" s="2339"/>
      <c r="R23" s="2339"/>
      <c r="S23" s="2340"/>
      <c r="T23" s="2351">
        <f>T11+T22</f>
        <v>109635218</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960</v>
      </c>
      <c r="C24" s="2339"/>
      <c r="D24" s="2339"/>
      <c r="E24" s="2339"/>
      <c r="F24" s="2339"/>
      <c r="G24" s="2339"/>
      <c r="H24" s="2339"/>
      <c r="I24" s="2339"/>
      <c r="J24" s="2339"/>
      <c r="K24" s="2339"/>
      <c r="L24" s="2339"/>
      <c r="M24" s="2339"/>
      <c r="N24" s="2339"/>
      <c r="O24" s="2339"/>
      <c r="P24" s="2339"/>
      <c r="Q24" s="2339"/>
      <c r="R24" s="2339"/>
      <c r="S24" s="2340"/>
      <c r="T24" s="2342">
        <f>Application!AJ1053</f>
        <v>167420324.79999998</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1263</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504</v>
      </c>
      <c r="C26" s="2339"/>
      <c r="D26" s="2339"/>
      <c r="E26" s="2339"/>
      <c r="F26" s="2339"/>
      <c r="G26" s="2339"/>
      <c r="H26" s="2339"/>
      <c r="I26" s="2339"/>
      <c r="J26" s="2339"/>
      <c r="K26" s="2339"/>
      <c r="L26" s="2339"/>
      <c r="M26" s="2339"/>
      <c r="N26" s="2339"/>
      <c r="O26" s="2339"/>
      <c r="P26" s="2339"/>
      <c r="Q26" s="2339"/>
      <c r="R26" s="2339"/>
      <c r="S26" s="2340"/>
      <c r="T26" s="2351">
        <f>T23*T25</f>
        <v>142525783.40000001</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51">
        <f>IF(ISERROR((T26*T27)),0,(T26*T27))</f>
        <v>142525783.40000001</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522</v>
      </c>
      <c r="C29" s="2339"/>
      <c r="D29" s="2339"/>
      <c r="E29" s="2339"/>
      <c r="F29" s="2339"/>
      <c r="G29" s="2339"/>
      <c r="H29" s="2339"/>
      <c r="I29" s="2339"/>
      <c r="J29" s="2339"/>
      <c r="K29" s="2339"/>
      <c r="L29" s="2339"/>
      <c r="M29" s="2339"/>
      <c r="N29" s="2339"/>
      <c r="O29" s="2339"/>
      <c r="P29" s="2339"/>
      <c r="Q29" s="2339"/>
      <c r="R29" s="2339"/>
      <c r="S29" s="2340"/>
      <c r="T29" s="2342">
        <f>T28+Y28+AD28+AI28</f>
        <v>142525783.40000001</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1265</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1264</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1153</v>
      </c>
      <c r="Z35" s="2352"/>
      <c r="AA35" s="2352"/>
      <c r="AB35" s="2352"/>
      <c r="AC35" s="2352"/>
      <c r="AD35" s="2353" t="s">
        <v>368</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142525783.40000001</v>
      </c>
      <c r="Z38" s="2332"/>
      <c r="AA38" s="2332"/>
      <c r="AB38" s="2332"/>
      <c r="AC38" s="2332"/>
      <c r="AD38" s="2332">
        <f>IF(T24&gt;=(T23+Y23+AD23+AI23),AD28+AI28,0)</f>
        <v>0</v>
      </c>
      <c r="AE38" s="2332"/>
      <c r="AF38" s="2332"/>
      <c r="AG38" s="2332"/>
      <c r="AH38" s="2332"/>
    </row>
    <row r="39" spans="1:76" ht="12.95" customHeight="1">
      <c r="B39" s="2338" t="s">
        <v>1690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5701031</v>
      </c>
      <c r="Z40" s="2332"/>
      <c r="AA40" s="2332"/>
      <c r="AB40" s="2332"/>
      <c r="AC40" s="2332"/>
      <c r="AD40" s="2351">
        <f>ROUND(AD38*AD39,0)</f>
        <v>0</v>
      </c>
      <c r="AE40" s="2332"/>
      <c r="AF40" s="2332"/>
      <c r="AG40" s="2332"/>
      <c r="AH40" s="2332"/>
    </row>
    <row r="41" spans="1:76" ht="12.95"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5701031</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585</v>
      </c>
      <c r="C46" s="404" t="s">
        <v>281</v>
      </c>
    </row>
    <row r="47" spans="1:76" ht="12.95" customHeight="1">
      <c r="D47" s="404" t="s">
        <v>282</v>
      </c>
      <c r="AB47" s="2346">
        <f>'Sources and Uses Budget'!B105-MAX(IF('Sources and Uses Budget'!B15="",0,'Sources and Uses Budget'!B15),IF(Application!AG394="",0,Application!AG394))</f>
        <v>125440616</v>
      </c>
      <c r="AC47" s="2347"/>
      <c r="AD47" s="2347"/>
      <c r="AE47" s="2347"/>
      <c r="AF47" s="2348"/>
    </row>
    <row r="48" spans="1:76" ht="12.95" customHeight="1">
      <c r="D48" s="404" t="s">
        <v>21</v>
      </c>
      <c r="AB48" s="2346">
        <f>Application!AO639-MAX(IF('Sources and Uses Budget'!B15="",0,'Sources and Uses Budget'!B15),IF(Application!AG394="",0,Application!AG394))</f>
        <v>76416650</v>
      </c>
      <c r="AC48" s="2347"/>
      <c r="AD48" s="2347"/>
      <c r="AE48" s="2347"/>
      <c r="AF48" s="2348"/>
    </row>
    <row r="49" spans="1:76" ht="12.95" customHeight="1">
      <c r="D49" s="404" t="s">
        <v>91</v>
      </c>
      <c r="AB49" s="2346">
        <f>AB47-AB48</f>
        <v>49023966</v>
      </c>
      <c r="AC49" s="2347"/>
      <c r="AD49" s="2347"/>
      <c r="AE49" s="2347"/>
      <c r="AF49" s="2348"/>
    </row>
    <row r="50" spans="1:76" ht="12.95" customHeight="1">
      <c r="D50" s="404" t="s">
        <v>680</v>
      </c>
      <c r="AA50" s="415"/>
      <c r="AB50" s="2334">
        <v>0.86000016999999995</v>
      </c>
      <c r="AC50" s="2335"/>
      <c r="AD50" s="2335"/>
      <c r="AE50" s="2335"/>
      <c r="AF50" s="2336"/>
    </row>
    <row r="51" spans="1:76" s="417" customFormat="1" ht="12.95" customHeight="1">
      <c r="A51" s="402"/>
      <c r="B51" s="402"/>
      <c r="C51" s="402"/>
      <c r="D51" s="402"/>
      <c r="E51" s="2345" t="s">
        <v>2610</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57004600</v>
      </c>
      <c r="AC54" s="2347"/>
      <c r="AD54" s="2347"/>
      <c r="AE54" s="2347"/>
      <c r="AF54" s="2348"/>
    </row>
    <row r="55" spans="1:76" ht="12.95" customHeight="1">
      <c r="D55" s="404" t="s">
        <v>332</v>
      </c>
      <c r="AB55" s="2346">
        <f>(AB54/10)</f>
        <v>5700460</v>
      </c>
      <c r="AC55" s="2347"/>
      <c r="AD55" s="2347"/>
      <c r="AE55" s="2347"/>
      <c r="AF55" s="2348"/>
    </row>
    <row r="56" spans="1:76" ht="12.95" customHeight="1">
      <c r="D56" s="404" t="s">
        <v>755</v>
      </c>
      <c r="AB56" s="2346">
        <f>ROUND((IF((Y41&lt;AB55),Y41,AB55)),0)</f>
        <v>5700460</v>
      </c>
      <c r="AC56" s="2347"/>
      <c r="AD56" s="2347"/>
      <c r="AE56" s="2347"/>
      <c r="AF56" s="2348"/>
    </row>
    <row r="57" spans="1:76" ht="12.95" customHeight="1">
      <c r="D57" s="404" t="s">
        <v>754</v>
      </c>
      <c r="AB57" s="2346">
        <f>ROUND((10*AB56*AB50),0)</f>
        <v>49023966</v>
      </c>
      <c r="AC57" s="2347"/>
      <c r="AD57" s="2347"/>
      <c r="AE57" s="2347"/>
      <c r="AF57" s="2348"/>
    </row>
    <row r="58" spans="1:76" ht="12.95" customHeight="1">
      <c r="D58" s="404"/>
      <c r="AB58" s="423"/>
      <c r="AC58" s="423"/>
      <c r="AD58" s="423"/>
      <c r="AE58" s="423"/>
      <c r="AF58" s="423"/>
    </row>
    <row r="59" spans="1:76" ht="12.95" customHeight="1">
      <c r="D59" s="404" t="s">
        <v>753</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588</v>
      </c>
      <c r="C63" s="205" t="s">
        <v>1247</v>
      </c>
      <c r="Y63" s="2341" t="s">
        <v>983</v>
      </c>
      <c r="Z63" s="2341"/>
      <c r="AA63" s="2341"/>
      <c r="AB63" s="2341"/>
      <c r="AC63" s="2341"/>
      <c r="AD63" s="2341" t="s">
        <v>368</v>
      </c>
      <c r="AE63" s="2341"/>
      <c r="AF63" s="2341"/>
      <c r="AG63" s="2341"/>
      <c r="AH63" s="234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2223</v>
      </c>
      <c r="Y68" s="2332">
        <f>ROUND(Y64*Y67,0)</f>
        <v>0</v>
      </c>
      <c r="Z68" s="2333"/>
      <c r="AA68" s="2333"/>
      <c r="AB68" s="2333"/>
      <c r="AC68" s="2333"/>
      <c r="AD68" s="2332">
        <f>ROUND(AD64*AD67,0)</f>
        <v>0</v>
      </c>
      <c r="AE68" s="2333"/>
      <c r="AF68" s="2333"/>
      <c r="AG68" s="2333"/>
      <c r="AH68" s="2333"/>
    </row>
    <row r="69" spans="1:36" ht="12.95" customHeight="1">
      <c r="C69" s="404"/>
      <c r="D69" s="205" t="s">
        <v>2224</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1249</v>
      </c>
      <c r="AB72" s="2334"/>
      <c r="AC72" s="2335"/>
      <c r="AD72" s="2335"/>
      <c r="AE72" s="2335"/>
      <c r="AF72" s="2336"/>
    </row>
    <row r="73" spans="1:36" ht="12.95" customHeight="1">
      <c r="A73" s="404"/>
      <c r="C73" s="404"/>
      <c r="D73" s="404"/>
      <c r="E73" s="2337" t="s">
        <v>1250</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5">
        <f>ROUND(IF(ISERROR((AB59/AB72)),0,(AB59/AB72)),0)</f>
        <v>0</v>
      </c>
      <c r="AC77" s="2325"/>
      <c r="AD77" s="2325"/>
      <c r="AE77" s="2325"/>
      <c r="AF77" s="2325"/>
    </row>
    <row r="78" spans="1:36" ht="12.95" customHeight="1">
      <c r="C78" s="404"/>
      <c r="D78" s="205" t="s">
        <v>1252</v>
      </c>
      <c r="AB78" s="2326">
        <f>ROUNDUP(MIN(Y69,AB77),0)</f>
        <v>0</v>
      </c>
      <c r="AC78" s="2327"/>
      <c r="AD78" s="2327"/>
      <c r="AE78" s="2327"/>
      <c r="AF78" s="2328"/>
    </row>
    <row r="79" spans="1:36" ht="12.95" customHeight="1">
      <c r="C79" s="404"/>
      <c r="D79" s="205" t="s">
        <v>1253</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753</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1299</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1304</v>
      </c>
      <c r="AF7" s="2404"/>
      <c r="AG7" s="2404"/>
      <c r="AH7" s="2404"/>
      <c r="AI7" s="2404"/>
      <c r="AJ7" s="2404"/>
      <c r="AK7" s="2404"/>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590</v>
      </c>
      <c r="C13" s="2394"/>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590</v>
      </c>
      <c r="C16" s="2394"/>
      <c r="D16" s="547"/>
      <c r="E16" s="2405" t="s">
        <v>1306</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590</v>
      </c>
      <c r="C22" s="2394"/>
      <c r="D22" s="547"/>
      <c r="E22" s="2430" t="s">
        <v>1309</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590</v>
      </c>
      <c r="C25" s="2394"/>
      <c r="D25" s="547"/>
      <c r="E25" s="2395" t="s">
        <v>2032</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590</v>
      </c>
      <c r="C28" s="2394"/>
      <c r="D28" s="547"/>
      <c r="E28" s="2418" t="s">
        <v>2247</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4" t="s">
        <v>590</v>
      </c>
      <c r="C33" s="2394"/>
      <c r="D33" s="547"/>
      <c r="E33" s="2430" t="s">
        <v>2249</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590</v>
      </c>
      <c r="C36" s="2394"/>
      <c r="D36" s="547"/>
      <c r="E36" s="2395" t="s">
        <v>2250</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590</v>
      </c>
      <c r="C40" s="2394"/>
      <c r="D40" s="547"/>
      <c r="E40" s="2395" t="s">
        <v>2248</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590</v>
      </c>
      <c r="C45" s="2394"/>
      <c r="D45" s="1142"/>
      <c r="E45" s="2395" t="s">
        <v>2007</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590</v>
      </c>
      <c r="C52" s="2394"/>
      <c r="D52" s="540"/>
      <c r="E52" s="2395" t="s">
        <v>2012</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590</v>
      </c>
      <c r="C56" s="2394"/>
      <c r="D56" s="540"/>
      <c r="E56" s="2415" t="s">
        <v>2013</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590</v>
      </c>
      <c r="C58" s="2394"/>
      <c r="D58" s="540"/>
      <c r="E58" s="2395" t="s">
        <v>2014</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1313</v>
      </c>
      <c r="AF65" s="2404"/>
      <c r="AG65" s="2404"/>
      <c r="AH65" s="2404"/>
      <c r="AI65" s="2404"/>
      <c r="AJ65" s="2404"/>
      <c r="AK65" s="2404"/>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590</v>
      </c>
      <c r="C68" s="2394"/>
      <c r="D68" s="547" t="s">
        <v>1314</v>
      </c>
      <c r="E68" s="2405" t="s">
        <v>2015</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10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1315</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590</v>
      </c>
      <c r="C74" s="2394"/>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590</v>
      </c>
      <c r="F75" s="2394"/>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590</v>
      </c>
      <c r="F76" s="239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590</v>
      </c>
      <c r="F77" s="239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590</v>
      </c>
      <c r="F79" s="2394"/>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544</v>
      </c>
      <c r="C81" s="2394"/>
      <c r="D81" s="547" t="s">
        <v>1319</v>
      </c>
      <c r="E81" s="2395" t="s">
        <v>1739</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1304</v>
      </c>
      <c r="AF87" s="2404"/>
      <c r="AG87" s="2404"/>
      <c r="AH87" s="2404"/>
      <c r="AI87" s="2404"/>
      <c r="AJ87" s="2404"/>
      <c r="AK87" s="240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590</v>
      </c>
      <c r="C90" s="2394"/>
      <c r="D90" s="547" t="s">
        <v>1314</v>
      </c>
      <c r="E90" s="2405" t="s">
        <v>1324</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0.59829059829059816</v>
      </c>
      <c r="F93" s="2389"/>
      <c r="G93" s="2389"/>
      <c r="H93" s="2389"/>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v>
      </c>
      <c r="F94" s="2391"/>
      <c r="G94" s="2391"/>
      <c r="H94" s="239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0</v>
      </c>
      <c r="F95" s="2422"/>
      <c r="G95" s="2422"/>
      <c r="H95" s="24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544</v>
      </c>
      <c r="C98" s="2394"/>
      <c r="D98" s="547" t="s">
        <v>1316</v>
      </c>
      <c r="E98" s="2405" t="s">
        <v>1724</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0.59829059829059816</v>
      </c>
      <c r="F103" s="2389"/>
      <c r="G103" s="2389"/>
      <c r="H103" s="2389"/>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0.12393162393162394</v>
      </c>
      <c r="F104" s="2389"/>
      <c r="G104" s="2389"/>
      <c r="H104" s="2389"/>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0.12393162393162394</v>
      </c>
      <c r="F105" s="2389"/>
      <c r="G105" s="2389"/>
      <c r="H105" s="2389"/>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1313</v>
      </c>
      <c r="AF112" s="2404"/>
      <c r="AG112" s="2404"/>
      <c r="AH112" s="2404"/>
      <c r="AI112" s="2404"/>
      <c r="AJ112" s="2404"/>
      <c r="AK112" s="2404"/>
      <c r="AL112" s="540"/>
      <c r="AM112" s="540"/>
      <c r="AN112" s="535"/>
      <c r="AO112" s="536" t="str">
        <f>Application!B718</f>
        <v>1 Bedroom</v>
      </c>
      <c r="AQ112" s="536">
        <f>Application!O718</f>
        <v>1422</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1181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698</v>
      </c>
    </row>
    <row r="115" spans="1:52" s="536" customFormat="1" ht="12.75" customHeight="1">
      <c r="A115" s="540"/>
      <c r="B115" s="2394" t="s">
        <v>590</v>
      </c>
      <c r="C115" s="2394"/>
      <c r="D115" s="547" t="s">
        <v>1314</v>
      </c>
      <c r="E115" s="2405" t="s">
        <v>1856</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1 Bedroom</v>
      </c>
      <c r="AQ115" s="536">
        <f>Application!O721</f>
        <v>1663</v>
      </c>
      <c r="AU115" s="536" t="s">
        <v>1839</v>
      </c>
      <c r="AV115" s="595" t="s">
        <v>1840</v>
      </c>
      <c r="AW115" s="536" t="s">
        <v>1841</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1712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1422</v>
      </c>
      <c r="AU117" s="856" t="str">
        <f>J124</f>
        <v>1-bedroom</v>
      </c>
      <c r="AV117" s="536">
        <f t="array" ref="AV117">SUM(IF(Application!B718:F752="1 Bedroom",Application!G718:J752))</f>
        <v>60</v>
      </c>
      <c r="AW117" s="1011">
        <f>AV117/AV122</f>
        <v>0.25641025641025639</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2 Bedrooms</v>
      </c>
      <c r="AQ118" s="536">
        <f>Application!O724</f>
        <v>843</v>
      </c>
      <c r="AU118" s="856" t="str">
        <f>O124</f>
        <v>2-bedroom</v>
      </c>
      <c r="AV118" s="536">
        <f t="array" ref="AV118">SUM(IF(Application!B718:F752="2 Bedrooms",Application!G718:J752))</f>
        <v>60</v>
      </c>
      <c r="AW118" s="1011">
        <f>AV118/AV122</f>
        <v>0.25641025641025639</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2 Bedrooms</v>
      </c>
      <c r="AQ119" s="536">
        <f>Application!O725</f>
        <v>2001</v>
      </c>
      <c r="AU119" s="856" t="str">
        <f>T124</f>
        <v>3-bedroom</v>
      </c>
      <c r="AV119" s="536">
        <f t="array" ref="AV119">SUM(IF(Application!B718:F752="3 Bedrooms",Application!G718:J752))</f>
        <v>56</v>
      </c>
      <c r="AW119" s="1011">
        <f>AV119/AV122</f>
        <v>0.23931623931623933</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t="str">
        <f>Application!B726</f>
        <v>3 Bedrooms</v>
      </c>
      <c r="AQ120" s="536">
        <f>Application!O726</f>
        <v>1981</v>
      </c>
      <c r="AU120" s="856" t="str">
        <f>Y124</f>
        <v>4-bedroom</v>
      </c>
      <c r="AV120" s="536">
        <f t="array" ref="AV120">SUM(IF(Application!B718:F752="4 Bedrooms",Application!G718:J752))</f>
        <v>58</v>
      </c>
      <c r="AW120" s="1011">
        <f>AV120/AV122</f>
        <v>0.24786324786324787</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t="str">
        <f>Application!B727</f>
        <v>3 Bedrooms</v>
      </c>
      <c r="AQ121" s="536">
        <f>Application!O727</f>
        <v>1646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t="str">
        <f>Application!B728</f>
        <v>3 Bedrooms</v>
      </c>
      <c r="AQ122" s="536">
        <f>Application!O728</f>
        <v>978</v>
      </c>
      <c r="AV122" s="536">
        <f>SUM(AV116:AV121)</f>
        <v>234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2315</v>
      </c>
    </row>
    <row r="124" spans="1:52" s="536" customFormat="1" ht="12.75" customHeight="1">
      <c r="A124" s="540"/>
      <c r="B124" s="539"/>
      <c r="C124" s="540"/>
      <c r="D124" s="540"/>
      <c r="E124" s="2388" t="s">
        <v>1587</v>
      </c>
      <c r="F124" s="2389"/>
      <c r="G124" s="2389"/>
      <c r="H124" s="2389"/>
      <c r="I124" s="577"/>
      <c r="J124" s="2389" t="s">
        <v>1630</v>
      </c>
      <c r="K124" s="2389"/>
      <c r="L124" s="2389"/>
      <c r="M124" s="2389"/>
      <c r="N124" s="577"/>
      <c r="O124" s="2389" t="s">
        <v>1631</v>
      </c>
      <c r="P124" s="2389"/>
      <c r="Q124" s="2389"/>
      <c r="R124" s="2389"/>
      <c r="S124" s="577"/>
      <c r="T124" s="2389" t="s">
        <v>1333</v>
      </c>
      <c r="U124" s="2389"/>
      <c r="V124" s="2389"/>
      <c r="W124" s="2389"/>
      <c r="X124" s="577"/>
      <c r="Y124" s="2389" t="s">
        <v>1632</v>
      </c>
      <c r="Z124" s="2389"/>
      <c r="AA124" s="2389"/>
      <c r="AB124" s="2389"/>
      <c r="AC124" s="577"/>
      <c r="AD124" s="2389" t="s">
        <v>1633</v>
      </c>
      <c r="AE124" s="2389"/>
      <c r="AF124" s="2389"/>
      <c r="AG124" s="2389"/>
      <c r="AH124" s="577"/>
      <c r="AI124" s="577"/>
      <c r="AJ124" s="579"/>
      <c r="AK124" s="540"/>
      <c r="AL124" s="540"/>
      <c r="AM124" s="540"/>
      <c r="AN124" s="535"/>
      <c r="AO124" s="536" t="str">
        <f>Application!B730</f>
        <v>4 Bedrooms</v>
      </c>
      <c r="AQ124" s="536">
        <f>Application!O730</f>
        <v>2213</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4 Bedrooms</v>
      </c>
      <c r="AQ125" s="536">
        <f>Application!O731</f>
        <v>1840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4 Bedrooms</v>
      </c>
      <c r="AQ126" s="536">
        <f>Application!O732</f>
        <v>1094</v>
      </c>
    </row>
    <row r="127" spans="1:52" s="536" customFormat="1" ht="12.75" customHeight="1">
      <c r="A127" s="540"/>
      <c r="B127" s="539"/>
      <c r="C127" s="540"/>
      <c r="D127" s="540"/>
      <c r="E127" s="2448"/>
      <c r="F127" s="2449"/>
      <c r="G127" s="2449"/>
      <c r="H127" s="2449"/>
      <c r="I127" s="864"/>
      <c r="J127" s="2449">
        <v>2167</v>
      </c>
      <c r="K127" s="2449"/>
      <c r="L127" s="2449"/>
      <c r="M127" s="2449"/>
      <c r="N127" s="864"/>
      <c r="O127" s="2449">
        <v>2505</v>
      </c>
      <c r="P127" s="2449"/>
      <c r="Q127" s="2449"/>
      <c r="R127" s="2449"/>
      <c r="S127" s="864"/>
      <c r="T127" s="2449">
        <v>2946</v>
      </c>
      <c r="U127" s="2449"/>
      <c r="V127" s="2449"/>
      <c r="W127" s="2449"/>
      <c r="X127" s="864"/>
      <c r="Y127" s="2449">
        <v>3376</v>
      </c>
      <c r="Z127" s="2449"/>
      <c r="AA127" s="2449"/>
      <c r="AB127" s="2449"/>
      <c r="AC127" s="864"/>
      <c r="AD127" s="2449"/>
      <c r="AE127" s="2449"/>
      <c r="AF127" s="2449"/>
      <c r="AG127" s="2449"/>
      <c r="AH127" s="577"/>
      <c r="AI127" s="577"/>
      <c r="AJ127" s="579"/>
      <c r="AK127" s="540"/>
      <c r="AL127" s="540"/>
      <c r="AM127" s="540"/>
      <c r="AN127" s="535"/>
      <c r="AO127" s="536" t="str">
        <f>Application!B733</f>
        <v>4 Bedrooms</v>
      </c>
      <c r="AQ127" s="536">
        <f>Application!O733</f>
        <v>2586</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1136.4833333333331</v>
      </c>
      <c r="K130" s="2442"/>
      <c r="L130" s="2442"/>
      <c r="M130" s="2442"/>
      <c r="N130" s="864"/>
      <c r="O130" s="2442">
        <f>Application!EH670</f>
        <v>1793.7333333333333</v>
      </c>
      <c r="P130" s="2442"/>
      <c r="Q130" s="2442"/>
      <c r="R130" s="2442"/>
      <c r="S130" s="868"/>
      <c r="T130" s="2442">
        <f>Application!EM670</f>
        <v>2118.0714285714284</v>
      </c>
      <c r="U130" s="2442"/>
      <c r="V130" s="2442"/>
      <c r="W130" s="2442"/>
      <c r="X130" s="868"/>
      <c r="Y130" s="2442">
        <f>Application!ER670</f>
        <v>2386.6379310344828</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0.47554991539763125</v>
      </c>
      <c r="K133" s="2391"/>
      <c r="L133" s="2391"/>
      <c r="M133" s="2641"/>
      <c r="N133" s="577"/>
      <c r="O133" s="2640">
        <f>(O127-O130)/O127</f>
        <v>0.28393878908848968</v>
      </c>
      <c r="P133" s="2391"/>
      <c r="Q133" s="2391"/>
      <c r="R133" s="2641"/>
      <c r="S133" s="577"/>
      <c r="T133" s="2640">
        <f>(T127-T130)/T127</f>
        <v>0.28103481718553008</v>
      </c>
      <c r="U133" s="2391"/>
      <c r="V133" s="2391"/>
      <c r="W133" s="2641"/>
      <c r="X133" s="577"/>
      <c r="Y133" s="2640">
        <f>(Y127-Y130)/Y127</f>
        <v>0.29305748488315081</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9.6294850101956722E-2</v>
      </c>
      <c r="K136" s="2444"/>
      <c r="L136" s="2444"/>
      <c r="M136" s="2445"/>
      <c r="N136" s="577"/>
      <c r="O136" s="2443">
        <f>IF(((O133-0.1)*AW118)&gt;0,((O133-0.1)*AW118),0)</f>
        <v>4.7163792073971707E-2</v>
      </c>
      <c r="P136" s="2444"/>
      <c r="Q136" s="2444"/>
      <c r="R136" s="2445"/>
      <c r="S136" s="577"/>
      <c r="T136" s="2443">
        <f>IF(((T133-0.1)*AW119)&gt;0,((T133-0.1)*AW119),0)</f>
        <v>4.3324571634143952E-2</v>
      </c>
      <c r="U136" s="2444"/>
      <c r="V136" s="2444"/>
      <c r="W136" s="2445"/>
      <c r="X136" s="577"/>
      <c r="Y136" s="2443">
        <f>IF(((Y133-0.1)*AW120)&gt;0,((Y133-0.1)*AW120),0)</f>
        <v>4.7851855227447636E-2</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0.23</v>
      </c>
      <c r="F138" s="2391"/>
      <c r="G138" s="2391"/>
      <c r="H138" s="2641"/>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4" t="s">
        <v>1313</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1337</v>
      </c>
      <c r="AG148" s="2439"/>
      <c r="AH148" s="2439"/>
      <c r="AI148" s="2439"/>
      <c r="AJ148" s="2439"/>
      <c r="AK148" s="2439"/>
      <c r="AL148" s="2439"/>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2745</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6" t="s">
        <v>1340</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67" t="s">
        <v>590</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6" t="s">
        <v>1342</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2474</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2475</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2473</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590</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1351</v>
      </c>
      <c r="AG168" s="2439"/>
      <c r="AH168" s="2439"/>
      <c r="AI168" s="2439"/>
      <c r="AJ168" s="2439"/>
      <c r="AK168" s="2439"/>
      <c r="AL168" s="243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1349</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590</v>
      </c>
      <c r="AG172" s="246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66" t="s">
        <v>1342</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68" t="str">
        <f>Application!AA335</f>
        <v>FPI Management, Inc.</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1313</v>
      </c>
      <c r="AF186" s="2404"/>
      <c r="AG186" s="2404"/>
      <c r="AH186" s="2404"/>
      <c r="AI186" s="2404"/>
      <c r="AJ186" s="2404"/>
      <c r="AK186" s="240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4" t="s">
        <v>1040</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1362</v>
      </c>
      <c r="AG188" s="2439"/>
      <c r="AH188" s="2439"/>
      <c r="AI188" s="2439"/>
      <c r="AJ188" s="2439"/>
      <c r="AK188" s="2439"/>
      <c r="AL188" s="2439"/>
      <c r="AN188" s="597"/>
      <c r="AP188" s="550" t="s">
        <v>1042</v>
      </c>
      <c r="AQ188" s="550">
        <v>10</v>
      </c>
    </row>
    <row r="189" spans="1:73" s="550" customFormat="1" ht="12.75" customHeight="1">
      <c r="A189" s="536"/>
      <c r="B189" s="2465" t="s">
        <v>1725</v>
      </c>
      <c r="C189" s="2465"/>
      <c r="D189" s="2465"/>
      <c r="E189" s="2465"/>
      <c r="F189" s="2465"/>
      <c r="G189" s="2465"/>
      <c r="H189" s="2465"/>
      <c r="I189" s="2465"/>
      <c r="J189" s="2465"/>
      <c r="K189" s="2465"/>
      <c r="L189" s="2465"/>
      <c r="M189" s="2465"/>
      <c r="N189" s="2465"/>
      <c r="O189" s="2465"/>
      <c r="P189" s="2465"/>
      <c r="Q189" s="2465"/>
      <c r="R189" s="2465"/>
      <c r="S189" s="2465"/>
      <c r="T189" s="2440" t="s">
        <v>590</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4">
        <f>IF(AK84&gt;0,VLOOKUP($B$188,AP185:AQ191,2,FALSE),0)</f>
        <v>10</v>
      </c>
      <c r="AL191" s="2475"/>
      <c r="AM191" s="2476"/>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1371</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2746</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Application!AO629</f>
        <v>8000000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1626</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1589</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86">
        <f>SUM(AD199:AJ209)-AD210</f>
        <v>8000000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1606</v>
      </c>
      <c r="J222" s="2455"/>
      <c r="K222" s="2455"/>
      <c r="L222" s="536"/>
      <c r="M222" s="536"/>
      <c r="N222" s="536"/>
      <c r="O222" s="536"/>
      <c r="P222" s="536"/>
      <c r="Q222" s="536"/>
      <c r="R222" s="536"/>
      <c r="S222" s="536"/>
      <c r="T222" s="2643" t="s">
        <v>1600</v>
      </c>
      <c r="U222" s="2643"/>
      <c r="V222" s="2643"/>
      <c r="W222" s="2643"/>
      <c r="X222" s="2643"/>
      <c r="Y222" s="2643"/>
      <c r="Z222" s="849"/>
      <c r="AA222" s="489"/>
      <c r="AB222" s="2450" t="s">
        <v>1601</v>
      </c>
      <c r="AC222" s="2450"/>
      <c r="AD222" s="2450"/>
      <c r="AE222" s="2450"/>
      <c r="AF222" s="2450"/>
      <c r="AG222" s="2450"/>
      <c r="AH222" s="827"/>
      <c r="AI222" s="827"/>
      <c r="AJ222" s="827"/>
      <c r="AK222" s="610"/>
    </row>
    <row r="223" spans="1:37">
      <c r="A223" s="605"/>
      <c r="B223" s="2453" t="s">
        <v>1586</v>
      </c>
      <c r="C223" s="2453"/>
      <c r="D223" s="2453"/>
      <c r="E223" s="2453"/>
      <c r="F223" s="2453"/>
      <c r="G223" s="2453"/>
      <c r="I223" s="2454" t="s">
        <v>1607</v>
      </c>
      <c r="J223" s="2454"/>
      <c r="K223" s="2454"/>
      <c r="L223" s="1008"/>
      <c r="N223" s="2460" t="s">
        <v>1602</v>
      </c>
      <c r="O223" s="2460"/>
      <c r="P223" s="2460"/>
      <c r="Q223" s="2460"/>
      <c r="R223" s="2460"/>
      <c r="T223" s="2460" t="s">
        <v>1603</v>
      </c>
      <c r="U223" s="2460"/>
      <c r="V223" s="2460"/>
      <c r="W223" s="2460"/>
      <c r="X223" s="2460"/>
      <c r="Y223" s="2460"/>
      <c r="Z223" s="850"/>
      <c r="AA223" s="489"/>
      <c r="AB223" s="2597" t="s">
        <v>1604</v>
      </c>
      <c r="AC223" s="2597"/>
      <c r="AD223" s="2597"/>
      <c r="AE223" s="2597"/>
      <c r="AF223" s="2597"/>
      <c r="AG223" s="2597"/>
      <c r="AH223" s="827"/>
      <c r="AI223" s="827"/>
      <c r="AJ223" s="827"/>
      <c r="AK223" s="610"/>
    </row>
    <row r="224" spans="1:37">
      <c r="A224" s="605"/>
      <c r="B224" s="2457" t="s">
        <v>1183</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1183</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1183</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1183</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1183</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1183</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1183</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1183</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1183</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1183</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8000000</v>
      </c>
      <c r="AH268" s="2477"/>
      <c r="AI268" s="2477"/>
      <c r="AJ268" s="2477"/>
      <c r="AK268" s="2477"/>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125440616</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0.12</v>
      </c>
      <c r="AH270" s="2478"/>
      <c r="AI270" s="2478"/>
      <c r="AJ270" s="2478"/>
      <c r="AK270" s="2478"/>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544</v>
      </c>
      <c r="D278" s="2471"/>
      <c r="E278" s="547"/>
      <c r="F278" s="2628" t="s">
        <v>2023</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1362</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1381</v>
      </c>
      <c r="B292" s="1629"/>
      <c r="C292" s="2467" t="s">
        <v>544</v>
      </c>
      <c r="D292" s="2471"/>
      <c r="E292" s="547"/>
      <c r="F292" s="2499" t="s">
        <v>1382</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2016</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2024</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1383</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1384</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1385</v>
      </c>
      <c r="B302" s="1629"/>
      <c r="C302" s="2471" t="s">
        <v>590</v>
      </c>
      <c r="D302" s="2471"/>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1" t="s">
        <v>2018</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1388</v>
      </c>
      <c r="B310" s="1629"/>
      <c r="C310" s="2471" t="s">
        <v>590</v>
      </c>
      <c r="D310" s="2471"/>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3" t="s">
        <v>2025</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1183</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1183</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09" t="s">
        <v>1183</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09" t="s">
        <v>1183</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9" t="s">
        <v>1391</v>
      </c>
      <c r="B333" s="1629"/>
      <c r="C333" s="2471" t="s">
        <v>590</v>
      </c>
      <c r="D333" s="2471"/>
      <c r="E333" s="547"/>
      <c r="F333" s="2395" t="s">
        <v>2026</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4">
        <f>IF(NOT(OR(Application!M355="Yes",Application!M356="Yes")),0,AP295)</f>
        <v>10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04" t="s">
        <v>1313</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1453</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2091</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2206</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1454</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1455</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0</v>
      </c>
      <c r="AS359" s="539" t="s">
        <v>1456</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5</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580</v>
      </c>
      <c r="AP361" s="696">
        <f>IF(C407="Yes",5,0)</f>
        <v>0</v>
      </c>
      <c r="AS361" s="539" t="s">
        <v>1877</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762</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583</v>
      </c>
      <c r="AP364" s="696">
        <f>IF(C421="Yes",5,0)</f>
        <v>5</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3" t="s">
        <v>1457</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455</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460</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1">
        <f>Application!DU802-U374</f>
        <v>580</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6">
        <f>IF(AP375&gt;0,AP375,0)</f>
        <v>0</v>
      </c>
      <c r="AR375" s="2536"/>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7" t="s">
        <v>1459</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590</v>
      </c>
      <c r="D381" s="2471"/>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1461</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7" t="s">
        <v>1462</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590</v>
      </c>
      <c r="D389" s="2471"/>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1461</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7" t="s">
        <v>1464</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590</v>
      </c>
      <c r="D397" s="2471"/>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1466</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544</v>
      </c>
      <c r="D399" s="2471"/>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1461</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7" t="s">
        <v>1470</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590</v>
      </c>
      <c r="D407" s="2471"/>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1461</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590</v>
      </c>
      <c r="D409" s="2471"/>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1473</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590</v>
      </c>
      <c r="D412" s="2471"/>
      <c r="E412" s="715" t="s">
        <v>1474</v>
      </c>
      <c r="F412" s="2517" t="s">
        <v>1475</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1461</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7" t="s">
        <v>1477</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544</v>
      </c>
      <c r="D421" s="2471"/>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1461</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590</v>
      </c>
      <c r="D423" s="2471"/>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1473</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7" t="s">
        <v>1481</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590</v>
      </c>
      <c r="D430" s="2471"/>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1461</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7" t="s">
        <v>1484</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590</v>
      </c>
      <c r="D442" s="2471"/>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1461</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7" t="s">
        <v>1487</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590</v>
      </c>
      <c r="D449" s="2471"/>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1461</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590</v>
      </c>
      <c r="D453" s="2521"/>
      <c r="E453" s="715" t="s">
        <v>1496</v>
      </c>
      <c r="F453" s="2517" t="s">
        <v>1497</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1461</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590</v>
      </c>
      <c r="D457" s="2471"/>
      <c r="E457" s="715" t="s">
        <v>1502</v>
      </c>
      <c r="F457" s="2517" t="s">
        <v>1503</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1461</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7" t="s">
        <v>1506</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590</v>
      </c>
      <c r="D466" s="2471"/>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1461</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515" t="s">
        <v>1510</v>
      </c>
      <c r="AF472" s="2515"/>
      <c r="AG472" s="2515"/>
      <c r="AH472" s="2515"/>
      <c r="AI472" s="2515"/>
      <c r="AJ472" s="2515"/>
      <c r="AK472" s="2515"/>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0" t="s">
        <v>590</v>
      </c>
      <c r="D478" s="2541"/>
      <c r="E478" s="761" t="s">
        <v>506</v>
      </c>
      <c r="F478" s="2542" t="s">
        <v>1516</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6" t="s">
        <v>590</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17" t="s">
        <v>544</v>
      </c>
      <c r="D482" s="2618"/>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5" t="s">
        <v>590</v>
      </c>
      <c r="W485" s="2615"/>
      <c r="X485" s="2615"/>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5" t="s">
        <v>590</v>
      </c>
      <c r="W487" s="2615"/>
      <c r="X487" s="2615"/>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5" t="s">
        <v>590</v>
      </c>
      <c r="W492" s="2615"/>
      <c r="X492" s="2615"/>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05"/>
      <c r="E495" s="2605"/>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5" t="s">
        <v>590</v>
      </c>
      <c r="W496" s="2615"/>
      <c r="X496" s="2615"/>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5" t="s">
        <v>590</v>
      </c>
      <c r="W498" s="2615"/>
      <c r="X498" s="2615"/>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590</v>
      </c>
      <c r="D501" s="2541"/>
      <c r="E501" s="761" t="s">
        <v>506</v>
      </c>
      <c r="F501" s="2542" t="s">
        <v>1516</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590</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590</v>
      </c>
      <c r="D505" s="2541"/>
      <c r="E505" s="761" t="s">
        <v>756</v>
      </c>
      <c r="F505" s="2612" t="s">
        <v>1538</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590</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590</v>
      </c>
      <c r="D510" s="2541"/>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590</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590</v>
      </c>
      <c r="D515" s="2545"/>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590</v>
      </c>
      <c r="D519" s="2545"/>
      <c r="F519" s="795" t="s">
        <v>1546</v>
      </c>
      <c r="G519" s="2518" t="s">
        <v>1547</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590</v>
      </c>
      <c r="D523" s="2547"/>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590</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1559</v>
      </c>
      <c r="AF538" s="2404"/>
      <c r="AG538" s="2404"/>
      <c r="AH538" s="2404"/>
      <c r="AI538" s="2404"/>
      <c r="AJ538" s="2404"/>
      <c r="AK538" s="240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590</v>
      </c>
      <c r="D541" s="2471"/>
      <c r="E541" s="551"/>
      <c r="F541" s="2598" t="s">
        <v>1560</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544</v>
      </c>
      <c r="D544" s="2471"/>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1562</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1563</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123103180</v>
      </c>
      <c r="AQ550" s="2620"/>
      <c r="AR550" s="2620"/>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109635218</v>
      </c>
      <c r="AG551" s="2477"/>
      <c r="AH551" s="2477"/>
      <c r="AI551" s="2477"/>
      <c r="AJ551" s="2477"/>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167420324.79999998</v>
      </c>
      <c r="AG552" s="2625"/>
      <c r="AH552" s="2625"/>
      <c r="AI552" s="2625"/>
      <c r="AJ552" s="2625"/>
      <c r="AK552" s="595"/>
      <c r="AL552" s="595"/>
      <c r="AM552" s="595"/>
      <c r="AN552" s="597"/>
      <c r="AP552" s="2620">
        <f>Application!AJ1045</f>
        <v>14772381.6</v>
      </c>
      <c r="AQ552" s="2620"/>
      <c r="AR552" s="2620"/>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0.69</v>
      </c>
      <c r="AG553" s="2626"/>
      <c r="AH553" s="2626"/>
      <c r="AI553" s="2626"/>
      <c r="AJ553" s="2626"/>
      <c r="AK553" s="595"/>
      <c r="AL553" s="595"/>
      <c r="AM553" s="595"/>
      <c r="AN553" s="597"/>
      <c r="AP553" s="2623">
        <f>Application!AJ1049</f>
        <v>29544763.199999999</v>
      </c>
      <c r="AQ553" s="2623"/>
      <c r="AR553" s="2623"/>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0.36</v>
      </c>
      <c r="AQ554" s="2619"/>
      <c r="AR554" s="2619"/>
      <c r="AS554" s="550" t="s">
        <v>2170</v>
      </c>
    </row>
    <row r="555" spans="1:49" s="550" customFormat="1" ht="12.75" customHeight="1">
      <c r="A555" s="624"/>
      <c r="B555" s="2556" t="s">
        <v>2030</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123103179.99999999</v>
      </c>
      <c r="AQ556" s="2529"/>
      <c r="AR556" s="2529"/>
      <c r="AS556" s="550" t="s">
        <v>2172</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167420324.79999998</v>
      </c>
      <c r="AQ557" s="2620"/>
      <c r="AR557" s="2620"/>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5">
        <f>IFERROR(IF(AND(C541="N/A",C544="N/A"),0,IF(AF553=0,0,IF((AF553*100)&gt;12,12,(AF553*100)))),0)</f>
        <v>12</v>
      </c>
      <c r="AL559" s="2565"/>
      <c r="AM559" s="2566"/>
      <c r="AN559" s="597"/>
      <c r="AP559" s="2637">
        <f>AP556+(AP550*AP554)</f>
        <v>167420324.79999998</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1313</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2021</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1337</v>
      </c>
      <c r="AG578" s="2439"/>
      <c r="AH578" s="2439"/>
      <c r="AI578" s="2439"/>
      <c r="AJ578" s="2439"/>
      <c r="AK578" s="2439"/>
      <c r="AL578" s="243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1395</v>
      </c>
      <c r="AG585" s="2439"/>
      <c r="AH585" s="2439"/>
      <c r="AI585" s="2439"/>
      <c r="AJ585" s="2439"/>
      <c r="AK585" s="2439"/>
      <c r="AL585" s="243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1377</v>
      </c>
      <c r="AG591" s="2439"/>
      <c r="AH591" s="2439"/>
      <c r="AI591" s="2439"/>
      <c r="AJ591" s="2439"/>
      <c r="AK591" s="2439"/>
      <c r="AL591" s="243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1398</v>
      </c>
      <c r="AG597" s="2439"/>
      <c r="AH597" s="2439"/>
      <c r="AI597" s="2439"/>
      <c r="AJ597" s="2439"/>
      <c r="AK597" s="2439"/>
      <c r="AL597" s="243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5" t="s">
        <v>1183</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1351</v>
      </c>
      <c r="AG603" s="2439"/>
      <c r="AH603" s="2439"/>
      <c r="AI603" s="2439"/>
      <c r="AJ603" s="2439"/>
      <c r="AK603" s="2439"/>
      <c r="AL603" s="243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523" t="s">
        <v>508</v>
      </c>
      <c r="I606" s="2523"/>
      <c r="J606" s="936"/>
      <c r="K606" s="936"/>
      <c r="L606" s="936"/>
      <c r="N606" s="22"/>
      <c r="O606" s="22"/>
      <c r="P606" s="22"/>
      <c r="Q606" s="1151" t="s">
        <v>2175</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24" t="s">
        <v>590</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7" t="s">
        <v>590</v>
      </c>
      <c r="C616" s="2467"/>
      <c r="D616" s="642"/>
      <c r="E616" s="2494" t="s">
        <v>1402</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4">
        <f>VLOOKUP($H$606,$AO$586:$AP$591,2,FALSE)+IF(R606=AO594,0,VLOOKUP($I$614,$AO$613:$AP$615,2,FALSE))</f>
        <v>6</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2" t="s">
        <v>1693</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1351</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7" t="s">
        <v>590</v>
      </c>
      <c r="Y634" s="246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1407</v>
      </c>
      <c r="AG636" s="2439"/>
      <c r="AH636" s="2439"/>
      <c r="AI636" s="2439"/>
      <c r="AJ636" s="2439"/>
      <c r="AK636" s="2439"/>
      <c r="AL636" s="243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3" t="s">
        <v>686</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4">
        <f>VLOOKUP($H$638,$AO$605:$AP$607,2,FALSE)</f>
        <v>3</v>
      </c>
      <c r="AK640" s="2476"/>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94" t="s">
        <v>2096</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1351</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1407</v>
      </c>
      <c r="AG647" s="2439"/>
      <c r="AH647" s="2439"/>
      <c r="AI647" s="2439"/>
      <c r="AJ647" s="2439"/>
      <c r="AK647" s="2439"/>
      <c r="AL647" s="243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3" t="s">
        <v>590</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4">
        <f>VLOOKUP(H650,AT605:AU607,2,FALSE)</f>
        <v>0</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94" t="s">
        <v>1417</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1377</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4" t="s">
        <v>1418</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1398</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4" t="s">
        <v>1419</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1351</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590</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94" t="s">
        <v>1420</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1398</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4" t="s">
        <v>1421</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1351</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4" t="s">
        <v>1422</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1407</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94" t="s">
        <v>1423</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1424</v>
      </c>
      <c r="AG681" s="2439"/>
      <c r="AH681" s="2439"/>
      <c r="AI681" s="2439"/>
      <c r="AJ681" s="2439"/>
      <c r="AK681" s="2439"/>
      <c r="AL681" s="2439"/>
      <c r="AM681" s="596"/>
      <c r="AN681" s="597"/>
      <c r="AO681" s="611" t="s">
        <v>686</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3" t="s">
        <v>508</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4">
        <f>VLOOKUP($H$685,$AO$633:$AP$640,2,FALSE)</f>
        <v>4</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234</v>
      </c>
    </row>
    <row r="691" spans="1:51" s="550" customFormat="1" ht="12.75" customHeight="1">
      <c r="A691" s="679"/>
      <c r="B691" s="536"/>
      <c r="C691" s="948"/>
      <c r="D691" s="663" t="s">
        <v>686</v>
      </c>
      <c r="E691" s="2530" t="s">
        <v>2188</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1351</v>
      </c>
      <c r="AG691" s="2439"/>
      <c r="AH691" s="2439"/>
      <c r="AI691" s="2439"/>
      <c r="AJ691" s="2439"/>
      <c r="AK691" s="2439"/>
      <c r="AL691" s="2439"/>
      <c r="AN691" s="597"/>
      <c r="AW691" s="22" t="s">
        <v>2183</v>
      </c>
      <c r="AX691" s="550">
        <f>Application!DE753</f>
        <v>56</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2184</v>
      </c>
      <c r="AX692" s="550">
        <f>Application!DJ753</f>
        <v>58</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508</v>
      </c>
      <c r="E694" s="2494" t="s">
        <v>2132</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1351</v>
      </c>
      <c r="AG694" s="2439"/>
      <c r="AH694" s="2439"/>
      <c r="AI694" s="2439"/>
      <c r="AJ694" s="2439"/>
      <c r="AK694" s="2439"/>
      <c r="AL694" s="2439"/>
      <c r="AN694" s="597"/>
      <c r="AW694" s="22" t="s">
        <v>2186</v>
      </c>
      <c r="AX694" s="550">
        <f>AX691+AX692+AX693</f>
        <v>114</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2187</v>
      </c>
      <c r="AX695" s="550">
        <f>IFERROR(AX694/AX690,0)</f>
        <v>0.48717948717948717</v>
      </c>
      <c r="AY695" s="550">
        <f>IFERROR(AX694/(AX690-AX689),0)</f>
        <v>0.48717948717948717</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94" t="s">
        <v>2133</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1407</v>
      </c>
      <c r="AG699" s="2439"/>
      <c r="AH699" s="2439"/>
      <c r="AI699" s="2439"/>
      <c r="AJ699" s="2439"/>
      <c r="AK699" s="2439"/>
      <c r="AL699" s="2439"/>
      <c r="AN699" s="597"/>
      <c r="AO699" s="611" t="s">
        <v>508</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94" t="s">
        <v>1692</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3" t="s">
        <v>277</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4">
        <f>VLOOKUP($H$709,$AO$703:$AP$706,2,FALSE)</f>
        <v>2</v>
      </c>
      <c r="AK711" s="2476"/>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1351</v>
      </c>
      <c r="AG715" s="2439"/>
      <c r="AH715" s="2439"/>
      <c r="AI715" s="2439"/>
      <c r="AJ715" s="2439"/>
      <c r="AK715" s="2439"/>
      <c r="AL715" s="2439"/>
      <c r="AM715" s="550"/>
      <c r="AN715" s="684"/>
      <c r="AP715" s="570" t="s">
        <v>1431</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1407</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523" t="s">
        <v>590</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94" t="s">
        <v>1695</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1351</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4" t="s">
        <v>1438</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1407</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3" t="s">
        <v>590</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94" t="s">
        <v>1441</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1351</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4" t="s">
        <v>1442</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1407</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3" t="s">
        <v>508</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4">
        <f>VLOOKUP($H$751,$AO$680:$AP$682,2,FALSE)</f>
        <v>2</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94" t="s">
        <v>1444</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1407</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4" t="s">
        <v>1445</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1424</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3" t="s">
        <v>686</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94" t="s">
        <v>1691</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1407</v>
      </c>
      <c r="AG769" s="2439"/>
      <c r="AH769" s="2439"/>
      <c r="AI769" s="2439"/>
      <c r="AJ769" s="2439"/>
      <c r="AK769" s="2439"/>
      <c r="AL769" s="2439"/>
      <c r="AM769" s="613"/>
      <c r="AN769" s="684"/>
      <c r="AO769" s="550" t="s">
        <v>590</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1351</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3" t="s">
        <v>590</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94" t="s">
        <v>2031</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1351</v>
      </c>
      <c r="AG785" s="2439"/>
      <c r="AH785" s="2439"/>
      <c r="AI785" s="2439"/>
      <c r="AJ785" s="2439"/>
      <c r="AK785" s="2439"/>
      <c r="AL785" s="2439"/>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3" t="s">
        <v>544</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4">
        <f>VLOOKUP($H$790,$AO$784:$AP$785,2,FALSE)</f>
        <v>3</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1567</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1568</v>
      </c>
      <c r="U802" s="2571"/>
      <c r="V802" s="2571"/>
      <c r="W802" s="2571"/>
      <c r="X802" s="2571"/>
      <c r="Y802" s="2572"/>
      <c r="Z802" s="2570" t="s">
        <v>1569</v>
      </c>
      <c r="AA802" s="2571"/>
      <c r="AB802" s="2571"/>
      <c r="AC802" s="2571"/>
      <c r="AD802" s="2571"/>
      <c r="AE802" s="2572"/>
      <c r="AF802" s="2570" t="s">
        <v>1570</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756</v>
      </c>
      <c r="B804" s="2550" t="s">
        <v>1303</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1540</v>
      </c>
      <c r="B805" s="2550" t="s">
        <v>1312</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1549</v>
      </c>
      <c r="B806" s="2550" t="s">
        <v>1322</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1571</v>
      </c>
      <c r="B807" s="2550" t="s">
        <v>1332</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1572</v>
      </c>
      <c r="B808" s="2550" t="s">
        <v>1573</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1574</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1575</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1360</v>
      </c>
      <c r="B811" s="2550" t="s">
        <v>1576</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1369</v>
      </c>
      <c r="B812" s="2550" t="s">
        <v>1370</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588</v>
      </c>
      <c r="B813" s="2550" t="s">
        <v>1577</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0" t="s">
        <v>1578</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0" t="s">
        <v>1380</v>
      </c>
      <c r="C815" s="2550"/>
      <c r="D815" s="2550"/>
      <c r="E815" s="2550"/>
      <c r="F815" s="2550"/>
      <c r="G815" s="2550"/>
      <c r="H815" s="2550"/>
      <c r="I815" s="2550"/>
      <c r="J815" s="2550"/>
      <c r="K815" s="2550"/>
      <c r="L815" s="2550"/>
      <c r="M815" s="2550"/>
      <c r="N815" s="2550"/>
      <c r="O815" s="2550"/>
      <c r="P815" s="2550"/>
      <c r="Q815" s="2550"/>
      <c r="R815" s="2550"/>
      <c r="S815" s="2551"/>
      <c r="T815" s="2576">
        <f>AK338</f>
        <v>10</v>
      </c>
      <c r="U815" s="2576"/>
      <c r="V815" s="2576"/>
      <c r="W815" s="2576"/>
      <c r="X815" s="2576"/>
      <c r="Y815" s="2576"/>
      <c r="Z815" s="2582">
        <v>10</v>
      </c>
      <c r="AA815" s="2583"/>
      <c r="AB815" s="2583"/>
      <c r="AC815" s="2583"/>
      <c r="AD815" s="2583"/>
      <c r="AE815" s="2584"/>
      <c r="AF815" s="2582">
        <f>IF(T815&gt;Z815,Z815,T815)</f>
        <v>10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69">
        <f>AK338</f>
        <v>10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0" t="s">
        <v>844</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0" t="s">
        <v>1558</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0" t="s">
        <v>1580</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1581</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1582</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1583</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120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etails xmlns="5cafa1ab-b877-495b-8f46-4ca1cff03e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3482f8a1327742e19a7388ac1a41ef1f">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015445ec46049fdd05a9b74b7838eb9a"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3337CA-9384-4B4D-B052-4500F76117B3}">
  <ds:schemaRefs>
    <ds:schemaRef ds:uri="http://schemas.microsoft.com/sharepoint/v3/contenttype/forms"/>
  </ds:schemaRefs>
</ds:datastoreItem>
</file>

<file path=customXml/itemProps2.xml><?xml version="1.0" encoding="utf-8"?>
<ds:datastoreItem xmlns:ds="http://schemas.openxmlformats.org/officeDocument/2006/customXml" ds:itemID="{44C2D0C3-03DE-47A3-AA9A-313E0DF949C8}">
  <ds:schemaRefs>
    <ds:schemaRef ds:uri="http://schemas.microsoft.com/office/2006/documentManagement/types"/>
    <ds:schemaRef ds:uri="http://purl.org/dc/terms/"/>
    <ds:schemaRef ds:uri="http://schemas.microsoft.com/office/infopath/2007/PartnerControls"/>
    <ds:schemaRef ds:uri="http://purl.org/dc/dcmitype/"/>
    <ds:schemaRef ds:uri="http://www.w3.org/XML/1998/namespace"/>
    <ds:schemaRef ds:uri="http://purl.org/dc/elements/1.1/"/>
    <ds:schemaRef ds:uri="http://schemas.openxmlformats.org/package/2006/metadata/core-properties"/>
    <ds:schemaRef ds:uri="9595dc79-52d3-4820-afd5-a3f4a4ca2acc"/>
    <ds:schemaRef ds:uri="5cafa1ab-b877-495b-8f46-4ca1cff03e11"/>
    <ds:schemaRef ds:uri="http://schemas.microsoft.com/office/2006/metadata/properties"/>
  </ds:schemaRefs>
</ds:datastoreItem>
</file>

<file path=customXml/itemProps3.xml><?xml version="1.0" encoding="utf-8"?>
<ds:datastoreItem xmlns:ds="http://schemas.openxmlformats.org/officeDocument/2006/customXml" ds:itemID="{13827C6E-C84C-4EFE-AFA0-2594B7A2FE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Will Huebner</cp:lastModifiedBy>
  <cp:lastPrinted>2025-09-05T14:21:00Z</cp:lastPrinted>
  <dcterms:created xsi:type="dcterms:W3CDTF">2007-12-27T18:26:28Z</dcterms:created>
  <dcterms:modified xsi:type="dcterms:W3CDTF">2025-09-05T18:04:10Z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0x01010002473F7837C73F488282D880A036F0FF</vt:lpwstr>
  </property>
</Properties>
</file>