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S:\Sky Castle II - Los Angeles - Jamison Services\3.3 CDLAC\SC II - CDLAC R3 9-9-25\Ready For Review\"/>
    </mc:Choice>
  </mc:AlternateContent>
  <xr:revisionPtr revIDLastSave="0" documentId="13_ncr:1_{D1547C58-2A1B-4CED-BC2C-9F96D592AAFA}" xr6:coauthVersionLast="47" xr6:coauthVersionMax="47" xr10:uidLastSave="{00000000-0000-0000-0000-000000000000}"/>
  <bookViews>
    <workbookView xWindow="-28920" yWindow="-120" windowWidth="29040" windowHeight="15720" tabRatio="74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4" l="1"/>
  <c r="C75" i="4"/>
  <c r="M832" i="3"/>
  <c r="T718" i="3"/>
  <c r="O718" i="3"/>
  <c r="Q832" i="3"/>
  <c r="T724" i="3"/>
  <c r="O724" i="3"/>
  <c r="U832" i="3"/>
  <c r="T726" i="3"/>
  <c r="O726" i="3"/>
  <c r="T727" i="3"/>
  <c r="O727" i="3"/>
  <c r="AC773" i="3"/>
  <c r="AC774" i="3"/>
  <c r="AC775" i="3"/>
  <c r="AC776" i="3"/>
  <c r="AC787" i="3"/>
  <c r="AC788" i="3"/>
  <c r="AC789" i="3"/>
  <c r="AC790" i="3"/>
  <c r="AC791" i="3"/>
  <c r="AC792" i="3"/>
  <c r="AC793" i="3"/>
  <c r="AC794" i="3"/>
  <c r="AC795" i="3"/>
  <c r="AC796" i="3"/>
  <c r="C5" i="7"/>
  <c r="J4" i="8"/>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C7" i="7"/>
  <c r="Z817" i="3"/>
  <c r="E8" i="7"/>
  <c r="C9" i="7"/>
  <c r="W842" i="3"/>
  <c r="W847" i="3"/>
  <c r="E16" i="7"/>
  <c r="G16" i="7"/>
  <c r="I16" i="7"/>
  <c r="K16" i="7"/>
  <c r="M16" i="7"/>
  <c r="O16" i="7"/>
  <c r="Q16" i="7"/>
  <c r="S16" i="7"/>
  <c r="U16" i="7"/>
  <c r="W16" i="7"/>
  <c r="Y16" i="7"/>
  <c r="AA16" i="7"/>
  <c r="AC16" i="7"/>
  <c r="AE16" i="7"/>
  <c r="AG16" i="7"/>
  <c r="W853" i="3"/>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G19" i="7"/>
  <c r="I19" i="7"/>
  <c r="K19" i="7"/>
  <c r="M19" i="7"/>
  <c r="O19" i="7"/>
  <c r="Q19" i="7"/>
  <c r="S19" i="7"/>
  <c r="U19" i="7"/>
  <c r="W19" i="7"/>
  <c r="Y19" i="7"/>
  <c r="AA19" i="7"/>
  <c r="AC19" i="7"/>
  <c r="AE19" i="7"/>
  <c r="AG19" i="7"/>
  <c r="W866" i="3"/>
  <c r="W869" i="3"/>
  <c r="W870" i="3"/>
  <c r="W879" i="3"/>
  <c r="E21" i="7"/>
  <c r="G21" i="7"/>
  <c r="I21" i="7"/>
  <c r="K21" i="7"/>
  <c r="M21" i="7"/>
  <c r="O21" i="7"/>
  <c r="Q21" i="7"/>
  <c r="S21" i="7"/>
  <c r="U21" i="7"/>
  <c r="W21" i="7"/>
  <c r="Y21" i="7"/>
  <c r="AA21" i="7"/>
  <c r="AC21" i="7"/>
  <c r="AE21" i="7"/>
  <c r="AG21" i="7"/>
  <c r="G24" i="7"/>
  <c r="I24" i="7"/>
  <c r="K24" i="7"/>
  <c r="M24" i="7"/>
  <c r="O24" i="7"/>
  <c r="Q24" i="7"/>
  <c r="S24" i="7"/>
  <c r="U24" i="7"/>
  <c r="W24" i="7"/>
  <c r="Y24" i="7"/>
  <c r="AA24" i="7"/>
  <c r="AC24" i="7"/>
  <c r="AE24" i="7"/>
  <c r="AG24" i="7"/>
  <c r="E26" i="7"/>
  <c r="G26" i="7"/>
  <c r="I26" i="7"/>
  <c r="K26" i="7"/>
  <c r="M26" i="7"/>
  <c r="O26" i="7"/>
  <c r="Q26" i="7"/>
  <c r="S26" i="7"/>
  <c r="U26" i="7"/>
  <c r="W26" i="7"/>
  <c r="Y26" i="7"/>
  <c r="AA26" i="7"/>
  <c r="AC26" i="7"/>
  <c r="AE26" i="7"/>
  <c r="AG26" i="7"/>
  <c r="E27" i="7"/>
  <c r="G27" i="7"/>
  <c r="I27" i="7"/>
  <c r="K27" i="7"/>
  <c r="M27" i="7"/>
  <c r="O27" i="7"/>
  <c r="Q27" i="7"/>
  <c r="S27" i="7"/>
  <c r="U27" i="7"/>
  <c r="W27" i="7"/>
  <c r="Y27" i="7"/>
  <c r="AA27" i="7"/>
  <c r="AC27" i="7"/>
  <c r="AE27" i="7"/>
  <c r="AG27" i="7"/>
  <c r="E28" i="7"/>
  <c r="AE28" i="7"/>
  <c r="E29" i="7"/>
  <c r="G29" i="7"/>
  <c r="E30" i="7"/>
  <c r="G30" i="7"/>
  <c r="I30" i="7"/>
  <c r="K30" i="7"/>
  <c r="M30" i="7"/>
  <c r="O30" i="7"/>
  <c r="Q30" i="7"/>
  <c r="S30" i="7"/>
  <c r="U30" i="7"/>
  <c r="W30" i="7"/>
  <c r="Y30" i="7"/>
  <c r="AA30" i="7"/>
  <c r="AC30" i="7"/>
  <c r="AE30" i="7"/>
  <c r="AG30"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E33" i="7"/>
  <c r="G33" i="7"/>
  <c r="I33" i="7"/>
  <c r="K33" i="7"/>
  <c r="M33" i="7"/>
  <c r="O33" i="7"/>
  <c r="Q33" i="7"/>
  <c r="S33" i="7"/>
  <c r="U33" i="7"/>
  <c r="W33" i="7"/>
  <c r="Y33" i="7"/>
  <c r="AA33" i="7"/>
  <c r="AC33" i="7"/>
  <c r="AE33" i="7"/>
  <c r="AG33" i="7"/>
  <c r="T627" i="3"/>
  <c r="AF627" i="3"/>
  <c r="E40" i="7"/>
  <c r="G41" i="7"/>
  <c r="G42" i="7"/>
  <c r="G53" i="7"/>
  <c r="I53" i="7"/>
  <c r="G54" i="7"/>
  <c r="G55" i="7"/>
  <c r="G56" i="7"/>
  <c r="G57" i="7"/>
  <c r="I57" i="7"/>
  <c r="K57" i="7"/>
  <c r="M57" i="7"/>
  <c r="O57" i="7"/>
  <c r="Q57" i="7"/>
  <c r="S57" i="7"/>
  <c r="U57" i="7"/>
  <c r="W57" i="7"/>
  <c r="Y57" i="7"/>
  <c r="AA57" i="7"/>
  <c r="AC57" i="7"/>
  <c r="AE57" i="7"/>
  <c r="AG57" i="7"/>
  <c r="I28" i="7"/>
  <c r="I29" i="7"/>
  <c r="I41" i="7"/>
  <c r="I42" i="7"/>
  <c r="I54" i="7"/>
  <c r="K54" i="7"/>
  <c r="M54" i="7"/>
  <c r="O54" i="7"/>
  <c r="Q54" i="7"/>
  <c r="S54" i="7"/>
  <c r="U54" i="7"/>
  <c r="W54" i="7"/>
  <c r="Y54" i="7"/>
  <c r="AA54" i="7"/>
  <c r="AC54" i="7"/>
  <c r="AE54" i="7"/>
  <c r="AG54" i="7"/>
  <c r="I55" i="7"/>
  <c r="K55" i="7"/>
  <c r="M55" i="7"/>
  <c r="O55" i="7"/>
  <c r="Q55" i="7"/>
  <c r="S55" i="7"/>
  <c r="U55" i="7"/>
  <c r="W55" i="7"/>
  <c r="Y55" i="7"/>
  <c r="AA55" i="7"/>
  <c r="AC55" i="7"/>
  <c r="AE55" i="7"/>
  <c r="AG55" i="7"/>
  <c r="K28" i="7"/>
  <c r="K41" i="7"/>
  <c r="K42" i="7"/>
  <c r="M41" i="7"/>
  <c r="M42" i="7"/>
  <c r="O28" i="7"/>
  <c r="O41" i="7"/>
  <c r="O42" i="7"/>
  <c r="Q28" i="7"/>
  <c r="Q29" i="7"/>
  <c r="Q41" i="7"/>
  <c r="Q42" i="7"/>
  <c r="S41" i="7"/>
  <c r="S42" i="7"/>
  <c r="U28" i="7"/>
  <c r="U41" i="7"/>
  <c r="U42" i="7"/>
  <c r="W41" i="7"/>
  <c r="W42" i="7"/>
  <c r="Y28" i="7"/>
  <c r="Y29" i="7"/>
  <c r="Y41" i="7"/>
  <c r="Y42" i="7"/>
  <c r="AA28" i="7"/>
  <c r="AA41" i="7"/>
  <c r="AA42" i="7"/>
  <c r="G108" i="4"/>
  <c r="G9" i="4"/>
  <c r="E58" i="7"/>
  <c r="AC41" i="7"/>
  <c r="AC42" i="7"/>
  <c r="AE41" i="7"/>
  <c r="AE42" i="7"/>
  <c r="AG41" i="7"/>
  <c r="AG42" i="7"/>
  <c r="S45" i="4"/>
  <c r="AO629" i="3"/>
  <c r="H108" i="4"/>
  <c r="H99" i="4"/>
  <c r="E92" i="4"/>
  <c r="E91" i="4"/>
  <c r="E90" i="4"/>
  <c r="E89" i="4"/>
  <c r="E88" i="4"/>
  <c r="C86" i="4"/>
  <c r="S86" i="4"/>
  <c r="C83" i="4"/>
  <c r="E83" i="4"/>
  <c r="E80" i="4"/>
  <c r="E79" i="4"/>
  <c r="E75" i="4"/>
  <c r="E66" i="4"/>
  <c r="E65" i="4"/>
  <c r="E59" i="4"/>
  <c r="E58" i="4"/>
  <c r="E56" i="4"/>
  <c r="E53" i="4"/>
  <c r="E50" i="4"/>
  <c r="E49" i="4"/>
  <c r="E46" i="4"/>
  <c r="E45" i="4"/>
  <c r="E43" i="4"/>
  <c r="E41" i="4"/>
  <c r="E40" i="4"/>
  <c r="C36" i="4"/>
  <c r="S36" i="4"/>
  <c r="E36" i="13"/>
  <c r="E35" i="4"/>
  <c r="R35" i="4"/>
  <c r="E33" i="4"/>
  <c r="E32" i="4"/>
  <c r="E31" i="4"/>
  <c r="F108" i="4"/>
  <c r="F4" i="4"/>
  <c r="R4" i="4"/>
  <c r="E13" i="4"/>
  <c r="AA949" i="3"/>
  <c r="AM555" i="3"/>
  <c r="AA919" i="3"/>
  <c r="AM559" i="3"/>
  <c r="AE698" i="3"/>
  <c r="S26" i="4"/>
  <c r="S30" i="4"/>
  <c r="S31" i="4"/>
  <c r="S32" i="4"/>
  <c r="E32" i="13"/>
  <c r="S33" i="4"/>
  <c r="S35" i="4"/>
  <c r="S40" i="4"/>
  <c r="S41" i="4"/>
  <c r="S42" i="4"/>
  <c r="S43" i="4"/>
  <c r="S54" i="4"/>
  <c r="S66" i="4"/>
  <c r="S70" i="4"/>
  <c r="E70" i="13"/>
  <c r="S79" i="4"/>
  <c r="S81" i="4"/>
  <c r="S89" i="4"/>
  <c r="S90" i="4"/>
  <c r="S91" i="4"/>
  <c r="S104" i="4"/>
  <c r="T9" i="4"/>
  <c r="T11" i="4"/>
  <c r="T26" i="4"/>
  <c r="T38" i="4"/>
  <c r="T42" i="4"/>
  <c r="T54" i="4"/>
  <c r="H54" i="13"/>
  <c r="T70" i="4"/>
  <c r="H70" i="13"/>
  <c r="T81" i="4"/>
  <c r="T96" i="4"/>
  <c r="T104" i="4"/>
  <c r="A66" i="7"/>
  <c r="AA918" i="3"/>
  <c r="AC886" i="3"/>
  <c r="H656" i="3"/>
  <c r="AA648" i="3"/>
  <c r="H648" i="3"/>
  <c r="Q628" i="3"/>
  <c r="Q627" i="3"/>
  <c r="AA590" i="3"/>
  <c r="H590" i="3"/>
  <c r="AA582" i="3"/>
  <c r="H582" i="3"/>
  <c r="AA573" i="3"/>
  <c r="H573" i="3"/>
  <c r="Q557" i="3"/>
  <c r="AG446" i="3"/>
  <c r="AG448" i="3"/>
  <c r="AD67" i="15"/>
  <c r="Y67" i="15"/>
  <c r="BE103" i="3"/>
  <c r="AC216" i="23"/>
  <c r="Y216" i="23"/>
  <c r="U216" i="23"/>
  <c r="BQ102" i="23"/>
  <c r="BQ101" i="23"/>
  <c r="N11" i="23"/>
  <c r="L44" i="21"/>
  <c r="M44" i="21"/>
  <c r="T44" i="21"/>
  <c r="N44" i="21"/>
  <c r="L45" i="21"/>
  <c r="M45" i="21"/>
  <c r="O45" i="21"/>
  <c r="N45" i="21"/>
  <c r="S45" i="21"/>
  <c r="T45" i="21"/>
  <c r="L46" i="21"/>
  <c r="M46" i="21"/>
  <c r="S46" i="21"/>
  <c r="O46" i="21"/>
  <c r="N46" i="21"/>
  <c r="L47" i="21"/>
  <c r="M47" i="21"/>
  <c r="O47" i="21"/>
  <c r="N47" i="21"/>
  <c r="L48" i="21"/>
  <c r="M48" i="21"/>
  <c r="S48" i="21"/>
  <c r="N48" i="21"/>
  <c r="L49" i="21"/>
  <c r="M49" i="21"/>
  <c r="S49" i="21"/>
  <c r="N49" i="21"/>
  <c r="L50" i="21"/>
  <c r="M50" i="21"/>
  <c r="T50" i="21"/>
  <c r="N50" i="21"/>
  <c r="L51" i="21"/>
  <c r="M51" i="21"/>
  <c r="S51" i="21"/>
  <c r="N51" i="21"/>
  <c r="L52" i="21"/>
  <c r="M52" i="21"/>
  <c r="P52" i="21" a="1"/>
  <c r="P52" i="21"/>
  <c r="N52" i="21"/>
  <c r="L53" i="21"/>
  <c r="M53" i="21"/>
  <c r="P53" i="21" a="1"/>
  <c r="P53" i="21"/>
  <c r="N53" i="21"/>
  <c r="L54" i="21"/>
  <c r="M54" i="21"/>
  <c r="O54" i="2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R53" i="21" a="1"/>
  <c r="R53" i="21"/>
  <c r="S47" i="21"/>
  <c r="U49" i="21"/>
  <c r="U51" i="21"/>
  <c r="R49" i="21" a="1"/>
  <c r="R49" i="21"/>
  <c r="P49" i="21" a="1"/>
  <c r="P49" i="21"/>
  <c r="P50" i="21" a="1"/>
  <c r="P50" i="21"/>
  <c r="O49" i="21"/>
  <c r="U53" i="21"/>
  <c r="O50" i="21"/>
  <c r="T53" i="21"/>
  <c r="R51" i="21" a="1"/>
  <c r="R51" i="21"/>
  <c r="P51" i="21" a="1"/>
  <c r="P51" i="21"/>
  <c r="O51" i="21"/>
  <c r="R47" i="21" a="1"/>
  <c r="R47" i="21"/>
  <c r="T51" i="21"/>
  <c r="U50" i="21"/>
  <c r="T49" i="21"/>
  <c r="U47" i="21"/>
  <c r="T46" i="21"/>
  <c r="S50" i="21"/>
  <c r="T48" i="21"/>
  <c r="T47" i="21"/>
  <c r="P47" i="21" a="1"/>
  <c r="P47" i="21"/>
  <c r="O53" i="21"/>
  <c r="R50" i="21" a="1"/>
  <c r="R50" i="21"/>
  <c r="T54" i="21"/>
  <c r="S54" i="21"/>
  <c r="R54" i="21" a="1"/>
  <c r="R54" i="21"/>
  <c r="S53" i="21"/>
  <c r="P46" i="21" a="1"/>
  <c r="P46" i="21"/>
  <c r="R45" i="21" a="1"/>
  <c r="R45" i="21"/>
  <c r="P45" i="21" a="1"/>
  <c r="P45" i="21"/>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c r="BE3" i="3"/>
  <c r="BR98" i="23"/>
  <c r="BQ98" i="23"/>
  <c r="BR97" i="23"/>
  <c r="BQ97" i="23"/>
  <c r="BR96" i="23"/>
  <c r="BQ96" i="23"/>
  <c r="O105" i="23"/>
  <c r="AN28" i="23"/>
  <c r="AH28" i="23"/>
  <c r="AB28" i="23"/>
  <c r="V28" i="23"/>
  <c r="P28" i="23"/>
  <c r="S15" i="23"/>
  <c r="AO13" i="23"/>
  <c r="BE18" i="3"/>
  <c r="N10" i="23"/>
  <c r="AB8" i="23"/>
  <c r="L6" i="23"/>
  <c r="L4" i="23"/>
  <c r="V21" i="23" a="1"/>
  <c r="V21" i="23"/>
  <c r="AN19" i="23" a="1"/>
  <c r="AN19" i="23"/>
  <c r="AB20" i="23" a="1"/>
  <c r="AB20" i="23"/>
  <c r="P21" i="23" a="1"/>
  <c r="P21" i="23"/>
  <c r="V20" i="23" a="1"/>
  <c r="V20" i="23"/>
  <c r="P20" i="23" a="1"/>
  <c r="P20" i="23"/>
  <c r="P19" i="23" a="1"/>
  <c r="P19" i="23"/>
  <c r="AH19" i="23" a="1"/>
  <c r="AH19" i="23"/>
  <c r="AB19" i="23" a="1"/>
  <c r="AB19" i="23"/>
  <c r="V19" i="23" a="1"/>
  <c r="V19" i="23"/>
  <c r="AB24" i="23" a="1"/>
  <c r="AB24" i="23"/>
  <c r="AN24" i="23" a="1"/>
  <c r="AN24" i="23"/>
  <c r="AH24" i="23" a="1"/>
  <c r="AH24" i="23"/>
  <c r="AB23" i="23" a="1"/>
  <c r="AB23" i="23"/>
  <c r="AN23" i="23" a="1"/>
  <c r="AN23" i="23"/>
  <c r="AH23" i="23" a="1"/>
  <c r="AH23" i="23"/>
  <c r="V24" i="23" a="1"/>
  <c r="V24" i="23"/>
  <c r="P24" i="23" a="1"/>
  <c r="P24" i="23"/>
  <c r="V23" i="23" a="1"/>
  <c r="V23" i="23"/>
  <c r="AN22" i="23" a="1"/>
  <c r="AN22" i="23"/>
  <c r="AB22" i="23" a="1"/>
  <c r="AB22" i="23"/>
  <c r="V22" i="23" a="1"/>
  <c r="V22" i="23"/>
  <c r="AH21" i="23" a="1"/>
  <c r="AH21" i="23"/>
  <c r="P23" i="23" a="1"/>
  <c r="P23" i="23"/>
  <c r="AN21" i="23" a="1"/>
  <c r="AN21" i="23"/>
  <c r="P22" i="23" a="1"/>
  <c r="P22" i="23"/>
  <c r="AH22" i="23" a="1"/>
  <c r="AH22" i="23"/>
  <c r="AB21" i="23" a="1"/>
  <c r="AB21" i="23"/>
  <c r="AN20" i="23" a="1"/>
  <c r="AN20" i="23"/>
  <c r="AH20" i="23" a="1"/>
  <c r="AH20"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c r="CG718" i="3"/>
  <c r="CI718" i="3"/>
  <c r="BA1038" i="3"/>
  <c r="AZ1048" i="3"/>
  <c r="AZ1045" i="3"/>
  <c r="AZ1049" i="3"/>
  <c r="BA1052" i="3"/>
  <c r="AZ1052" i="3"/>
  <c r="BH247" i="3"/>
  <c r="T212" i="3"/>
  <c r="BA1042" i="3"/>
  <c r="I14" i="21"/>
  <c r="G137" i="21"/>
  <c r="G86" i="21"/>
  <c r="B82" i="21"/>
  <c r="B67" i="21"/>
  <c r="B92" i="21"/>
  <c r="B58" i="21"/>
  <c r="B49" i="21"/>
  <c r="G37" i="21"/>
  <c r="C39" i="21"/>
  <c r="P18" i="21"/>
  <c r="AO22" i="20"/>
  <c r="AO17" i="20"/>
  <c r="AO13" i="20"/>
  <c r="AO25" i="20"/>
  <c r="AG444" i="3"/>
  <c r="AG441" i="3"/>
  <c r="BN150" i="3"/>
  <c r="C178" i="20"/>
  <c r="U374" i="20"/>
  <c r="AJ711" i="20"/>
  <c r="L100" i="21"/>
  <c r="X752" i="3"/>
  <c r="AH752" i="3"/>
  <c r="BF751" i="3"/>
  <c r="BS751" i="3"/>
  <c r="BS752" i="3"/>
  <c r="AJ1020" i="3"/>
  <c r="BF740" i="3"/>
  <c r="AH751" i="3"/>
  <c r="AH742" i="3"/>
  <c r="AY1027" i="3"/>
  <c r="G753" i="3"/>
  <c r="C757" i="3"/>
  <c r="AX689" i="20"/>
  <c r="AJ725" i="20"/>
  <c r="AO597" i="20"/>
  <c r="AP583" i="20"/>
  <c r="BS742" i="3"/>
  <c r="BS743" i="3"/>
  <c r="BS744" i="3"/>
  <c r="BS745" i="3"/>
  <c r="BS746" i="3"/>
  <c r="BS747" i="3"/>
  <c r="BS748" i="3"/>
  <c r="BS749" i="3"/>
  <c r="BS750" i="3"/>
  <c r="BF742" i="3"/>
  <c r="BF743" i="3"/>
  <c r="BF744" i="3"/>
  <c r="BF745" i="3"/>
  <c r="BF746" i="3"/>
  <c r="BF747" i="3"/>
  <c r="BF748" i="3"/>
  <c r="BF749" i="3"/>
  <c r="BF750" i="3"/>
  <c r="BF741" i="3"/>
  <c r="BF752" i="3"/>
  <c r="I28" i="8"/>
  <c r="I29" i="8"/>
  <c r="I30" i="8"/>
  <c r="I31" i="8"/>
  <c r="I32" i="8"/>
  <c r="I33" i="8"/>
  <c r="I34" i="8"/>
  <c r="I35" i="8"/>
  <c r="I36" i="8"/>
  <c r="I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I38" i="8"/>
  <c r="I27" i="8"/>
  <c r="I26" i="8"/>
  <c r="I25" i="8"/>
  <c r="I24" i="8"/>
  <c r="I23" i="8"/>
  <c r="I22" i="8"/>
  <c r="I21" i="8"/>
  <c r="I20" i="8"/>
  <c r="I19" i="8"/>
  <c r="I18" i="8"/>
  <c r="I17" i="8"/>
  <c r="I16" i="8"/>
  <c r="I15" i="8"/>
  <c r="I14" i="8"/>
  <c r="I13" i="8"/>
  <c r="I12" i="8"/>
  <c r="I11" i="8"/>
  <c r="I10" i="8"/>
  <c r="I9" i="8"/>
  <c r="I8" i="8"/>
  <c r="I6" i="8"/>
  <c r="I5" i="8"/>
  <c r="I4"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c r="CU751" i="3"/>
  <c r="FE751" i="3"/>
  <c r="CZ751" i="3"/>
  <c r="FJ751" i="3"/>
  <c r="DE751" i="3"/>
  <c r="FO751" i="3"/>
  <c r="DJ751" i="3"/>
  <c r="FT751" i="3"/>
  <c r="DO751" i="3"/>
  <c r="FY751" i="3"/>
  <c r="CP741" i="3"/>
  <c r="EZ741" i="3"/>
  <c r="CU741" i="3"/>
  <c r="FE741" i="3"/>
  <c r="CZ741" i="3"/>
  <c r="FJ741" i="3"/>
  <c r="DE741" i="3"/>
  <c r="FO741" i="3"/>
  <c r="DJ741" i="3"/>
  <c r="FT741" i="3"/>
  <c r="DO741" i="3"/>
  <c r="FY741" i="3"/>
  <c r="CP742" i="3"/>
  <c r="EZ742" i="3"/>
  <c r="CU742" i="3"/>
  <c r="FE742" i="3"/>
  <c r="CZ742" i="3"/>
  <c r="FJ742" i="3"/>
  <c r="DE742" i="3"/>
  <c r="FO742" i="3"/>
  <c r="DJ742" i="3"/>
  <c r="FT742" i="3"/>
  <c r="DO742" i="3"/>
  <c r="FY742" i="3"/>
  <c r="CP743" i="3"/>
  <c r="EZ743" i="3"/>
  <c r="CU743" i="3"/>
  <c r="FE743" i="3"/>
  <c r="CZ743" i="3"/>
  <c r="FJ743" i="3"/>
  <c r="DE743" i="3"/>
  <c r="FO743" i="3"/>
  <c r="DJ743" i="3"/>
  <c r="FT743" i="3"/>
  <c r="DO743" i="3"/>
  <c r="FY743" i="3"/>
  <c r="CP744" i="3"/>
  <c r="EZ744" i="3"/>
  <c r="CU744" i="3"/>
  <c r="FE744" i="3"/>
  <c r="CZ744" i="3"/>
  <c r="FJ744" i="3"/>
  <c r="DE744" i="3"/>
  <c r="FO744" i="3"/>
  <c r="DJ744" i="3"/>
  <c r="FT744" i="3"/>
  <c r="DO744" i="3"/>
  <c r="FY744" i="3"/>
  <c r="CP745" i="3"/>
  <c r="EZ745" i="3"/>
  <c r="CU745" i="3"/>
  <c r="FE745" i="3"/>
  <c r="CZ745" i="3"/>
  <c r="FJ745" i="3"/>
  <c r="DE745" i="3"/>
  <c r="FO745" i="3"/>
  <c r="DJ745" i="3"/>
  <c r="FT745" i="3"/>
  <c r="DO745" i="3"/>
  <c r="FY745" i="3"/>
  <c r="CP746" i="3"/>
  <c r="EZ746" i="3"/>
  <c r="CU746" i="3"/>
  <c r="FE746" i="3"/>
  <c r="CZ746" i="3"/>
  <c r="FJ746" i="3"/>
  <c r="DE746" i="3"/>
  <c r="FO746" i="3"/>
  <c r="DJ746" i="3"/>
  <c r="FT746" i="3"/>
  <c r="DO746" i="3"/>
  <c r="FY746" i="3"/>
  <c r="CP747" i="3"/>
  <c r="EZ747" i="3"/>
  <c r="CU747" i="3"/>
  <c r="FE747" i="3"/>
  <c r="CZ747" i="3"/>
  <c r="FJ747" i="3"/>
  <c r="DE747" i="3"/>
  <c r="FO747" i="3"/>
  <c r="DJ747" i="3"/>
  <c r="FT747" i="3"/>
  <c r="DO747" i="3"/>
  <c r="FY747" i="3"/>
  <c r="CP748" i="3"/>
  <c r="EZ748" i="3"/>
  <c r="CU748" i="3"/>
  <c r="FE748" i="3"/>
  <c r="CZ748" i="3"/>
  <c r="FJ748" i="3"/>
  <c r="DE748" i="3"/>
  <c r="FO748" i="3"/>
  <c r="DJ748" i="3"/>
  <c r="FT748" i="3"/>
  <c r="DO748" i="3"/>
  <c r="FY748" i="3"/>
  <c r="CP749" i="3"/>
  <c r="EZ749" i="3"/>
  <c r="CU749" i="3"/>
  <c r="FE749" i="3"/>
  <c r="CZ749" i="3"/>
  <c r="FJ749" i="3"/>
  <c r="DE749" i="3"/>
  <c r="FO749" i="3"/>
  <c r="DJ749" i="3"/>
  <c r="FT749" i="3"/>
  <c r="DO749" i="3"/>
  <c r="CP750" i="3"/>
  <c r="CU750" i="3"/>
  <c r="FE750" i="3"/>
  <c r="CZ750" i="3"/>
  <c r="FJ750" i="3"/>
  <c r="DE750" i="3"/>
  <c r="FO750" i="3"/>
  <c r="DJ750" i="3"/>
  <c r="FT750" i="3"/>
  <c r="DO750" i="3"/>
  <c r="FY750" i="3"/>
  <c r="CG751" i="3"/>
  <c r="CI751" i="3"/>
  <c r="CK751" i="3"/>
  <c r="CM751" i="3"/>
  <c r="CG741" i="3"/>
  <c r="CI741" i="3"/>
  <c r="CK741" i="3"/>
  <c r="CM741" i="3"/>
  <c r="CG742" i="3"/>
  <c r="CI742" i="3"/>
  <c r="CK742" i="3"/>
  <c r="CM742" i="3"/>
  <c r="CG743" i="3"/>
  <c r="CI743" i="3"/>
  <c r="CK743" i="3"/>
  <c r="CM743" i="3"/>
  <c r="CG744" i="3"/>
  <c r="CI744" i="3"/>
  <c r="CK744" i="3"/>
  <c r="CM744" i="3"/>
  <c r="CG745" i="3"/>
  <c r="CI745" i="3"/>
  <c r="CK745" i="3"/>
  <c r="CM745" i="3"/>
  <c r="CG746" i="3"/>
  <c r="CI746" i="3"/>
  <c r="CK746" i="3"/>
  <c r="CM746" i="3"/>
  <c r="CG747" i="3"/>
  <c r="CI747" i="3"/>
  <c r="CK747" i="3"/>
  <c r="CM747" i="3"/>
  <c r="CG748" i="3"/>
  <c r="CI748" i="3"/>
  <c r="CK748" i="3"/>
  <c r="CM748" i="3"/>
  <c r="CG749" i="3"/>
  <c r="CI749" i="3"/>
  <c r="CK749" i="3"/>
  <c r="CM749" i="3"/>
  <c r="CG750" i="3"/>
  <c r="CI750" i="3"/>
  <c r="CK750" i="3"/>
  <c r="CM750" i="3"/>
  <c r="X742" i="3"/>
  <c r="X743" i="3"/>
  <c r="X744" i="3"/>
  <c r="X745" i="3"/>
  <c r="X746" i="3"/>
  <c r="X747" i="3"/>
  <c r="X748" i="3"/>
  <c r="X749" i="3"/>
  <c r="X750" i="3"/>
  <c r="X751" i="3"/>
  <c r="AJ180" i="20"/>
  <c r="AJ166" i="20"/>
  <c r="AK183" i="20"/>
  <c r="AP293" i="20"/>
  <c r="AJ1025"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A40" i="7"/>
  <c r="T25" i="15"/>
  <c r="AD7" i="15"/>
  <c r="DG122" i="3"/>
  <c r="R989" i="3"/>
  <c r="CP718" i="3"/>
  <c r="CP719" i="3"/>
  <c r="CP720" i="3"/>
  <c r="CP721" i="3"/>
  <c r="EZ721" i="3"/>
  <c r="CP722" i="3"/>
  <c r="EZ722" i="3"/>
  <c r="CP723" i="3"/>
  <c r="EZ723" i="3"/>
  <c r="CP724" i="3"/>
  <c r="EZ724" i="3"/>
  <c r="CP725" i="3"/>
  <c r="EZ725" i="3"/>
  <c r="CP726" i="3"/>
  <c r="EZ726" i="3"/>
  <c r="CP727" i="3"/>
  <c r="EZ727" i="3"/>
  <c r="CP728" i="3"/>
  <c r="EZ728" i="3"/>
  <c r="CP729" i="3"/>
  <c r="EZ729" i="3"/>
  <c r="CP730" i="3"/>
  <c r="EZ730" i="3"/>
  <c r="CP731" i="3"/>
  <c r="EZ731" i="3"/>
  <c r="CP732" i="3"/>
  <c r="EZ732" i="3"/>
  <c r="CP733" i="3"/>
  <c r="EZ733" i="3"/>
  <c r="CP734" i="3"/>
  <c r="EZ734" i="3"/>
  <c r="CP735" i="3"/>
  <c r="EZ735" i="3"/>
  <c r="CP736" i="3"/>
  <c r="EZ736" i="3"/>
  <c r="CP737" i="3"/>
  <c r="EZ737" i="3"/>
  <c r="CP738" i="3"/>
  <c r="EZ738" i="3"/>
  <c r="CP739" i="3"/>
  <c r="EZ739" i="3"/>
  <c r="CP740" i="3"/>
  <c r="EZ740" i="3"/>
  <c r="CP752" i="3"/>
  <c r="EZ752" i="3"/>
  <c r="CP773" i="3"/>
  <c r="CP774" i="3"/>
  <c r="CP775" i="3"/>
  <c r="CP776" i="3"/>
  <c r="CP787" i="3"/>
  <c r="CP788" i="3"/>
  <c r="DU788" i="3"/>
  <c r="CP789" i="3"/>
  <c r="DU789" i="3"/>
  <c r="CP790" i="3"/>
  <c r="CP791" i="3"/>
  <c r="DU791" i="3"/>
  <c r="CP792" i="3"/>
  <c r="DU792" i="3"/>
  <c r="CP793" i="3"/>
  <c r="DU793" i="3"/>
  <c r="CP794" i="3"/>
  <c r="DU794" i="3"/>
  <c r="CP795" i="3"/>
  <c r="DU795" i="3"/>
  <c r="CP796" i="3"/>
  <c r="DU796" i="3"/>
  <c r="CU718" i="3"/>
  <c r="FE718" i="3"/>
  <c r="CU719" i="3"/>
  <c r="FE719" i="3"/>
  <c r="CU720" i="3"/>
  <c r="FE720" i="3"/>
  <c r="CU721" i="3"/>
  <c r="CU722" i="3"/>
  <c r="CU723" i="3"/>
  <c r="CU724" i="3"/>
  <c r="FE724" i="3"/>
  <c r="CU725" i="3"/>
  <c r="CU726" i="3"/>
  <c r="FE726" i="3"/>
  <c r="CU727" i="3"/>
  <c r="FE727" i="3"/>
  <c r="CU728" i="3"/>
  <c r="FE728" i="3"/>
  <c r="CU729" i="3"/>
  <c r="FE729" i="3"/>
  <c r="CU730" i="3"/>
  <c r="FE730" i="3"/>
  <c r="CU731" i="3"/>
  <c r="FE731" i="3"/>
  <c r="CU732" i="3"/>
  <c r="CU733" i="3"/>
  <c r="FE733" i="3"/>
  <c r="CU734" i="3"/>
  <c r="FE734" i="3"/>
  <c r="CU735" i="3"/>
  <c r="FE735" i="3"/>
  <c r="CU736" i="3"/>
  <c r="FE736" i="3"/>
  <c r="CU737" i="3"/>
  <c r="FE737" i="3"/>
  <c r="CU738" i="3"/>
  <c r="FE738" i="3"/>
  <c r="CU739" i="3"/>
  <c r="FE739" i="3"/>
  <c r="CU740" i="3"/>
  <c r="FE740" i="3"/>
  <c r="CU752" i="3"/>
  <c r="FE752" i="3"/>
  <c r="CU773" i="3"/>
  <c r="CU774" i="3"/>
  <c r="CU775" i="3"/>
  <c r="CU776" i="3"/>
  <c r="CU777" i="3"/>
  <c r="CY778" i="3"/>
  <c r="CU787" i="3"/>
  <c r="DZ787" i="3"/>
  <c r="CU788" i="3"/>
  <c r="DZ788" i="3"/>
  <c r="CU789" i="3"/>
  <c r="DZ789" i="3"/>
  <c r="CU790" i="3"/>
  <c r="DZ790" i="3"/>
  <c r="CU791" i="3"/>
  <c r="DZ791" i="3"/>
  <c r="CU792" i="3"/>
  <c r="DZ792" i="3"/>
  <c r="CU793" i="3"/>
  <c r="DZ793" i="3"/>
  <c r="CU794" i="3"/>
  <c r="DZ794" i="3"/>
  <c r="CU795" i="3"/>
  <c r="DZ795" i="3"/>
  <c r="CU796" i="3"/>
  <c r="DZ796" i="3"/>
  <c r="CZ718" i="3"/>
  <c r="FJ718" i="3"/>
  <c r="CZ719" i="3"/>
  <c r="FJ719" i="3"/>
  <c r="CZ720" i="3"/>
  <c r="FJ720" i="3"/>
  <c r="CZ721" i="3"/>
  <c r="FJ721" i="3"/>
  <c r="CZ722" i="3"/>
  <c r="FJ722" i="3"/>
  <c r="CZ723" i="3"/>
  <c r="FJ723" i="3"/>
  <c r="CZ724" i="3"/>
  <c r="FJ724" i="3"/>
  <c r="CZ725" i="3"/>
  <c r="FJ725" i="3"/>
  <c r="CZ726" i="3"/>
  <c r="CZ727" i="3"/>
  <c r="CZ728" i="3"/>
  <c r="CZ729" i="3"/>
  <c r="FJ729" i="3"/>
  <c r="CZ730" i="3"/>
  <c r="FJ730" i="3"/>
  <c r="CZ731" i="3"/>
  <c r="FJ731" i="3"/>
  <c r="CZ732" i="3"/>
  <c r="FJ732" i="3"/>
  <c r="CZ733" i="3"/>
  <c r="FJ733" i="3"/>
  <c r="CZ734" i="3"/>
  <c r="FJ734" i="3"/>
  <c r="CZ735" i="3"/>
  <c r="FJ735" i="3"/>
  <c r="CZ736" i="3"/>
  <c r="FJ736" i="3"/>
  <c r="CZ737" i="3"/>
  <c r="FJ737" i="3"/>
  <c r="CZ738" i="3"/>
  <c r="FJ738" i="3"/>
  <c r="CZ739" i="3"/>
  <c r="FJ739" i="3"/>
  <c r="CZ740" i="3"/>
  <c r="FJ740" i="3"/>
  <c r="CZ752" i="3"/>
  <c r="FJ752" i="3"/>
  <c r="CZ773" i="3"/>
  <c r="CZ774" i="3"/>
  <c r="CZ775" i="3"/>
  <c r="CZ776" i="3"/>
  <c r="CZ777" i="3"/>
  <c r="DD778" i="3"/>
  <c r="CZ787" i="3"/>
  <c r="EE787" i="3"/>
  <c r="CZ788" i="3"/>
  <c r="EE788" i="3"/>
  <c r="CZ789" i="3"/>
  <c r="EE789" i="3"/>
  <c r="CZ790" i="3"/>
  <c r="EE790" i="3"/>
  <c r="CZ791" i="3"/>
  <c r="EE791" i="3"/>
  <c r="CZ792" i="3"/>
  <c r="EE792" i="3"/>
  <c r="CZ793" i="3"/>
  <c r="EE793" i="3"/>
  <c r="CZ794" i="3"/>
  <c r="EE794" i="3"/>
  <c r="CZ795" i="3"/>
  <c r="EE795" i="3"/>
  <c r="CZ796" i="3"/>
  <c r="EE796" i="3"/>
  <c r="DE718" i="3"/>
  <c r="FO718" i="3"/>
  <c r="DE719" i="3"/>
  <c r="FO719" i="3"/>
  <c r="DE720" i="3"/>
  <c r="FO720" i="3"/>
  <c r="DE721" i="3"/>
  <c r="FO721" i="3"/>
  <c r="DE722" i="3"/>
  <c r="FO722" i="3"/>
  <c r="DE723" i="3"/>
  <c r="FO723" i="3"/>
  <c r="DE724" i="3"/>
  <c r="FO724" i="3"/>
  <c r="DE725" i="3"/>
  <c r="FO725" i="3"/>
  <c r="DE726" i="3"/>
  <c r="FO726" i="3"/>
  <c r="DE727" i="3"/>
  <c r="FO727" i="3"/>
  <c r="DE728" i="3"/>
  <c r="FO728" i="3"/>
  <c r="DE729" i="3"/>
  <c r="FO729" i="3"/>
  <c r="DE730" i="3"/>
  <c r="FO730" i="3"/>
  <c r="DE731" i="3"/>
  <c r="FO731" i="3"/>
  <c r="DE732" i="3"/>
  <c r="FO732" i="3"/>
  <c r="DE733" i="3"/>
  <c r="FO733" i="3"/>
  <c r="DE734" i="3"/>
  <c r="FO734" i="3"/>
  <c r="DE735" i="3"/>
  <c r="FO735" i="3"/>
  <c r="DE736" i="3"/>
  <c r="FO736" i="3"/>
  <c r="DE737" i="3"/>
  <c r="FO737" i="3"/>
  <c r="DE738" i="3"/>
  <c r="FO738" i="3"/>
  <c r="DE739" i="3"/>
  <c r="FO739" i="3"/>
  <c r="DE740" i="3"/>
  <c r="FO740" i="3"/>
  <c r="DE752" i="3"/>
  <c r="FO752" i="3"/>
  <c r="DE773" i="3"/>
  <c r="DE774" i="3"/>
  <c r="DE775" i="3"/>
  <c r="DE776" i="3"/>
  <c r="DE787" i="3"/>
  <c r="EJ787" i="3"/>
  <c r="DE788" i="3"/>
  <c r="EJ788" i="3"/>
  <c r="DE789" i="3"/>
  <c r="EJ789" i="3"/>
  <c r="DE790" i="3"/>
  <c r="EJ790" i="3"/>
  <c r="DE791" i="3"/>
  <c r="EJ791" i="3"/>
  <c r="DE792" i="3"/>
  <c r="EJ792" i="3"/>
  <c r="DE793" i="3"/>
  <c r="EJ793" i="3"/>
  <c r="DE794" i="3"/>
  <c r="EJ794" i="3"/>
  <c r="DE795" i="3"/>
  <c r="EJ795" i="3"/>
  <c r="DE796" i="3"/>
  <c r="EJ796" i="3"/>
  <c r="DO787" i="3"/>
  <c r="ET787" i="3"/>
  <c r="DO788" i="3"/>
  <c r="ET788" i="3"/>
  <c r="DO789" i="3"/>
  <c r="ET789" i="3"/>
  <c r="DO790" i="3"/>
  <c r="ET790" i="3"/>
  <c r="DO791" i="3"/>
  <c r="ET791" i="3"/>
  <c r="DO792" i="3"/>
  <c r="ET792" i="3"/>
  <c r="DO793" i="3"/>
  <c r="ET793" i="3"/>
  <c r="DO794" i="3"/>
  <c r="ET794" i="3"/>
  <c r="DO795" i="3"/>
  <c r="ET795" i="3"/>
  <c r="DO796" i="3"/>
  <c r="ET796" i="3"/>
  <c r="DO773" i="3"/>
  <c r="DO774" i="3"/>
  <c r="DO775" i="3"/>
  <c r="DO776" i="3"/>
  <c r="DO718" i="3"/>
  <c r="FY718" i="3"/>
  <c r="DO719" i="3"/>
  <c r="FY719" i="3"/>
  <c r="DO720" i="3"/>
  <c r="FY720" i="3"/>
  <c r="DO721" i="3"/>
  <c r="FY721" i="3"/>
  <c r="DO722" i="3"/>
  <c r="FY722" i="3"/>
  <c r="DO723" i="3"/>
  <c r="FY723" i="3"/>
  <c r="DO724" i="3"/>
  <c r="FY724" i="3"/>
  <c r="DO725" i="3"/>
  <c r="FY725" i="3"/>
  <c r="DO726" i="3"/>
  <c r="FY726" i="3"/>
  <c r="DO727" i="3"/>
  <c r="FY727" i="3"/>
  <c r="DO728" i="3"/>
  <c r="FY728" i="3"/>
  <c r="DO729" i="3"/>
  <c r="FY729" i="3"/>
  <c r="DO730" i="3"/>
  <c r="FY730" i="3"/>
  <c r="DO731" i="3"/>
  <c r="FY731" i="3"/>
  <c r="DO732" i="3"/>
  <c r="FY732" i="3"/>
  <c r="DO733" i="3"/>
  <c r="FY733" i="3"/>
  <c r="DO734" i="3"/>
  <c r="FY734" i="3"/>
  <c r="DO735" i="3"/>
  <c r="FY735" i="3"/>
  <c r="DO736" i="3"/>
  <c r="FY736" i="3"/>
  <c r="DO737" i="3"/>
  <c r="FY737" i="3"/>
  <c r="DO738" i="3"/>
  <c r="FY738" i="3"/>
  <c r="DO739" i="3"/>
  <c r="FY739" i="3"/>
  <c r="DO740" i="3"/>
  <c r="FY740" i="3"/>
  <c r="DO752" i="3"/>
  <c r="FY752" i="3"/>
  <c r="DJ718" i="3"/>
  <c r="FT718" i="3"/>
  <c r="DJ719" i="3"/>
  <c r="FT719" i="3"/>
  <c r="DJ720" i="3"/>
  <c r="FT720" i="3"/>
  <c r="DJ721" i="3"/>
  <c r="FT721" i="3"/>
  <c r="DJ722" i="3"/>
  <c r="FT722" i="3"/>
  <c r="DJ723" i="3"/>
  <c r="FT723" i="3"/>
  <c r="DJ724" i="3"/>
  <c r="FT724" i="3"/>
  <c r="DJ725" i="3"/>
  <c r="FT725" i="3"/>
  <c r="DJ726" i="3"/>
  <c r="FT726" i="3"/>
  <c r="DJ727" i="3"/>
  <c r="FT727" i="3"/>
  <c r="DJ728" i="3"/>
  <c r="FT728" i="3"/>
  <c r="DJ729" i="3"/>
  <c r="FT729" i="3"/>
  <c r="DJ730" i="3"/>
  <c r="FT730" i="3"/>
  <c r="DJ731" i="3"/>
  <c r="FT731" i="3"/>
  <c r="DJ732" i="3"/>
  <c r="FT732" i="3"/>
  <c r="DJ733" i="3"/>
  <c r="FT733" i="3"/>
  <c r="DJ734" i="3"/>
  <c r="FT734" i="3"/>
  <c r="DJ735" i="3"/>
  <c r="FT735" i="3"/>
  <c r="DJ736" i="3"/>
  <c r="FT736" i="3"/>
  <c r="DJ737" i="3"/>
  <c r="FT737" i="3"/>
  <c r="DJ738" i="3"/>
  <c r="FT738" i="3"/>
  <c r="DJ739" i="3"/>
  <c r="FT739" i="3"/>
  <c r="DJ740" i="3"/>
  <c r="FT740" i="3"/>
  <c r="DJ752" i="3"/>
  <c r="FT752" i="3"/>
  <c r="DJ773" i="3"/>
  <c r="DJ774" i="3"/>
  <c r="DJ775" i="3"/>
  <c r="DJ776" i="3"/>
  <c r="DJ777" i="3"/>
  <c r="DN778" i="3"/>
  <c r="DJ787" i="3"/>
  <c r="DJ788" i="3"/>
  <c r="EO788" i="3"/>
  <c r="DJ789" i="3"/>
  <c r="EO789" i="3"/>
  <c r="DJ790" i="3"/>
  <c r="EO790" i="3"/>
  <c r="DJ791" i="3"/>
  <c r="EO791" i="3"/>
  <c r="DJ792" i="3"/>
  <c r="EO792" i="3"/>
  <c r="DJ793" i="3"/>
  <c r="EO793" i="3"/>
  <c r="DJ794" i="3"/>
  <c r="EO794" i="3"/>
  <c r="DJ795" i="3"/>
  <c r="EO795" i="3"/>
  <c r="DJ796" i="3"/>
  <c r="EO796" i="3"/>
  <c r="AJ1001" i="3"/>
  <c r="AJ1007" i="3"/>
  <c r="AJ1011" i="3"/>
  <c r="AJ1013" i="3"/>
  <c r="AJ1041" i="3"/>
  <c r="CG719" i="3"/>
  <c r="CI719" i="3"/>
  <c r="CG720" i="3"/>
  <c r="CI720" i="3"/>
  <c r="CG721" i="3"/>
  <c r="CI721" i="3"/>
  <c r="CG722" i="3"/>
  <c r="CI722" i="3"/>
  <c r="CG723" i="3"/>
  <c r="CI723" i="3"/>
  <c r="CG724" i="3"/>
  <c r="CI724" i="3"/>
  <c r="CG725" i="3"/>
  <c r="CI725" i="3"/>
  <c r="CG726" i="3"/>
  <c r="CI726" i="3"/>
  <c r="CG727" i="3"/>
  <c r="CI727" i="3"/>
  <c r="CG728" i="3"/>
  <c r="CI728" i="3"/>
  <c r="CG729" i="3"/>
  <c r="CI729" i="3"/>
  <c r="CG730" i="3"/>
  <c r="CI730" i="3"/>
  <c r="CG731" i="3"/>
  <c r="CI731" i="3"/>
  <c r="CG732" i="3"/>
  <c r="CI732" i="3"/>
  <c r="CG733" i="3"/>
  <c r="CI733" i="3"/>
  <c r="CG734" i="3"/>
  <c r="CI734" i="3"/>
  <c r="CG735" i="3"/>
  <c r="CI735" i="3"/>
  <c r="CG736" i="3"/>
  <c r="CI736" i="3"/>
  <c r="CG737" i="3"/>
  <c r="CI737" i="3"/>
  <c r="CG738" i="3"/>
  <c r="CI738" i="3"/>
  <c r="CG739" i="3"/>
  <c r="CI739" i="3"/>
  <c r="CG740" i="3"/>
  <c r="CI740" i="3"/>
  <c r="CG752" i="3"/>
  <c r="CI752" i="3"/>
  <c r="CK718" i="3"/>
  <c r="CM718" i="3"/>
  <c r="CK719" i="3"/>
  <c r="CM719" i="3"/>
  <c r="CK720" i="3"/>
  <c r="CM720" i="3"/>
  <c r="CK721" i="3"/>
  <c r="CM721" i="3"/>
  <c r="CK722" i="3"/>
  <c r="CM722" i="3"/>
  <c r="CK723" i="3"/>
  <c r="CM723" i="3"/>
  <c r="CK724" i="3"/>
  <c r="CM724" i="3"/>
  <c r="CK725" i="3"/>
  <c r="CM725" i="3"/>
  <c r="CK726" i="3"/>
  <c r="CM726" i="3"/>
  <c r="CK727" i="3"/>
  <c r="CM727" i="3"/>
  <c r="CK728" i="3"/>
  <c r="CM728" i="3"/>
  <c r="CK729" i="3"/>
  <c r="CM729" i="3"/>
  <c r="CK730" i="3"/>
  <c r="CM730" i="3"/>
  <c r="CK731" i="3"/>
  <c r="CM731" i="3"/>
  <c r="CK732" i="3"/>
  <c r="CM732" i="3"/>
  <c r="CK733" i="3"/>
  <c r="CM733" i="3"/>
  <c r="CK734" i="3"/>
  <c r="CM734" i="3"/>
  <c r="CK735" i="3"/>
  <c r="CM735" i="3"/>
  <c r="CK736" i="3"/>
  <c r="CM736" i="3"/>
  <c r="CK737" i="3"/>
  <c r="CM737" i="3"/>
  <c r="CK738" i="3"/>
  <c r="CM738" i="3"/>
  <c r="CK739" i="3"/>
  <c r="CM739" i="3"/>
  <c r="CK740" i="3"/>
  <c r="CM740" i="3"/>
  <c r="CK752" i="3"/>
  <c r="CM752" i="3"/>
  <c r="AO639" i="3"/>
  <c r="AD64" i="15"/>
  <c r="AD68" i="15"/>
  <c r="W700" i="3"/>
  <c r="BE69" i="3"/>
  <c r="BG226" i="3"/>
  <c r="BG227" i="3"/>
  <c r="BG228" i="3"/>
  <c r="BG229" i="3"/>
  <c r="BG230" i="3"/>
  <c r="BG232" i="3"/>
  <c r="BG233" i="3"/>
  <c r="BG234" i="3"/>
  <c r="BG236" i="3"/>
  <c r="BG237" i="3"/>
  <c r="BG238" i="3"/>
  <c r="BG239" i="3"/>
  <c r="BG240" i="3"/>
  <c r="BG241" i="3"/>
  <c r="M232" i="3"/>
  <c r="AG450" i="3"/>
  <c r="BE24" i="3"/>
  <c r="O797" i="3"/>
  <c r="O777" i="3"/>
  <c r="AC884"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O31" i="20"/>
  <c r="AO32" i="20"/>
  <c r="AO26" i="20"/>
  <c r="AO21" i="20"/>
  <c r="AO20" i="20"/>
  <c r="AO16" i="20"/>
  <c r="AO15" i="20"/>
  <c r="AO14" i="20"/>
  <c r="G131" i="21"/>
  <c r="G128" i="21"/>
  <c r="E130" i="21"/>
  <c r="E26" i="13"/>
  <c r="C26" i="4"/>
  <c r="D26" i="4"/>
  <c r="B26" i="4"/>
  <c r="B26" i="13"/>
  <c r="G72" i="21"/>
  <c r="G78" i="21"/>
  <c r="G109" i="21"/>
  <c r="M20" i="21"/>
  <c r="T20" i="21"/>
  <c r="M21" i="21"/>
  <c r="T21" i="21"/>
  <c r="M22" i="21"/>
  <c r="U22" i="21"/>
  <c r="M23" i="21"/>
  <c r="T23" i="21"/>
  <c r="M24" i="21"/>
  <c r="M25" i="21"/>
  <c r="M26" i="21"/>
  <c r="T26" i="21"/>
  <c r="M27" i="21"/>
  <c r="T27" i="21"/>
  <c r="M28" i="21"/>
  <c r="U28" i="21"/>
  <c r="M29" i="21"/>
  <c r="M30" i="21"/>
  <c r="L30" i="21"/>
  <c r="R30" i="21" a="1"/>
  <c r="R30" i="21"/>
  <c r="M31" i="21"/>
  <c r="P31" i="21" a="1"/>
  <c r="P31" i="21"/>
  <c r="O31" i="21"/>
  <c r="M32" i="21"/>
  <c r="O32" i="21"/>
  <c r="M33" i="21"/>
  <c r="O33" i="21"/>
  <c r="M34" i="21"/>
  <c r="O34" i="21"/>
  <c r="M35" i="21"/>
  <c r="U35" i="21"/>
  <c r="O35" i="21"/>
  <c r="M36" i="21"/>
  <c r="O36" i="21"/>
  <c r="M37" i="21"/>
  <c r="R37" i="21" a="1"/>
  <c r="R37" i="21"/>
  <c r="M38" i="21"/>
  <c r="O38" i="21"/>
  <c r="M39" i="21"/>
  <c r="R39" i="21" a="1"/>
  <c r="R39" i="21"/>
  <c r="O39" i="21"/>
  <c r="M40" i="21"/>
  <c r="R40" i="21" a="1"/>
  <c r="R40" i="21"/>
  <c r="O40" i="21"/>
  <c r="M41" i="21"/>
  <c r="O41" i="21"/>
  <c r="M42" i="21"/>
  <c r="O42" i="21"/>
  <c r="M43" i="21"/>
  <c r="S43" i="21"/>
  <c r="L97" i="21"/>
  <c r="L98" i="21"/>
  <c r="L99" i="21"/>
  <c r="L101" i="21"/>
  <c r="L102" i="21"/>
  <c r="L103" i="21"/>
  <c r="L104" i="21"/>
  <c r="L20" i="21"/>
  <c r="L21" i="21"/>
  <c r="L22" i="21"/>
  <c r="L23" i="21"/>
  <c r="L24" i="21"/>
  <c r="R24" i="21" a="1"/>
  <c r="R24" i="21"/>
  <c r="L25" i="21"/>
  <c r="R25" i="21" a="1"/>
  <c r="R25" i="21"/>
  <c r="L26" i="21"/>
  <c r="L27" i="21"/>
  <c r="L28" i="21"/>
  <c r="R28" i="21" a="1"/>
  <c r="R28" i="21"/>
  <c r="L29" i="21"/>
  <c r="R29" i="21" a="1"/>
  <c r="R29"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c r="B5" i="8"/>
  <c r="G5" i="8"/>
  <c r="B6" i="8"/>
  <c r="G6" i="8"/>
  <c r="B10" i="8"/>
  <c r="G10" i="8"/>
  <c r="E88" i="21"/>
  <c r="E79" i="21"/>
  <c r="B35" i="21"/>
  <c r="B20" i="21"/>
  <c r="B7" i="8"/>
  <c r="G7" i="8"/>
  <c r="AK285" i="20"/>
  <c r="T814" i="20"/>
  <c r="AF814" i="20"/>
  <c r="BE78" i="3"/>
  <c r="B24" i="4"/>
  <c r="B36" i="4"/>
  <c r="B66" i="4"/>
  <c r="B67" i="4"/>
  <c r="B68" i="4"/>
  <c r="B69" i="4"/>
  <c r="R66" i="4"/>
  <c r="R67" i="4"/>
  <c r="R68" i="4"/>
  <c r="A104" i="11"/>
  <c r="C101" i="11"/>
  <c r="C102" i="11"/>
  <c r="C103" i="11"/>
  <c r="C104" i="11"/>
  <c r="B101" i="11"/>
  <c r="B102" i="11"/>
  <c r="D102" i="11"/>
  <c r="B103" i="11"/>
  <c r="B104" i="11"/>
  <c r="C85" i="11"/>
  <c r="C86" i="11"/>
  <c r="C87" i="11"/>
  <c r="C88" i="11"/>
  <c r="C89" i="11"/>
  <c r="B89" i="11"/>
  <c r="D89" i="11"/>
  <c r="C90" i="11"/>
  <c r="C91" i="11"/>
  <c r="C92" i="11"/>
  <c r="C93" i="11"/>
  <c r="C94" i="11"/>
  <c r="C95" i="11"/>
  <c r="C96" i="11"/>
  <c r="B96" i="11"/>
  <c r="D96" i="11"/>
  <c r="B85" i="11"/>
  <c r="B86" i="11"/>
  <c r="B87" i="11"/>
  <c r="B88" i="11"/>
  <c r="B90" i="11"/>
  <c r="B91" i="11"/>
  <c r="B92" i="11"/>
  <c r="B93" i="11"/>
  <c r="D93" i="11"/>
  <c r="B94" i="11"/>
  <c r="D94" i="11"/>
  <c r="B95" i="11"/>
  <c r="A70" i="11"/>
  <c r="C67" i="11"/>
  <c r="C68" i="11"/>
  <c r="C69" i="11"/>
  <c r="C70" i="11"/>
  <c r="B70" i="11"/>
  <c r="D70" i="11"/>
  <c r="B67" i="11"/>
  <c r="B68" i="11"/>
  <c r="B69" i="11"/>
  <c r="A62" i="11"/>
  <c r="A54" i="11"/>
  <c r="A38" i="11"/>
  <c r="A26" i="11"/>
  <c r="C31" i="11"/>
  <c r="C32" i="11"/>
  <c r="C33" i="11"/>
  <c r="C34" i="11"/>
  <c r="B34" i="11"/>
  <c r="D34" i="11"/>
  <c r="C35" i="11"/>
  <c r="C36" i="11"/>
  <c r="C37" i="11"/>
  <c r="C38" i="11"/>
  <c r="B31" i="11"/>
  <c r="B32" i="11"/>
  <c r="B33" i="11"/>
  <c r="B35" i="11"/>
  <c r="D35" i="11"/>
  <c r="B36" i="11"/>
  <c r="B37" i="11"/>
  <c r="B38" i="11"/>
  <c r="C24" i="11"/>
  <c r="B24" i="11"/>
  <c r="D24" i="11"/>
  <c r="C25" i="11"/>
  <c r="C26" i="11"/>
  <c r="B26" i="11"/>
  <c r="D26" i="11"/>
  <c r="B25" i="11"/>
  <c r="D25" i="11"/>
  <c r="D70" i="4"/>
  <c r="C70" i="4"/>
  <c r="B70" i="13"/>
  <c r="C54" i="11"/>
  <c r="B54" i="11"/>
  <c r="AV121" i="20" a="1"/>
  <c r="AV121" i="20"/>
  <c r="AV120" i="20" a="1"/>
  <c r="AV120" i="20"/>
  <c r="AV119" i="20" a="1"/>
  <c r="AV119" i="20"/>
  <c r="AV118" i="20" a="1"/>
  <c r="AV118" i="20"/>
  <c r="AV117" i="20" a="1"/>
  <c r="AV117" i="20"/>
  <c r="AV116" i="20" a="1"/>
  <c r="AV116" i="20"/>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D104" i="4"/>
  <c r="B104" i="4"/>
  <c r="B99" i="4"/>
  <c r="G68" i="7"/>
  <c r="I68" i="7"/>
  <c r="K68" i="7"/>
  <c r="M68" i="7"/>
  <c r="O68" i="7"/>
  <c r="Q68" i="7"/>
  <c r="S68" i="7"/>
  <c r="U68" i="7"/>
  <c r="W68" i="7"/>
  <c r="Y68" i="7"/>
  <c r="AA68" i="7"/>
  <c r="AC68" i="7"/>
  <c r="G69" i="7"/>
  <c r="I69" i="7"/>
  <c r="K69" i="7"/>
  <c r="M69" i="7"/>
  <c r="O69" i="7"/>
  <c r="Q69" i="7"/>
  <c r="S69" i="7"/>
  <c r="U69" i="7"/>
  <c r="W69" i="7"/>
  <c r="Y69" i="7"/>
  <c r="AA69" i="7"/>
  <c r="AC69" i="7"/>
  <c r="AE69" i="7"/>
  <c r="AG69" i="7"/>
  <c r="A61" i="15"/>
  <c r="BA479" i="3"/>
  <c r="BA470" i="3"/>
  <c r="B100" i="4"/>
  <c r="R100" i="4"/>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B245" i="20"/>
  <c r="AB247"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T808" i="20"/>
  <c r="AF808" i="20"/>
  <c r="BE75" i="3"/>
  <c r="AO70" i="20"/>
  <c r="AO69" i="20"/>
  <c r="AO68" i="20"/>
  <c r="A3" i="15"/>
  <c r="R10" i="4"/>
  <c r="R91" i="4"/>
  <c r="R84" i="4"/>
  <c r="B59" i="4"/>
  <c r="C80" i="11"/>
  <c r="C81" i="11"/>
  <c r="B80" i="11"/>
  <c r="B81" i="11"/>
  <c r="I96" i="13"/>
  <c r="J96" i="13"/>
  <c r="J81" i="13"/>
  <c r="I81" i="13"/>
  <c r="G81" i="13"/>
  <c r="F81" i="13"/>
  <c r="D81" i="13"/>
  <c r="C81" i="13"/>
  <c r="H80" i="13"/>
  <c r="E80" i="13"/>
  <c r="B80" i="13"/>
  <c r="R80" i="4"/>
  <c r="R79" i="4"/>
  <c r="R81" i="4"/>
  <c r="D81" i="4"/>
  <c r="E81" i="4"/>
  <c r="F81" i="4"/>
  <c r="G81" i="4"/>
  <c r="H81" i="4"/>
  <c r="I81" i="4"/>
  <c r="J81" i="4"/>
  <c r="K81" i="4"/>
  <c r="L81" i="4"/>
  <c r="M81" i="4"/>
  <c r="N81" i="4"/>
  <c r="O81" i="4"/>
  <c r="P81" i="4"/>
  <c r="Q81" i="4"/>
  <c r="E81" i="13"/>
  <c r="H81" i="13"/>
  <c r="C81" i="4"/>
  <c r="B81" i="13"/>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5" i="13"/>
  <c r="E84" i="13"/>
  <c r="E79" i="13"/>
  <c r="E65" i="13"/>
  <c r="E53" i="13"/>
  <c r="E52" i="13"/>
  <c r="E51" i="13"/>
  <c r="E50" i="13"/>
  <c r="E49" i="13"/>
  <c r="E48" i="13"/>
  <c r="E47" i="13"/>
  <c r="E46" i="13"/>
  <c r="E45" i="13"/>
  <c r="E43" i="13"/>
  <c r="E41" i="13"/>
  <c r="E40" i="13"/>
  <c r="E37" i="13"/>
  <c r="E35" i="13"/>
  <c r="E34" i="13"/>
  <c r="E33"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G26" i="13"/>
  <c r="G38" i="13"/>
  <c r="G42" i="13"/>
  <c r="G63" i="13"/>
  <c r="G97" i="13"/>
  <c r="G105" i="13"/>
  <c r="G107" i="13"/>
  <c r="F54" i="13"/>
  <c r="D54" i="13"/>
  <c r="C54" i="13"/>
  <c r="J42" i="13"/>
  <c r="I42" i="13"/>
  <c r="F42" i="13"/>
  <c r="F26" i="13"/>
  <c r="F38" i="13"/>
  <c r="D42" i="13"/>
  <c r="C42" i="13"/>
  <c r="J38" i="13"/>
  <c r="I38" i="13"/>
  <c r="D38" i="13"/>
  <c r="C38" i="13"/>
  <c r="J26" i="13"/>
  <c r="I26" i="13"/>
  <c r="I11" i="13"/>
  <c r="D26" i="13"/>
  <c r="C26" i="13"/>
  <c r="J11" i="13"/>
  <c r="D11" i="13"/>
  <c r="C11" i="13"/>
  <c r="C8" i="13"/>
  <c r="C12" i="13"/>
  <c r="D8" i="13"/>
  <c r="H104" i="13"/>
  <c r="R103" i="4"/>
  <c r="R102" i="4"/>
  <c r="R101" i="4"/>
  <c r="R95" i="4"/>
  <c r="R94" i="4"/>
  <c r="R93" i="4"/>
  <c r="R92" i="4"/>
  <c r="R90" i="4"/>
  <c r="R89" i="4"/>
  <c r="R88" i="4"/>
  <c r="R87" i="4"/>
  <c r="R85" i="4"/>
  <c r="R83" i="4"/>
  <c r="R76" i="4"/>
  <c r="R75" i="4"/>
  <c r="R72" i="4"/>
  <c r="R73" i="4"/>
  <c r="R74" i="4"/>
  <c r="R69" i="4"/>
  <c r="R65" i="4"/>
  <c r="R70" i="4"/>
  <c r="R61" i="4"/>
  <c r="R60" i="4"/>
  <c r="R59" i="4"/>
  <c r="R56" i="4"/>
  <c r="R57" i="4"/>
  <c r="R58" i="4"/>
  <c r="R62" i="4"/>
  <c r="R53" i="4"/>
  <c r="R52" i="4"/>
  <c r="R51" i="4"/>
  <c r="R50" i="4"/>
  <c r="R49" i="4"/>
  <c r="R48" i="4"/>
  <c r="R47" i="4"/>
  <c r="R46" i="4"/>
  <c r="R45" i="4"/>
  <c r="R43" i="4"/>
  <c r="R41" i="4"/>
  <c r="R40" i="4"/>
  <c r="R42" i="4"/>
  <c r="R37" i="4"/>
  <c r="R34" i="4"/>
  <c r="R33" i="4"/>
  <c r="R32" i="4"/>
  <c r="R31" i="4"/>
  <c r="R29" i="4"/>
  <c r="R27" i="4"/>
  <c r="R25" i="4"/>
  <c r="R23" i="4"/>
  <c r="R22" i="4"/>
  <c r="R21" i="4"/>
  <c r="R20" i="4"/>
  <c r="R19" i="4"/>
  <c r="R18" i="4"/>
  <c r="R17" i="4"/>
  <c r="R15" i="4"/>
  <c r="R14" i="4"/>
  <c r="R13" i="4"/>
  <c r="R7" i="4"/>
  <c r="R6" i="4"/>
  <c r="R5" i="4"/>
  <c r="R8" i="4"/>
  <c r="B5" i="11"/>
  <c r="C5" i="11"/>
  <c r="B6" i="11"/>
  <c r="C6" i="11"/>
  <c r="B7" i="11"/>
  <c r="C7" i="11"/>
  <c r="D7" i="11"/>
  <c r="C8" i="11"/>
  <c r="B8" i="11"/>
  <c r="D8" i="11"/>
  <c r="B10" i="11"/>
  <c r="B11" i="11"/>
  <c r="C10" i="11"/>
  <c r="C11" i="11"/>
  <c r="B14" i="11"/>
  <c r="C14" i="11"/>
  <c r="B15" i="11"/>
  <c r="C15" i="11"/>
  <c r="B16" i="11"/>
  <c r="C16" i="11"/>
  <c r="B18" i="11"/>
  <c r="C18" i="11"/>
  <c r="B19" i="11"/>
  <c r="C19" i="11"/>
  <c r="B20" i="11"/>
  <c r="C20" i="11"/>
  <c r="D20" i="11"/>
  <c r="B21" i="11"/>
  <c r="C21" i="11"/>
  <c r="B22" i="11"/>
  <c r="C22" i="11"/>
  <c r="B23" i="11"/>
  <c r="C23" i="11"/>
  <c r="D23" i="11"/>
  <c r="B28" i="11"/>
  <c r="C28" i="11"/>
  <c r="B30" i="11"/>
  <c r="C30" i="11"/>
  <c r="B41" i="11"/>
  <c r="C41" i="11"/>
  <c r="C42" i="11"/>
  <c r="B42" i="11"/>
  <c r="D42" i="11"/>
  <c r="B43" i="11"/>
  <c r="B44" i="11"/>
  <c r="C44" i="11"/>
  <c r="B46" i="11"/>
  <c r="C46" i="11"/>
  <c r="D46" i="11"/>
  <c r="B47" i="11"/>
  <c r="C47" i="11"/>
  <c r="D47" i="11"/>
  <c r="B48" i="11"/>
  <c r="C48" i="11"/>
  <c r="D48" i="11"/>
  <c r="B49" i="11"/>
  <c r="B50" i="11"/>
  <c r="B51" i="11"/>
  <c r="B52" i="11"/>
  <c r="B53" i="11"/>
  <c r="C49" i="11"/>
  <c r="C50" i="11"/>
  <c r="D50" i="11"/>
  <c r="C51" i="11"/>
  <c r="D51" i="11"/>
  <c r="C52" i="11"/>
  <c r="D52" i="11"/>
  <c r="C53" i="11"/>
  <c r="B57" i="11"/>
  <c r="C57" i="11"/>
  <c r="B58" i="11"/>
  <c r="C58" i="11"/>
  <c r="B59" i="11"/>
  <c r="C59" i="11"/>
  <c r="B60" i="11"/>
  <c r="C60" i="11"/>
  <c r="D60" i="11"/>
  <c r="B61" i="11"/>
  <c r="C61" i="11"/>
  <c r="B62" i="11"/>
  <c r="C62" i="11"/>
  <c r="D62" i="11"/>
  <c r="B66" i="11"/>
  <c r="C66" i="11"/>
  <c r="D66" i="11"/>
  <c r="B73" i="11"/>
  <c r="C73" i="11"/>
  <c r="D73" i="11"/>
  <c r="C74" i="11"/>
  <c r="C75" i="11"/>
  <c r="C76" i="11"/>
  <c r="C77" i="11"/>
  <c r="C78" i="11"/>
  <c r="B74" i="11"/>
  <c r="D74" i="11"/>
  <c r="B75" i="11"/>
  <c r="B76" i="11"/>
  <c r="B77" i="11"/>
  <c r="D77" i="11"/>
  <c r="B84" i="11"/>
  <c r="C84" i="11"/>
  <c r="B100" i="11"/>
  <c r="C100" i="11"/>
  <c r="D100" i="11"/>
  <c r="A4" i="8"/>
  <c r="A5" i="8"/>
  <c r="A6" i="8"/>
  <c r="A7" i="8"/>
  <c r="A8" i="8"/>
  <c r="A9" i="8"/>
  <c r="A10" i="8"/>
  <c r="A11" i="8"/>
  <c r="A12" i="8"/>
  <c r="A13" i="8"/>
  <c r="A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H26" i="13"/>
  <c r="H38" i="13"/>
  <c r="H42" i="13"/>
  <c r="H96" i="13"/>
  <c r="C11" i="4"/>
  <c r="C38" i="4"/>
  <c r="B38" i="13"/>
  <c r="C54" i="4"/>
  <c r="B54" i="13"/>
  <c r="C62" i="4"/>
  <c r="C77" i="4"/>
  <c r="B77" i="13"/>
  <c r="C96" i="4"/>
  <c r="B96" i="13"/>
  <c r="D8" i="4"/>
  <c r="D11" i="4"/>
  <c r="D12" i="4"/>
  <c r="D38" i="4"/>
  <c r="D42" i="4"/>
  <c r="B42" i="4"/>
  <c r="D54" i="4"/>
  <c r="D62" i="4"/>
  <c r="D77" i="4"/>
  <c r="D96" i="4"/>
  <c r="E42" i="13"/>
  <c r="E54" i="13"/>
  <c r="F2" i="4"/>
  <c r="G2" i="4"/>
  <c r="H2" i="4"/>
  <c r="I2" i="4"/>
  <c r="J2" i="4"/>
  <c r="K2" i="4"/>
  <c r="L2" i="4"/>
  <c r="M2" i="4"/>
  <c r="N2" i="4"/>
  <c r="O2" i="4"/>
  <c r="P2" i="4"/>
  <c r="Q2" i="4"/>
  <c r="B4" i="4"/>
  <c r="BE23" i="3"/>
  <c r="B5" i="4"/>
  <c r="B6" i="4"/>
  <c r="B7" i="4"/>
  <c r="E8" i="4"/>
  <c r="F8" i="4"/>
  <c r="G8" i="4"/>
  <c r="H8" i="4"/>
  <c r="H11" i="4"/>
  <c r="I8" i="4"/>
  <c r="I11" i="4"/>
  <c r="I12" i="4"/>
  <c r="J8" i="4"/>
  <c r="J11" i="4"/>
  <c r="J26" i="4"/>
  <c r="J38" i="4"/>
  <c r="J42" i="4"/>
  <c r="J54" i="4"/>
  <c r="J62" i="4"/>
  <c r="J70" i="4"/>
  <c r="J77" i="4"/>
  <c r="J96" i="4"/>
  <c r="J104" i="4"/>
  <c r="K8" i="4"/>
  <c r="K11" i="4"/>
  <c r="K12" i="4"/>
  <c r="L8" i="4"/>
  <c r="L11" i="4"/>
  <c r="M8" i="4"/>
  <c r="M11" i="4"/>
  <c r="N8" i="4"/>
  <c r="N11" i="4"/>
  <c r="N12" i="4"/>
  <c r="O8" i="4"/>
  <c r="Q8" i="4"/>
  <c r="Q11" i="4"/>
  <c r="B9" i="4"/>
  <c r="B10" i="4"/>
  <c r="F26" i="4"/>
  <c r="F42" i="4"/>
  <c r="F54" i="4"/>
  <c r="F62" i="4"/>
  <c r="O11" i="4"/>
  <c r="B13" i="4"/>
  <c r="B14" i="4"/>
  <c r="B15" i="4"/>
  <c r="AD210" i="20"/>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8" i="23"/>
  <c r="B87" i="4"/>
  <c r="B88" i="4"/>
  <c r="B89" i="4"/>
  <c r="B90" i="4"/>
  <c r="B91" i="4"/>
  <c r="B92" i="4"/>
  <c r="B93" i="4"/>
  <c r="B94" i="4"/>
  <c r="B95" i="4"/>
  <c r="F96" i="4"/>
  <c r="G96" i="4"/>
  <c r="H96" i="4"/>
  <c r="I96" i="4"/>
  <c r="K96" i="4"/>
  <c r="L96" i="4"/>
  <c r="Q96" i="4"/>
  <c r="B101" i="4"/>
  <c r="B102" i="4"/>
  <c r="B103" i="4"/>
  <c r="F104" i="4"/>
  <c r="G104" i="4"/>
  <c r="I104" i="4"/>
  <c r="K104" i="4"/>
  <c r="L104" i="4"/>
  <c r="Q104" i="4"/>
  <c r="E108" i="4"/>
  <c r="G38" i="4"/>
  <c r="I108" i="4"/>
  <c r="J108" i="4"/>
  <c r="K108" i="4"/>
  <c r="L108" i="4"/>
  <c r="M108" i="4"/>
  <c r="N108" i="4"/>
  <c r="O108" i="4"/>
  <c r="P108" i="4"/>
  <c r="Q108" i="4"/>
  <c r="B131" i="4"/>
  <c r="I184" i="3"/>
  <c r="W418" i="3"/>
  <c r="AF418" i="3"/>
  <c r="AP582"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Y832" i="3"/>
  <c r="AC832" i="3"/>
  <c r="AG832" i="3"/>
  <c r="Z902" i="3"/>
  <c r="AO18" i="20"/>
  <c r="D91" i="11"/>
  <c r="D33" i="11"/>
  <c r="D88" i="11"/>
  <c r="G144" i="21"/>
  <c r="G143" i="21"/>
  <c r="H12" i="4"/>
  <c r="D15" i="11"/>
  <c r="D28" i="11"/>
  <c r="BA1058" i="3"/>
  <c r="J63" i="13"/>
  <c r="B77" i="4"/>
  <c r="M12" i="4"/>
  <c r="D19" i="11"/>
  <c r="D14" i="11"/>
  <c r="AB48" i="15"/>
  <c r="B96" i="4"/>
  <c r="E104" i="13"/>
  <c r="S37" i="21"/>
  <c r="S36" i="21"/>
  <c r="S35" i="21"/>
  <c r="U33" i="21"/>
  <c r="S33" i="21"/>
  <c r="S40" i="21"/>
  <c r="U32" i="21"/>
  <c r="S32" i="21"/>
  <c r="U24" i="21"/>
  <c r="S39" i="21"/>
  <c r="T22" i="21"/>
  <c r="U29" i="21"/>
  <c r="U36" i="21"/>
  <c r="U43" i="21"/>
  <c r="T35" i="21"/>
  <c r="U27" i="21"/>
  <c r="U38" i="21"/>
  <c r="U34" i="21"/>
  <c r="U26" i="21"/>
  <c r="T25" i="21"/>
  <c r="U25" i="21"/>
  <c r="T40" i="21"/>
  <c r="U39" i="21"/>
  <c r="T31" i="21"/>
  <c r="AF1014" i="3"/>
  <c r="AY1003" i="3"/>
  <c r="I1052" i="3"/>
  <c r="I1048" i="3"/>
  <c r="C798" i="3"/>
  <c r="AJ1016" i="3"/>
  <c r="Y7" i="15"/>
  <c r="AI7" i="15"/>
  <c r="AO641" i="3"/>
  <c r="R21" i="21" a="1"/>
  <c r="R21" i="21"/>
  <c r="P43" i="21" a="1"/>
  <c r="P43" i="21"/>
  <c r="AG445" i="3"/>
  <c r="Y27" i="15"/>
  <c r="T24" i="21"/>
  <c r="T30" i="21"/>
  <c r="T7" i="15"/>
  <c r="P36" i="21" a="1"/>
  <c r="P36" i="21"/>
  <c r="T28" i="21"/>
  <c r="P40" i="21" a="1"/>
  <c r="P40" i="21"/>
  <c r="T36" i="21"/>
  <c r="T42" i="21"/>
  <c r="T33" i="21"/>
  <c r="R35" i="21" a="1"/>
  <c r="R35" i="21"/>
  <c r="R43" i="21" a="1"/>
  <c r="R43" i="21"/>
  <c r="R31" i="21" a="1"/>
  <c r="R31" i="21"/>
  <c r="R986" i="3"/>
  <c r="T41" i="21"/>
  <c r="E105" i="20"/>
  <c r="R23" i="21" a="1"/>
  <c r="R23" i="21"/>
  <c r="E104" i="20"/>
  <c r="P41" i="21" a="1"/>
  <c r="P41" i="21"/>
  <c r="P35" i="21" a="1"/>
  <c r="P35" i="21"/>
  <c r="R990" i="3"/>
  <c r="R32" i="21" a="1"/>
  <c r="R32" i="21"/>
  <c r="P32" i="21" a="1"/>
  <c r="P32" i="21"/>
  <c r="T32" i="21"/>
  <c r="R26" i="21" a="1"/>
  <c r="R26" i="21"/>
  <c r="M18" i="21"/>
  <c r="T37" i="21"/>
  <c r="EO787" i="3"/>
  <c r="DU790" i="3"/>
  <c r="R36" i="21" a="1"/>
  <c r="R36" i="21"/>
  <c r="R22" i="21" a="1"/>
  <c r="R22" i="21"/>
  <c r="T29" i="21"/>
  <c r="P38" i="21" a="1"/>
  <c r="P38" i="21"/>
  <c r="R38" i="21" a="1"/>
  <c r="R38" i="21"/>
  <c r="P33" i="21" a="1"/>
  <c r="P33" i="21"/>
  <c r="P42" i="21" a="1"/>
  <c r="P42" i="21"/>
  <c r="D13" i="8"/>
  <c r="X727" i="3"/>
  <c r="AH727" i="3"/>
  <c r="AQ121" i="20"/>
  <c r="FJ727" i="3"/>
  <c r="I7" i="8"/>
  <c r="X718" i="3"/>
  <c r="AH718" i="3"/>
  <c r="D4" i="8"/>
  <c r="AQ112" i="20"/>
  <c r="X724" i="3"/>
  <c r="AH724" i="3"/>
  <c r="AQ118" i="20"/>
  <c r="D10" i="8"/>
  <c r="Y64" i="15"/>
  <c r="Y68" i="15"/>
  <c r="E11" i="4"/>
  <c r="E12" i="4"/>
  <c r="O12" i="4"/>
  <c r="CP777" i="3"/>
  <c r="CT778" i="3"/>
  <c r="J97" i="13"/>
  <c r="J105" i="13"/>
  <c r="J107" i="13"/>
  <c r="T34" i="21"/>
  <c r="D49" i="11"/>
  <c r="C43" i="11"/>
  <c r="D43" i="11"/>
  <c r="AP375" i="20"/>
  <c r="AQ375" i="20"/>
  <c r="D90" i="11"/>
  <c r="P39" i="21" a="1"/>
  <c r="P39" i="21"/>
  <c r="U31" i="21"/>
  <c r="S41" i="21"/>
  <c r="B81" i="4"/>
  <c r="B62" i="4"/>
  <c r="B82" i="11"/>
  <c r="BG243" i="3"/>
  <c r="BO245" i="3"/>
  <c r="T267" i="3"/>
  <c r="DO777" i="3"/>
  <c r="DS778" i="3"/>
  <c r="AX690" i="20"/>
  <c r="H63" i="4"/>
  <c r="H97" i="4"/>
  <c r="H104" i="4"/>
  <c r="H105" i="4"/>
  <c r="Y607" i="20"/>
  <c r="U20" i="21"/>
  <c r="D61" i="11"/>
  <c r="D81" i="11"/>
  <c r="E24" i="21"/>
  <c r="F24" i="21"/>
  <c r="G24" i="21"/>
  <c r="O37" i="21"/>
  <c r="DJ797" i="3"/>
  <c r="R93" i="23"/>
  <c r="E26" i="21"/>
  <c r="T39" i="21"/>
  <c r="D5" i="11"/>
  <c r="DE797" i="3"/>
  <c r="DI798" i="3"/>
  <c r="DO797" i="3"/>
  <c r="DS798" i="3"/>
  <c r="S34" i="21"/>
  <c r="R34" i="21" a="1"/>
  <c r="R34" i="21"/>
  <c r="T43" i="21"/>
  <c r="D16" i="11"/>
  <c r="S31" i="21"/>
  <c r="U40" i="21"/>
  <c r="B104" i="13"/>
  <c r="AO23" i="20"/>
  <c r="AO42" i="20"/>
  <c r="AG29" i="7"/>
  <c r="DU753" i="3"/>
  <c r="P37" i="21" a="1"/>
  <c r="P37" i="21"/>
  <c r="P34" i="21" a="1"/>
  <c r="P34" i="21"/>
  <c r="U30" i="21"/>
  <c r="G60" i="21"/>
  <c r="AG28" i="7"/>
  <c r="W28" i="7"/>
  <c r="M28" i="7"/>
  <c r="AP366" i="20"/>
  <c r="AQ366" i="20"/>
  <c r="R20" i="21" a="1"/>
  <c r="R20" i="21"/>
  <c r="U37" i="21"/>
  <c r="D76" i="11"/>
  <c r="D59" i="11"/>
  <c r="D36" i="11"/>
  <c r="Q12" i="4"/>
  <c r="J63" i="4"/>
  <c r="AY1024" i="3"/>
  <c r="AF1017" i="3"/>
  <c r="C63" i="11"/>
  <c r="D22" i="11"/>
  <c r="C12" i="11"/>
  <c r="B8" i="4"/>
  <c r="N189" i="23"/>
  <c r="N195" i="23"/>
  <c r="AO71" i="20"/>
  <c r="R41" i="21" a="1"/>
  <c r="R41" i="21"/>
  <c r="J12" i="4"/>
  <c r="D21" i="11"/>
  <c r="D11" i="11"/>
  <c r="D95" i="11"/>
  <c r="DE777" i="3"/>
  <c r="DI778" i="3"/>
  <c r="CP797" i="3"/>
  <c r="CT798" i="3"/>
  <c r="G99" i="21"/>
  <c r="S28" i="7"/>
  <c r="I63" i="4"/>
  <c r="I97" i="4"/>
  <c r="I105" i="4"/>
  <c r="L63" i="4"/>
  <c r="L97" i="4"/>
  <c r="L105" i="4"/>
  <c r="D63" i="4"/>
  <c r="D97" i="4"/>
  <c r="D105" i="4"/>
  <c r="BE68" i="3"/>
  <c r="D92" i="11"/>
  <c r="Y69" i="15"/>
  <c r="E99" i="4"/>
  <c r="E15" i="7"/>
  <c r="G15" i="7"/>
  <c r="EJ797" i="3"/>
  <c r="AE68" i="7"/>
  <c r="AC70" i="7"/>
  <c r="FO753" i="3"/>
  <c r="EE797" i="3"/>
  <c r="CZ753" i="3"/>
  <c r="EH651" i="3"/>
  <c r="EH661" i="3"/>
  <c r="X726" i="3"/>
  <c r="AH726" i="3"/>
  <c r="D12" i="8"/>
  <c r="AQ120" i="20"/>
  <c r="AV122" i="20"/>
  <c r="AW118" i="20"/>
  <c r="FJ726" i="3"/>
  <c r="AW117" i="20"/>
  <c r="G11" i="4"/>
  <c r="G63" i="4"/>
  <c r="G97" i="4"/>
  <c r="G105" i="4"/>
  <c r="F9" i="4"/>
  <c r="C55" i="11"/>
  <c r="B55" i="11"/>
  <c r="D55" i="11"/>
  <c r="D80" i="11"/>
  <c r="EH644" i="3"/>
  <c r="AP587" i="20"/>
  <c r="C9" i="11"/>
  <c r="BS753" i="3"/>
  <c r="BT748" i="3"/>
  <c r="BU748" i="3"/>
  <c r="O43" i="21"/>
  <c r="CI753" i="3"/>
  <c r="BE7" i="3"/>
  <c r="BE8" i="3"/>
  <c r="R80" i="23"/>
  <c r="O44" i="21"/>
  <c r="R44" i="21" a="1"/>
  <c r="R44" i="21"/>
  <c r="AP295" i="20"/>
  <c r="AK338" i="20"/>
  <c r="DU787" i="3"/>
  <c r="DU797" i="3"/>
  <c r="V29" i="23"/>
  <c r="D57" i="11"/>
  <c r="C63" i="13"/>
  <c r="C97" i="13"/>
  <c r="C105" i="13"/>
  <c r="AB234" i="20"/>
  <c r="AB250" i="20"/>
  <c r="AB252" i="20"/>
  <c r="AB254" i="20"/>
  <c r="AB260" i="20"/>
  <c r="AD209" i="20"/>
  <c r="AD211" i="20"/>
  <c r="EH638" i="3"/>
  <c r="P44" i="21" a="1"/>
  <c r="P44" i="21"/>
  <c r="E25" i="21"/>
  <c r="F25" i="21"/>
  <c r="G25" i="21"/>
  <c r="E28" i="21"/>
  <c r="R26" i="4"/>
  <c r="R77" i="4"/>
  <c r="EO797" i="3"/>
  <c r="U21" i="21"/>
  <c r="B9" i="11"/>
  <c r="R54" i="4"/>
  <c r="R27" i="21" a="1"/>
  <c r="R27" i="21"/>
  <c r="S42" i="21"/>
  <c r="EE753" i="3"/>
  <c r="O63" i="4"/>
  <c r="O97" i="4"/>
  <c r="O105" i="4"/>
  <c r="D32" i="11"/>
  <c r="D87" i="11"/>
  <c r="D103" i="11"/>
  <c r="ET797" i="3"/>
  <c r="J22" i="23"/>
  <c r="S44" i="21"/>
  <c r="O52" i="21"/>
  <c r="U46" i="21"/>
  <c r="AE29" i="7"/>
  <c r="W29" i="7"/>
  <c r="O29" i="7"/>
  <c r="J40" i="8"/>
  <c r="Z809" i="3"/>
  <c r="E6" i="7"/>
  <c r="G6" i="7"/>
  <c r="AC777" i="3"/>
  <c r="U54" i="21"/>
  <c r="W872" i="3"/>
  <c r="E20" i="7"/>
  <c r="G20" i="7"/>
  <c r="I20" i="7"/>
  <c r="K20" i="7"/>
  <c r="M20" i="7"/>
  <c r="O20" i="7"/>
  <c r="Q20" i="7"/>
  <c r="S20" i="7"/>
  <c r="U20" i="7"/>
  <c r="W20" i="7"/>
  <c r="Y20" i="7"/>
  <c r="AA20" i="7"/>
  <c r="AC20" i="7"/>
  <c r="AE20" i="7"/>
  <c r="AG20" i="7"/>
  <c r="T728" i="3"/>
  <c r="O728" i="3"/>
  <c r="D10" i="11"/>
  <c r="DZ753" i="3"/>
  <c r="K63" i="4"/>
  <c r="K97" i="4"/>
  <c r="K105" i="4"/>
  <c r="M63" i="4"/>
  <c r="M97" i="4"/>
  <c r="M105" i="4"/>
  <c r="J97" i="4"/>
  <c r="J105" i="4"/>
  <c r="D86" i="11"/>
  <c r="T38" i="21"/>
  <c r="DE753" i="3"/>
  <c r="EM654" i="3"/>
  <c r="CZ797" i="3"/>
  <c r="DD798" i="3"/>
  <c r="D41" i="11"/>
  <c r="EO753" i="3"/>
  <c r="D38" i="11"/>
  <c r="U44" i="21"/>
  <c r="E27" i="21"/>
  <c r="E29" i="21"/>
  <c r="ET753" i="3"/>
  <c r="B54" i="4"/>
  <c r="B70" i="4"/>
  <c r="T52" i="21"/>
  <c r="AC29" i="7"/>
  <c r="U29" i="7"/>
  <c r="M29" i="7"/>
  <c r="J28" i="23"/>
  <c r="R987" i="3"/>
  <c r="U23" i="21"/>
  <c r="U42" i="21"/>
  <c r="S38" i="21"/>
  <c r="BF753" i="3"/>
  <c r="BG752" i="3"/>
  <c r="BH752" i="3"/>
  <c r="P54" i="21" a="1"/>
  <c r="P54" i="21"/>
  <c r="R46" i="21" a="1"/>
  <c r="R46" i="21"/>
  <c r="R33" i="21" a="1"/>
  <c r="R33" i="21"/>
  <c r="R988" i="3"/>
  <c r="G130" i="21"/>
  <c r="G132" i="21"/>
  <c r="I16" i="21"/>
  <c r="AD27" i="15"/>
  <c r="R42" i="21" a="1"/>
  <c r="R42" i="21"/>
  <c r="N63" i="4"/>
  <c r="N97" i="4"/>
  <c r="N105" i="4"/>
  <c r="L12" i="4"/>
  <c r="U52" i="21"/>
  <c r="AC797" i="3"/>
  <c r="G58" i="7"/>
  <c r="T720" i="3"/>
  <c r="O720" i="3"/>
  <c r="AA29" i="7"/>
  <c r="S29" i="7"/>
  <c r="CU797" i="3"/>
  <c r="CY798" i="3"/>
  <c r="B38" i="4"/>
  <c r="K29" i="7"/>
  <c r="T27" i="15"/>
  <c r="AI27" i="15"/>
  <c r="AS360" i="20"/>
  <c r="AS358" i="20"/>
  <c r="AK469" i="20"/>
  <c r="T817" i="20"/>
  <c r="AF817" i="20"/>
  <c r="BE80" i="3"/>
  <c r="AS362" i="20"/>
  <c r="G40" i="8"/>
  <c r="AO39" i="20"/>
  <c r="AK62" i="20"/>
  <c r="DZ797" i="3"/>
  <c r="FE732" i="3"/>
  <c r="CU753" i="3"/>
  <c r="EC650" i="3"/>
  <c r="DN798" i="3"/>
  <c r="B11" i="13"/>
  <c r="B11" i="4"/>
  <c r="C12" i="4"/>
  <c r="B12" i="13"/>
  <c r="D84" i="11"/>
  <c r="C97" i="11"/>
  <c r="B97" i="11"/>
  <c r="D97" i="11"/>
  <c r="D53" i="11"/>
  <c r="D30" i="11"/>
  <c r="C39" i="11"/>
  <c r="D18" i="11"/>
  <c r="D27" i="11"/>
  <c r="B27" i="11"/>
  <c r="FT753" i="3"/>
  <c r="EM655" i="3"/>
  <c r="CM753" i="3"/>
  <c r="X1052" i="3"/>
  <c r="EM652" i="3"/>
  <c r="EM639" i="3"/>
  <c r="EM661" i="3"/>
  <c r="EM641" i="3"/>
  <c r="EM638" i="3"/>
  <c r="EM648" i="3"/>
  <c r="D85" i="11"/>
  <c r="D101" i="11"/>
  <c r="B105" i="11"/>
  <c r="EJ753" i="3"/>
  <c r="C71" i="11"/>
  <c r="C105" i="11"/>
  <c r="D105" i="11"/>
  <c r="D104" i="11"/>
  <c r="CP753" i="3"/>
  <c r="DX657" i="3"/>
  <c r="AW116" i="20"/>
  <c r="AW119" i="20"/>
  <c r="AW121" i="20"/>
  <c r="AW120" i="20"/>
  <c r="BG737" i="3"/>
  <c r="BH737" i="3"/>
  <c r="BG745" i="3"/>
  <c r="BH745" i="3"/>
  <c r="BG725" i="3"/>
  <c r="BH725" i="3"/>
  <c r="BG722" i="3"/>
  <c r="BH722" i="3"/>
  <c r="BG726" i="3"/>
  <c r="BH726" i="3"/>
  <c r="BG735" i="3"/>
  <c r="BH735" i="3"/>
  <c r="BG736" i="3"/>
  <c r="BH736" i="3"/>
  <c r="EM635" i="3"/>
  <c r="EH657" i="3"/>
  <c r="EM667" i="3"/>
  <c r="D6" i="11"/>
  <c r="EH642" i="3"/>
  <c r="EH640" i="3"/>
  <c r="EH639" i="3"/>
  <c r="DJ753" i="3"/>
  <c r="ER652" i="3"/>
  <c r="DU777" i="3"/>
  <c r="C63" i="4"/>
  <c r="DX659" i="3"/>
  <c r="EZ750" i="3"/>
  <c r="EM647" i="3"/>
  <c r="EH663" i="3"/>
  <c r="AK535" i="20"/>
  <c r="T813" i="20"/>
  <c r="AF813" i="20"/>
  <c r="BT749" i="3"/>
  <c r="BU749" i="3"/>
  <c r="BT744" i="3"/>
  <c r="BU744" i="3"/>
  <c r="BT724" i="3"/>
  <c r="BU724" i="3"/>
  <c r="BT734" i="3"/>
  <c r="BU734" i="3"/>
  <c r="BT751" i="3"/>
  <c r="BU751" i="3"/>
  <c r="BT719" i="3"/>
  <c r="BT718" i="3"/>
  <c r="BT732" i="3"/>
  <c r="BU732" i="3"/>
  <c r="BT721" i="3"/>
  <c r="BT750" i="3"/>
  <c r="BU750" i="3"/>
  <c r="BT729" i="3"/>
  <c r="BU729" i="3"/>
  <c r="BT722" i="3"/>
  <c r="BT735" i="3"/>
  <c r="BU735" i="3"/>
  <c r="BT726" i="3"/>
  <c r="BU726" i="3"/>
  <c r="BT737" i="3"/>
  <c r="BU737" i="3"/>
  <c r="BT742" i="3"/>
  <c r="BU742" i="3"/>
  <c r="BT743" i="3"/>
  <c r="BU743" i="3"/>
  <c r="BT731" i="3"/>
  <c r="BU731" i="3"/>
  <c r="BT746" i="3"/>
  <c r="BU746" i="3"/>
  <c r="BT733" i="3"/>
  <c r="BU733" i="3"/>
  <c r="FY749" i="3"/>
  <c r="FY753" i="3"/>
  <c r="DO753" i="3"/>
  <c r="EM645" i="3"/>
  <c r="EC635" i="3"/>
  <c r="T18" i="21"/>
  <c r="G51" i="21"/>
  <c r="B62" i="13"/>
  <c r="D54" i="11"/>
  <c r="B39" i="11"/>
  <c r="D31" i="11"/>
  <c r="B71" i="11"/>
  <c r="S38" i="4"/>
  <c r="E38" i="13"/>
  <c r="AG40" i="7"/>
  <c r="AG43" i="7"/>
  <c r="E43" i="7"/>
  <c r="AC40" i="7"/>
  <c r="AC43" i="7"/>
  <c r="I40" i="7"/>
  <c r="I43" i="7"/>
  <c r="M40" i="7"/>
  <c r="M43" i="7"/>
  <c r="Q40" i="7"/>
  <c r="Q43" i="7"/>
  <c r="U40" i="7"/>
  <c r="U43" i="7"/>
  <c r="Y40" i="7"/>
  <c r="Y43" i="7"/>
  <c r="AE40" i="7"/>
  <c r="AE43" i="7"/>
  <c r="G40" i="7"/>
  <c r="G43" i="7"/>
  <c r="K40" i="7"/>
  <c r="K43" i="7"/>
  <c r="O40" i="7"/>
  <c r="O43" i="7"/>
  <c r="S40" i="7"/>
  <c r="S43" i="7"/>
  <c r="W40" i="7"/>
  <c r="W43" i="7"/>
  <c r="AA40" i="7"/>
  <c r="AA43" i="7"/>
  <c r="G8" i="7"/>
  <c r="E9" i="7"/>
  <c r="T63" i="4"/>
  <c r="H11" i="13"/>
  <c r="J23" i="23"/>
  <c r="E86" i="13"/>
  <c r="S96" i="4"/>
  <c r="E96" i="13"/>
  <c r="U41" i="21"/>
  <c r="C27" i="11"/>
  <c r="C82" i="11"/>
  <c r="D63" i="13"/>
  <c r="D97" i="13"/>
  <c r="D105" i="13"/>
  <c r="D12" i="13"/>
  <c r="F63" i="13"/>
  <c r="F97" i="13"/>
  <c r="F105" i="13"/>
  <c r="F107" i="13"/>
  <c r="AB29" i="23"/>
  <c r="BD1051" i="3" a="1"/>
  <c r="BD1051" i="3"/>
  <c r="AH29" i="23"/>
  <c r="J19" i="23"/>
  <c r="P29" i="23"/>
  <c r="D75" i="11"/>
  <c r="D58" i="11"/>
  <c r="J20" i="23"/>
  <c r="Q63" i="4"/>
  <c r="Q97" i="4"/>
  <c r="Q105" i="4"/>
  <c r="B63" i="11"/>
  <c r="I63" i="13"/>
  <c r="I97" i="13"/>
  <c r="I105" i="13"/>
  <c r="I107" i="13"/>
  <c r="J21" i="23"/>
  <c r="E104" i="4"/>
  <c r="R99" i="4"/>
  <c r="R104" i="4"/>
  <c r="J24" i="23"/>
  <c r="EZ718" i="3"/>
  <c r="P63" i="4"/>
  <c r="P97" i="4"/>
  <c r="P105" i="4"/>
  <c r="D44" i="11"/>
  <c r="B12" i="11"/>
  <c r="B78" i="11"/>
  <c r="D78" i="11"/>
  <c r="AN29" i="23"/>
  <c r="U45" i="21"/>
  <c r="E36" i="4"/>
  <c r="I56" i="7"/>
  <c r="K56" i="7"/>
  <c r="M56" i="7"/>
  <c r="O56" i="7"/>
  <c r="Q56" i="7"/>
  <c r="S56" i="7"/>
  <c r="U56" i="7"/>
  <c r="W56" i="7"/>
  <c r="Y56" i="7"/>
  <c r="AA56" i="7"/>
  <c r="AC56" i="7"/>
  <c r="AE56" i="7"/>
  <c r="AG56" i="7"/>
  <c r="G28" i="7"/>
  <c r="T723" i="3"/>
  <c r="O723" i="3"/>
  <c r="G136" i="21"/>
  <c r="I17" i="21"/>
  <c r="AC28" i="7"/>
  <c r="T722" i="3"/>
  <c r="O722" i="3"/>
  <c r="E86" i="4"/>
  <c r="U48" i="21"/>
  <c r="P48" i="21" a="1"/>
  <c r="P48" i="21"/>
  <c r="S52" i="21"/>
  <c r="R52" i="21" a="1"/>
  <c r="R52" i="21"/>
  <c r="O48" i="21"/>
  <c r="T721" i="3"/>
  <c r="O721" i="3"/>
  <c r="T719" i="3"/>
  <c r="O719" i="3"/>
  <c r="K53" i="7"/>
  <c r="R48" i="21" a="1"/>
  <c r="R48" i="21"/>
  <c r="T725" i="3"/>
  <c r="O725" i="3"/>
  <c r="EM665" i="3"/>
  <c r="EM651" i="3"/>
  <c r="DX667" i="3"/>
  <c r="DU800" i="3"/>
  <c r="BA1039" i="3"/>
  <c r="BA1048" i="3" a="1"/>
  <c r="BA1048" i="3"/>
  <c r="D82" i="11"/>
  <c r="BG750" i="3"/>
  <c r="BH750" i="3"/>
  <c r="D63" i="11"/>
  <c r="BG724" i="3"/>
  <c r="BH724" i="3"/>
  <c r="EM643" i="3"/>
  <c r="EM642" i="3"/>
  <c r="BG747" i="3"/>
  <c r="BH747" i="3"/>
  <c r="EM660" i="3"/>
  <c r="EM656" i="3"/>
  <c r="C64" i="11"/>
  <c r="C98" i="11"/>
  <c r="DI755" i="3"/>
  <c r="EM658" i="3"/>
  <c r="DU799" i="3"/>
  <c r="BE9" i="3"/>
  <c r="BE10" i="3"/>
  <c r="EM662" i="3"/>
  <c r="X1048" i="3"/>
  <c r="DU778" i="3"/>
  <c r="D12" i="11"/>
  <c r="BT730" i="3"/>
  <c r="BU730" i="3"/>
  <c r="G12" i="4"/>
  <c r="AQ122" i="20"/>
  <c r="FJ728" i="3"/>
  <c r="D14" i="8"/>
  <c r="X728" i="3"/>
  <c r="AH728" i="3"/>
  <c r="AJ621" i="20"/>
  <c r="AK794" i="20"/>
  <c r="T819" i="20"/>
  <c r="AF819" i="20"/>
  <c r="BE82" i="3"/>
  <c r="G94" i="21"/>
  <c r="C13" i="11"/>
  <c r="EH650" i="3"/>
  <c r="EH641" i="3"/>
  <c r="DD755" i="3"/>
  <c r="EH646" i="3"/>
  <c r="EH666" i="3"/>
  <c r="EH658" i="3"/>
  <c r="EH653" i="3"/>
  <c r="BG729" i="3"/>
  <c r="BH729" i="3"/>
  <c r="EH665" i="3"/>
  <c r="EH669" i="3"/>
  <c r="BG718" i="3"/>
  <c r="CZ802" i="3"/>
  <c r="AB988" i="3"/>
  <c r="AJ988" i="3"/>
  <c r="EH662" i="3"/>
  <c r="T816" i="20"/>
  <c r="T815" i="20"/>
  <c r="AF815" i="20"/>
  <c r="BE79" i="3"/>
  <c r="BG720" i="3"/>
  <c r="BH720" i="3"/>
  <c r="BG751" i="3"/>
  <c r="BH751" i="3"/>
  <c r="ET799" i="3"/>
  <c r="EM668" i="3"/>
  <c r="AX691" i="20"/>
  <c r="DE802" i="3"/>
  <c r="AB989" i="3"/>
  <c r="AJ989" i="3"/>
  <c r="EM653" i="3"/>
  <c r="EM637" i="3"/>
  <c r="EM657" i="3"/>
  <c r="EM640" i="3"/>
  <c r="EH649" i="3"/>
  <c r="E7" i="7"/>
  <c r="EH667" i="3"/>
  <c r="BG741" i="3"/>
  <c r="BH741" i="3"/>
  <c r="BG721" i="3"/>
  <c r="BH721" i="3"/>
  <c r="EM646" i="3"/>
  <c r="EZ720" i="3"/>
  <c r="DX637" i="3"/>
  <c r="X720" i="3"/>
  <c r="AH720" i="3"/>
  <c r="D6" i="8"/>
  <c r="AQ114" i="20"/>
  <c r="EH643" i="3"/>
  <c r="EM636" i="3"/>
  <c r="EH656" i="3"/>
  <c r="EM666" i="3"/>
  <c r="BG740" i="3"/>
  <c r="BH740" i="3"/>
  <c r="EM659" i="3"/>
  <c r="EH648" i="3"/>
  <c r="BG728" i="3"/>
  <c r="BH728" i="3"/>
  <c r="BG730" i="3"/>
  <c r="BH730" i="3"/>
  <c r="BG731" i="3"/>
  <c r="BH731" i="3"/>
  <c r="BG744" i="3"/>
  <c r="BH744" i="3"/>
  <c r="BG723" i="3"/>
  <c r="BH723" i="3"/>
  <c r="BG739" i="3"/>
  <c r="BH739" i="3"/>
  <c r="BG749" i="3"/>
  <c r="BH749" i="3"/>
  <c r="BG734" i="3"/>
  <c r="BH734" i="3"/>
  <c r="BG727" i="3"/>
  <c r="BH727" i="3"/>
  <c r="BG743" i="3"/>
  <c r="BH743" i="3"/>
  <c r="BG748" i="3"/>
  <c r="BH748" i="3"/>
  <c r="AG68" i="7"/>
  <c r="AG70" i="7"/>
  <c r="AE70" i="7"/>
  <c r="BG719" i="3"/>
  <c r="BH719" i="3"/>
  <c r="D9" i="11"/>
  <c r="EH660" i="3"/>
  <c r="EH668" i="3"/>
  <c r="F30" i="4"/>
  <c r="F11" i="4"/>
  <c r="R9" i="4"/>
  <c r="R11" i="4"/>
  <c r="R12" i="4"/>
  <c r="EH652" i="3"/>
  <c r="EH637" i="3"/>
  <c r="BG732" i="3"/>
  <c r="BH732" i="3"/>
  <c r="AC883" i="3"/>
  <c r="AC885" i="3"/>
  <c r="EH647" i="3"/>
  <c r="BG738" i="3"/>
  <c r="BH738" i="3"/>
  <c r="EH664" i="3"/>
  <c r="EM650" i="3"/>
  <c r="EH655" i="3"/>
  <c r="BG733" i="3"/>
  <c r="BH733" i="3"/>
  <c r="EM663" i="3"/>
  <c r="EH636" i="3"/>
  <c r="EH635" i="3"/>
  <c r="EM644" i="3"/>
  <c r="BG742" i="3"/>
  <c r="BH742" i="3"/>
  <c r="EM669" i="3"/>
  <c r="E22" i="7"/>
  <c r="E35" i="7"/>
  <c r="EM664" i="3"/>
  <c r="EH659" i="3"/>
  <c r="EH654" i="3"/>
  <c r="BG746" i="3"/>
  <c r="BH746" i="3"/>
  <c r="EM649" i="3"/>
  <c r="BT745" i="3"/>
  <c r="BU745" i="3"/>
  <c r="BT738" i="3"/>
  <c r="BU738" i="3"/>
  <c r="BT723" i="3"/>
  <c r="BT747" i="3"/>
  <c r="BU747" i="3"/>
  <c r="BT740" i="3"/>
  <c r="BU740" i="3"/>
  <c r="BT725" i="3"/>
  <c r="BT736" i="3"/>
  <c r="BU736" i="3"/>
  <c r="BT741" i="3"/>
  <c r="BU741" i="3"/>
  <c r="BT727" i="3"/>
  <c r="BU727" i="3"/>
  <c r="BT739" i="3"/>
  <c r="BU739" i="3"/>
  <c r="BT752" i="3"/>
  <c r="BU752" i="3"/>
  <c r="BT720" i="3"/>
  <c r="BU720" i="3"/>
  <c r="BT728" i="3"/>
  <c r="EW662" i="3"/>
  <c r="EW649" i="3"/>
  <c r="EW661" i="3"/>
  <c r="EW647" i="3"/>
  <c r="EW635" i="3"/>
  <c r="EW644" i="3"/>
  <c r="EW640" i="3"/>
  <c r="EW656" i="3"/>
  <c r="EW651" i="3"/>
  <c r="EW650" i="3"/>
  <c r="EW638" i="3"/>
  <c r="EW655" i="3"/>
  <c r="EW669" i="3"/>
  <c r="EW643" i="3"/>
  <c r="EW657" i="3"/>
  <c r="EW639" i="3"/>
  <c r="EW658" i="3"/>
  <c r="EW637" i="3"/>
  <c r="AX693" i="20"/>
  <c r="EW667" i="3"/>
  <c r="EW646" i="3"/>
  <c r="EW642" i="3"/>
  <c r="EW668" i="3"/>
  <c r="EW659" i="3"/>
  <c r="EW636" i="3"/>
  <c r="EW663" i="3"/>
  <c r="EW660" i="3"/>
  <c r="DS755" i="3"/>
  <c r="EW665" i="3"/>
  <c r="EW654" i="3"/>
  <c r="EW648" i="3"/>
  <c r="EW664" i="3"/>
  <c r="EW645" i="3"/>
  <c r="J29" i="23"/>
  <c r="AT24" i="23"/>
  <c r="S63" i="4"/>
  <c r="K58" i="7"/>
  <c r="M53" i="7"/>
  <c r="R36" i="4"/>
  <c r="I15" i="7"/>
  <c r="G22" i="7"/>
  <c r="G35" i="7"/>
  <c r="EZ719" i="3"/>
  <c r="DX636" i="3"/>
  <c r="D5" i="8"/>
  <c r="AQ113" i="20"/>
  <c r="X719" i="3"/>
  <c r="AH719" i="3"/>
  <c r="BU719" i="3"/>
  <c r="T97" i="4"/>
  <c r="H63" i="13"/>
  <c r="ER640" i="3"/>
  <c r="AY1005" i="3"/>
  <c r="AG1045" i="3"/>
  <c r="X721" i="3"/>
  <c r="AH721" i="3"/>
  <c r="BU721" i="3"/>
  <c r="D7" i="8"/>
  <c r="AQ115" i="20"/>
  <c r="DX664" i="3"/>
  <c r="DX653" i="3"/>
  <c r="DX666" i="3"/>
  <c r="DX643" i="3"/>
  <c r="DX665" i="3"/>
  <c r="DX646" i="3"/>
  <c r="DX662" i="3"/>
  <c r="DX640" i="3"/>
  <c r="DX658" i="3"/>
  <c r="DX642" i="3"/>
  <c r="DX656" i="3"/>
  <c r="DX652" i="3"/>
  <c r="DX647" i="3"/>
  <c r="DX645" i="3"/>
  <c r="DX669" i="3"/>
  <c r="CT755" i="3"/>
  <c r="DX648" i="3"/>
  <c r="DX638" i="3"/>
  <c r="DX644" i="3"/>
  <c r="DX650" i="3"/>
  <c r="DX668" i="3"/>
  <c r="DX660" i="3"/>
  <c r="DX639" i="3"/>
  <c r="DX663" i="3"/>
  <c r="DX661" i="3"/>
  <c r="CP802" i="3"/>
  <c r="AB986" i="3"/>
  <c r="DX641" i="3"/>
  <c r="DX655" i="3"/>
  <c r="DX654" i="3"/>
  <c r="DO754" i="3"/>
  <c r="DX651" i="3"/>
  <c r="C97" i="4"/>
  <c r="B63" i="13"/>
  <c r="BH718" i="3"/>
  <c r="D71" i="11"/>
  <c r="EW641" i="3"/>
  <c r="EW653" i="3"/>
  <c r="ER651" i="3"/>
  <c r="I8" i="7"/>
  <c r="G9" i="7"/>
  <c r="BU718" i="3"/>
  <c r="FE721" i="3"/>
  <c r="F28" i="21"/>
  <c r="G28" i="21"/>
  <c r="G52" i="21"/>
  <c r="G54" i="21"/>
  <c r="G56" i="21"/>
  <c r="E12" i="21"/>
  <c r="G61" i="21"/>
  <c r="G63" i="21"/>
  <c r="G65" i="21"/>
  <c r="E13" i="21"/>
  <c r="E11" i="21"/>
  <c r="F27" i="21"/>
  <c r="ER661" i="3"/>
  <c r="EC653" i="3"/>
  <c r="EC644" i="3"/>
  <c r="EC655" i="3"/>
  <c r="EC666" i="3"/>
  <c r="CY755" i="3"/>
  <c r="EC648" i="3"/>
  <c r="EC661" i="3"/>
  <c r="EC652" i="3"/>
  <c r="EC659" i="3"/>
  <c r="EC657" i="3"/>
  <c r="EC641" i="3"/>
  <c r="EC662" i="3"/>
  <c r="EC656" i="3"/>
  <c r="EC660" i="3"/>
  <c r="EC668" i="3"/>
  <c r="EC663" i="3"/>
  <c r="EC643" i="3"/>
  <c r="EC658" i="3"/>
  <c r="EC664" i="3"/>
  <c r="EC667" i="3"/>
  <c r="EC669" i="3"/>
  <c r="EC646" i="3"/>
  <c r="EC636" i="3"/>
  <c r="CU802" i="3"/>
  <c r="AB987" i="3"/>
  <c r="AJ987" i="3"/>
  <c r="EC651" i="3"/>
  <c r="EC654" i="3"/>
  <c r="EC645" i="3"/>
  <c r="EC647" i="3"/>
  <c r="EC665" i="3"/>
  <c r="EC637" i="3"/>
  <c r="AG1049" i="3"/>
  <c r="AY1006" i="3"/>
  <c r="B64" i="11"/>
  <c r="B98" i="11"/>
  <c r="B106" i="11"/>
  <c r="EC649" i="3"/>
  <c r="B12" i="4"/>
  <c r="B63" i="4"/>
  <c r="G42" i="21" a="1"/>
  <c r="G42" i="21"/>
  <c r="G43" i="21"/>
  <c r="D8" i="8"/>
  <c r="AQ116" i="20"/>
  <c r="X722" i="3"/>
  <c r="AH722" i="3"/>
  <c r="FE722" i="3"/>
  <c r="EC639" i="3"/>
  <c r="DX649" i="3"/>
  <c r="R86" i="4"/>
  <c r="R96" i="4"/>
  <c r="E96" i="4"/>
  <c r="I58" i="7"/>
  <c r="B13" i="11"/>
  <c r="DX635" i="3"/>
  <c r="AX692" i="20"/>
  <c r="ER662" i="3"/>
  <c r="ER648" i="3"/>
  <c r="ER664" i="3"/>
  <c r="ER641" i="3"/>
  <c r="ER659" i="3"/>
  <c r="ER643" i="3"/>
  <c r="ER666" i="3"/>
  <c r="ER644" i="3"/>
  <c r="ER642" i="3"/>
  <c r="ER655" i="3"/>
  <c r="ER663" i="3"/>
  <c r="ER653" i="3"/>
  <c r="ER650" i="3"/>
  <c r="ER635" i="3"/>
  <c r="DN755" i="3"/>
  <c r="ER657" i="3"/>
  <c r="ER638" i="3"/>
  <c r="ER647" i="3"/>
  <c r="ER637" i="3"/>
  <c r="ER668" i="3"/>
  <c r="DJ802" i="3"/>
  <c r="ER636" i="3"/>
  <c r="ER665" i="3"/>
  <c r="ER646" i="3"/>
  <c r="ER639" i="3"/>
  <c r="ER660" i="3"/>
  <c r="ER667" i="3"/>
  <c r="ER669" i="3"/>
  <c r="ER658" i="3"/>
  <c r="ER645" i="3"/>
  <c r="ER649" i="3"/>
  <c r="ER656" i="3"/>
  <c r="ER654" i="3"/>
  <c r="AW122" i="20"/>
  <c r="AK84" i="20"/>
  <c r="T804" i="20"/>
  <c r="AF804" i="20"/>
  <c r="DO802" i="3"/>
  <c r="EW666" i="3"/>
  <c r="FE725" i="3"/>
  <c r="EC642" i="3"/>
  <c r="D11" i="8"/>
  <c r="X725" i="3"/>
  <c r="AH725" i="3"/>
  <c r="AQ119" i="20"/>
  <c r="FE723" i="3"/>
  <c r="EC640" i="3"/>
  <c r="D9" i="8"/>
  <c r="X723" i="3"/>
  <c r="AH723" i="3"/>
  <c r="AQ117" i="20"/>
  <c r="O753" i="3"/>
  <c r="G7" i="7"/>
  <c r="I6" i="7"/>
  <c r="BU722" i="3"/>
  <c r="EW652" i="3"/>
  <c r="D39" i="11"/>
  <c r="BE11" i="3"/>
  <c r="BE12" i="3"/>
  <c r="BT753" i="3"/>
  <c r="D64" i="11"/>
  <c r="EM670" i="3"/>
  <c r="T130" i="20"/>
  <c r="T133" i="20"/>
  <c r="T136" i="20"/>
  <c r="BU728" i="3"/>
  <c r="AT20" i="23"/>
  <c r="BG753" i="3"/>
  <c r="AT23" i="23"/>
  <c r="BU723" i="3"/>
  <c r="AX694" i="20"/>
  <c r="AY695" i="20"/>
  <c r="F12" i="4"/>
  <c r="BH753" i="3"/>
  <c r="AC753" i="3"/>
  <c r="BU725" i="3"/>
  <c r="BU753" i="3"/>
  <c r="AH753" i="3"/>
  <c r="BE43" i="3"/>
  <c r="D13" i="11"/>
  <c r="FJ753" i="3"/>
  <c r="EH645" i="3"/>
  <c r="EH670" i="3"/>
  <c r="O130" i="20"/>
  <c r="O133" i="20"/>
  <c r="O136" i="20"/>
  <c r="F38" i="4"/>
  <c r="F63" i="4"/>
  <c r="F97" i="4"/>
  <c r="F105" i="4"/>
  <c r="E30" i="4"/>
  <c r="EZ753" i="3"/>
  <c r="M58" i="7"/>
  <c r="O53" i="7"/>
  <c r="T805" i="20"/>
  <c r="AF805" i="20"/>
  <c r="BE72" i="3"/>
  <c r="AK191" i="20"/>
  <c r="T811" i="20"/>
  <c r="AF811" i="20"/>
  <c r="BE76" i="3"/>
  <c r="I9" i="7"/>
  <c r="K8" i="7"/>
  <c r="BE71" i="3"/>
  <c r="AX695" i="20"/>
  <c r="AO695" i="20"/>
  <c r="D98" i="11"/>
  <c r="C106" i="11"/>
  <c r="D106" i="11"/>
  <c r="ER670" i="3"/>
  <c r="Y130" i="20"/>
  <c r="Y133" i="20"/>
  <c r="Y136" i="20"/>
  <c r="DX670" i="3"/>
  <c r="E130" i="20"/>
  <c r="E133" i="20"/>
  <c r="E136" i="20"/>
  <c r="T105" i="4"/>
  <c r="AZ1047" i="3"/>
  <c r="H97" i="13"/>
  <c r="O20" i="21"/>
  <c r="P20" i="21" a="1"/>
  <c r="P20" i="21"/>
  <c r="S20" i="21"/>
  <c r="O27" i="21"/>
  <c r="P27" i="21" a="1"/>
  <c r="P27" i="21"/>
  <c r="S27" i="21"/>
  <c r="O26" i="21"/>
  <c r="P26" i="21" a="1"/>
  <c r="P26" i="21"/>
  <c r="S26" i="21"/>
  <c r="O25" i="21"/>
  <c r="P25" i="21" a="1"/>
  <c r="P25" i="21"/>
  <c r="S25" i="21"/>
  <c r="O23" i="21"/>
  <c r="P23" i="21" a="1"/>
  <c r="P23" i="21"/>
  <c r="S23" i="21"/>
  <c r="O30" i="21"/>
  <c r="P30" i="21" a="1"/>
  <c r="P30" i="21"/>
  <c r="S30" i="21"/>
  <c r="O22" i="21"/>
  <c r="P22" i="21" a="1"/>
  <c r="P22" i="21"/>
  <c r="S22" i="21"/>
  <c r="O29" i="21"/>
  <c r="P29" i="21" a="1"/>
  <c r="P29" i="21"/>
  <c r="S29" i="21"/>
  <c r="O21" i="21"/>
  <c r="P21" i="21" a="1"/>
  <c r="P21" i="21"/>
  <c r="S21" i="21"/>
  <c r="O24" i="21"/>
  <c r="P24" i="21" a="1"/>
  <c r="P24" i="21"/>
  <c r="S24" i="21"/>
  <c r="O28" i="21"/>
  <c r="P28" i="21" a="1"/>
  <c r="P28" i="21"/>
  <c r="S28" i="21"/>
  <c r="S97" i="4"/>
  <c r="E63" i="13"/>
  <c r="EW670" i="3"/>
  <c r="AD130" i="20"/>
  <c r="AD133" i="20"/>
  <c r="AD136" i="20"/>
  <c r="AY36" i="23"/>
  <c r="AT26" i="23"/>
  <c r="AT29" i="23"/>
  <c r="AT25" i="23"/>
  <c r="AY38" i="23"/>
  <c r="AY41" i="23"/>
  <c r="AY42" i="23"/>
  <c r="AY44" i="23"/>
  <c r="AY40" i="23"/>
  <c r="AT27" i="23"/>
  <c r="AY46" i="23"/>
  <c r="AY37" i="23"/>
  <c r="AY43" i="23"/>
  <c r="AY47" i="23"/>
  <c r="AY39" i="23"/>
  <c r="AT22" i="23"/>
  <c r="AY45" i="23"/>
  <c r="AT28" i="23"/>
  <c r="AT19" i="23"/>
  <c r="Y801" i="3"/>
  <c r="D40" i="8"/>
  <c r="Y800" i="3"/>
  <c r="E93" i="20"/>
  <c r="E94" i="20"/>
  <c r="E95" i="20"/>
  <c r="E103" i="20"/>
  <c r="E106" i="20"/>
  <c r="AP106" i="20"/>
  <c r="AK109" i="20"/>
  <c r="T806" i="20"/>
  <c r="AF806" i="20"/>
  <c r="BE73" i="3"/>
  <c r="BE42" i="3"/>
  <c r="EC638" i="3"/>
  <c r="EC670" i="3"/>
  <c r="J130" i="20"/>
  <c r="J133" i="20"/>
  <c r="J136" i="20"/>
  <c r="FE753" i="3"/>
  <c r="I7" i="7"/>
  <c r="K6" i="7"/>
  <c r="G27" i="21"/>
  <c r="F26" i="21"/>
  <c r="AJ986" i="3"/>
  <c r="AB990" i="3"/>
  <c r="AJ990" i="3"/>
  <c r="C105" i="4"/>
  <c r="B97" i="4"/>
  <c r="B97" i="13"/>
  <c r="DU755" i="3"/>
  <c r="AT21" i="23"/>
  <c r="I22" i="7"/>
  <c r="I35" i="7"/>
  <c r="K15" i="7"/>
  <c r="BE13" i="3"/>
  <c r="BE14" i="3"/>
  <c r="BE15" i="3"/>
  <c r="AJ992" i="3"/>
  <c r="R30" i="4"/>
  <c r="R38" i="4"/>
  <c r="R63" i="4"/>
  <c r="R97" i="4"/>
  <c r="R105" i="4"/>
  <c r="E38" i="4"/>
  <c r="E63" i="4"/>
  <c r="E97" i="4"/>
  <c r="E105" i="4"/>
  <c r="AP705" i="20"/>
  <c r="AP706" i="20"/>
  <c r="M8" i="7"/>
  <c r="K9" i="7"/>
  <c r="O756" i="3"/>
  <c r="DU802" i="3"/>
  <c r="U373" i="20"/>
  <c r="P421" i="3"/>
  <c r="E4" i="7"/>
  <c r="Z818" i="3"/>
  <c r="AP550" i="20"/>
  <c r="AJ1029" i="3"/>
  <c r="AJ1032" i="3"/>
  <c r="AJ1049" i="3"/>
  <c r="AP553" i="20"/>
  <c r="AJ1045" i="3"/>
  <c r="AP552" i="20"/>
  <c r="K7" i="7"/>
  <c r="M6" i="7"/>
  <c r="T107" i="4"/>
  <c r="H107" i="13"/>
  <c r="H105" i="13"/>
  <c r="O58" i="7"/>
  <c r="Q53" i="7"/>
  <c r="G45" i="21"/>
  <c r="G47" i="21"/>
  <c r="E10" i="21"/>
  <c r="AB991" i="3"/>
  <c r="G26" i="21"/>
  <c r="G29" i="21"/>
  <c r="F29" i="21"/>
  <c r="E138" i="20"/>
  <c r="E139" i="20"/>
  <c r="AK143" i="20"/>
  <c r="T807" i="20"/>
  <c r="AF807" i="20"/>
  <c r="BE74" i="3"/>
  <c r="K22" i="7"/>
  <c r="K35" i="7"/>
  <c r="M15" i="7"/>
  <c r="B105" i="4"/>
  <c r="BE101" i="3"/>
  <c r="AC455" i="3"/>
  <c r="B105" i="13"/>
  <c r="AG269" i="20"/>
  <c r="S105" i="4"/>
  <c r="AZ1046" i="3"/>
  <c r="E97" i="13"/>
  <c r="AP554" i="20"/>
  <c r="E5" i="7"/>
  <c r="E11" i="7"/>
  <c r="E37" i="7"/>
  <c r="G4" i="7"/>
  <c r="AJ1036" i="3"/>
  <c r="AJ1053" i="3"/>
  <c r="I15" i="21"/>
  <c r="BA1056" i="3"/>
  <c r="AZ1051" i="3"/>
  <c r="BA1055" i="3"/>
  <c r="BA1059" i="3"/>
  <c r="M9" i="7"/>
  <c r="O8" i="7"/>
  <c r="M7" i="7"/>
  <c r="O6" i="7"/>
  <c r="AB47" i="15"/>
  <c r="AB49" i="15"/>
  <c r="N185" i="23"/>
  <c r="BE22" i="3"/>
  <c r="AC454" i="3"/>
  <c r="AB266" i="20"/>
  <c r="AG268" i="20"/>
  <c r="AG270" i="20"/>
  <c r="AK273" i="20"/>
  <c r="T812" i="20"/>
  <c r="AF812" i="20"/>
  <c r="BE77" i="3"/>
  <c r="M22" i="7"/>
  <c r="M35" i="7"/>
  <c r="O15" i="7"/>
  <c r="G79" i="21"/>
  <c r="G80" i="21"/>
  <c r="E15" i="21"/>
  <c r="G88" i="21"/>
  <c r="G90" i="21"/>
  <c r="E16" i="21"/>
  <c r="G111" i="21"/>
  <c r="G96" i="21"/>
  <c r="G31" i="21"/>
  <c r="G33" i="21"/>
  <c r="E9" i="21"/>
  <c r="Q58" i="7"/>
  <c r="S53" i="7"/>
  <c r="S107" i="4"/>
  <c r="E105" i="13"/>
  <c r="AD11" i="15"/>
  <c r="AD23" i="15"/>
  <c r="AD26" i="15"/>
  <c r="AD28" i="15"/>
  <c r="AI11" i="15"/>
  <c r="AI23" i="15"/>
  <c r="AI26" i="15"/>
  <c r="AI28" i="15"/>
  <c r="AP557" i="20"/>
  <c r="AP556" i="20"/>
  <c r="AP559" i="20"/>
  <c r="AF552" i="20"/>
  <c r="T24" i="15"/>
  <c r="S58" i="7"/>
  <c r="U53" i="7"/>
  <c r="O7" i="7"/>
  <c r="Q6" i="7"/>
  <c r="AA1056" i="3"/>
  <c r="AA1057" i="3"/>
  <c r="G1058" i="3"/>
  <c r="AC456" i="3"/>
  <c r="AF551" i="20"/>
  <c r="AF553" i="20"/>
  <c r="AK559" i="20"/>
  <c r="T818" i="20"/>
  <c r="AF818" i="20"/>
  <c r="E107" i="13"/>
  <c r="AE699" i="3"/>
  <c r="Q8" i="7"/>
  <c r="O9" i="7"/>
  <c r="N196" i="23"/>
  <c r="N186" i="23"/>
  <c r="G101" i="21"/>
  <c r="G113" i="21"/>
  <c r="G97" i="21"/>
  <c r="O22" i="7"/>
  <c r="O35" i="7"/>
  <c r="Q15" i="7"/>
  <c r="E45" i="7"/>
  <c r="E49" i="7"/>
  <c r="G5" i="7"/>
  <c r="I4" i="7"/>
  <c r="G11" i="7"/>
  <c r="G37" i="7"/>
  <c r="BE44" i="3"/>
  <c r="F457" i="3"/>
  <c r="G115" i="21"/>
  <c r="E17" i="21"/>
  <c r="E14" i="21"/>
  <c r="E18" i="21"/>
  <c r="H3" i="21"/>
  <c r="K4" i="7"/>
  <c r="I5" i="7"/>
  <c r="I11" i="7"/>
  <c r="I37" i="7"/>
  <c r="BE81" i="3"/>
  <c r="AF821" i="20"/>
  <c r="BE70" i="3"/>
  <c r="Q7" i="7"/>
  <c r="S6" i="7"/>
  <c r="Q9" i="7"/>
  <c r="S8" i="7"/>
  <c r="E60" i="7"/>
  <c r="E48" i="7"/>
  <c r="E47" i="7"/>
  <c r="Y11" i="15"/>
  <c r="Y23" i="15"/>
  <c r="Y26" i="15"/>
  <c r="Y28" i="15"/>
  <c r="T11" i="15"/>
  <c r="T23" i="15"/>
  <c r="T26" i="15"/>
  <c r="T28" i="15"/>
  <c r="Q22" i="7"/>
  <c r="Q35" i="7"/>
  <c r="S15" i="7"/>
  <c r="U58" i="7"/>
  <c r="W53" i="7"/>
  <c r="G45" i="7"/>
  <c r="G49" i="7"/>
  <c r="I45" i="7"/>
  <c r="I49" i="7"/>
  <c r="T29" i="15"/>
  <c r="E66" i="7"/>
  <c r="E70" i="7"/>
  <c r="E62" i="7"/>
  <c r="E72" i="7"/>
  <c r="W58" i="7"/>
  <c r="Y53" i="7"/>
  <c r="K5" i="7"/>
  <c r="K11" i="7"/>
  <c r="K37" i="7"/>
  <c r="M4" i="7"/>
  <c r="AD38" i="15"/>
  <c r="AD40" i="15"/>
  <c r="U8" i="7"/>
  <c r="S9" i="7"/>
  <c r="S7" i="7"/>
  <c r="U6" i="7"/>
  <c r="G60" i="7"/>
  <c r="G47" i="7"/>
  <c r="G48" i="7"/>
  <c r="Y38" i="15"/>
  <c r="Y40" i="15"/>
  <c r="S22" i="7"/>
  <c r="S35" i="7"/>
  <c r="U15" i="7"/>
  <c r="K45" i="7"/>
  <c r="K49" i="7"/>
  <c r="Y41" i="15"/>
  <c r="U7" i="7"/>
  <c r="W6" i="7"/>
  <c r="U9" i="7"/>
  <c r="W8" i="7"/>
  <c r="O4" i="7"/>
  <c r="M5" i="7"/>
  <c r="M11" i="7"/>
  <c r="M37" i="7"/>
  <c r="Y58" i="7"/>
  <c r="AA53" i="7"/>
  <c r="U22" i="7"/>
  <c r="U35" i="7"/>
  <c r="W15" i="7"/>
  <c r="G66" i="7"/>
  <c r="G70" i="7"/>
  <c r="G62" i="7"/>
  <c r="G72" i="7"/>
  <c r="I60" i="7"/>
  <c r="I48" i="7"/>
  <c r="I47" i="7"/>
  <c r="M45" i="7"/>
  <c r="M49" i="7"/>
  <c r="W22" i="7"/>
  <c r="W35" i="7"/>
  <c r="Y15" i="7"/>
  <c r="AA58" i="7"/>
  <c r="AC53" i="7"/>
  <c r="O5" i="7"/>
  <c r="O11" i="7"/>
  <c r="O37" i="7"/>
  <c r="Q4" i="7"/>
  <c r="Y8" i="7"/>
  <c r="W9" i="7"/>
  <c r="W7" i="7"/>
  <c r="Y6" i="7"/>
  <c r="AB50" i="15"/>
  <c r="I66" i="7"/>
  <c r="I70" i="7"/>
  <c r="K60" i="7"/>
  <c r="K47" i="7"/>
  <c r="K48" i="7"/>
  <c r="BE62" i="3"/>
  <c r="AB54" i="15"/>
  <c r="AB55" i="15"/>
  <c r="AB56" i="15"/>
  <c r="O45" i="7"/>
  <c r="O49" i="7"/>
  <c r="Y7" i="7"/>
  <c r="AA6" i="7"/>
  <c r="Y9" i="7"/>
  <c r="AA8" i="7"/>
  <c r="S4" i="7"/>
  <c r="Q5" i="7"/>
  <c r="Q11" i="7"/>
  <c r="Q37" i="7"/>
  <c r="AE53" i="7"/>
  <c r="AC58" i="7"/>
  <c r="Y22" i="7"/>
  <c r="Y35" i="7"/>
  <c r="AA15" i="7"/>
  <c r="K66" i="7"/>
  <c r="K70" i="7"/>
  <c r="I62" i="7"/>
  <c r="I72" i="7"/>
  <c r="M60" i="7"/>
  <c r="M47" i="7"/>
  <c r="M48" i="7"/>
  <c r="Q45" i="7"/>
  <c r="Q49" i="7"/>
  <c r="AC15" i="7"/>
  <c r="AA22" i="7"/>
  <c r="AA35" i="7"/>
  <c r="AA9" i="7"/>
  <c r="AC8" i="7"/>
  <c r="M66" i="7"/>
  <c r="M70" i="7"/>
  <c r="M62" i="7"/>
  <c r="O60" i="7"/>
  <c r="O48" i="7"/>
  <c r="O47" i="7"/>
  <c r="AB57" i="15"/>
  <c r="M26" i="3"/>
  <c r="AE58" i="7"/>
  <c r="AG53" i="7"/>
  <c r="AG58" i="7"/>
  <c r="S5" i="7"/>
  <c r="S11" i="7"/>
  <c r="S37" i="7"/>
  <c r="U4" i="7"/>
  <c r="AA7" i="7"/>
  <c r="AC6" i="7"/>
  <c r="K62" i="7"/>
  <c r="K72" i="7"/>
  <c r="M72" i="7"/>
  <c r="AB59" i="15"/>
  <c r="AB77" i="15"/>
  <c r="AB78" i="15"/>
  <c r="AE8" i="7"/>
  <c r="AC9" i="7"/>
  <c r="AE6" i="7"/>
  <c r="AC7" i="7"/>
  <c r="S45" i="7"/>
  <c r="S49" i="7"/>
  <c r="BE19" i="3"/>
  <c r="P204" i="3"/>
  <c r="O66" i="7"/>
  <c r="O70" i="7"/>
  <c r="W4" i="7"/>
  <c r="U5" i="7"/>
  <c r="U11" i="7"/>
  <c r="U37" i="7"/>
  <c r="AC22" i="7"/>
  <c r="AC35" i="7"/>
  <c r="AE15" i="7"/>
  <c r="Q60" i="7"/>
  <c r="Q48" i="7"/>
  <c r="Q47" i="7"/>
  <c r="U45" i="7"/>
  <c r="U49" i="7"/>
  <c r="O62" i="7"/>
  <c r="O72" i="7"/>
  <c r="S60" i="7"/>
  <c r="S48" i="7"/>
  <c r="S47" i="7"/>
  <c r="Q66" i="7"/>
  <c r="Q70" i="7"/>
  <c r="W5" i="7"/>
  <c r="W11" i="7"/>
  <c r="W37" i="7"/>
  <c r="Y4" i="7"/>
  <c r="M27" i="3"/>
  <c r="AB79" i="15"/>
  <c r="AB81" i="15"/>
  <c r="J82" i="15"/>
  <c r="I10" i="21"/>
  <c r="I11" i="21"/>
  <c r="I18" i="21"/>
  <c r="H4" i="21"/>
  <c r="H5" i="21"/>
  <c r="BE83" i="3"/>
  <c r="AE7" i="7"/>
  <c r="AG6" i="7"/>
  <c r="AG7" i="7"/>
  <c r="AE9" i="7"/>
  <c r="AG8" i="7"/>
  <c r="AG9" i="7"/>
  <c r="AE22" i="7"/>
  <c r="AE35" i="7"/>
  <c r="AG15" i="7"/>
  <c r="AG22" i="7"/>
  <c r="AG35" i="7"/>
  <c r="W45" i="7"/>
  <c r="W49" i="7"/>
  <c r="S66" i="7"/>
  <c r="S70" i="7"/>
  <c r="S62" i="7"/>
  <c r="S72" i="7"/>
  <c r="P205" i="3"/>
  <c r="BE20" i="3"/>
  <c r="AA4" i="7"/>
  <c r="Y5" i="7"/>
  <c r="Y11" i="7"/>
  <c r="Y37" i="7"/>
  <c r="Q62" i="7"/>
  <c r="Q72" i="7"/>
  <c r="U60" i="7"/>
  <c r="U48" i="7"/>
  <c r="U47" i="7"/>
  <c r="Y45" i="7"/>
  <c r="Y49" i="7"/>
  <c r="AA5" i="7"/>
  <c r="AC4" i="7"/>
  <c r="AA11" i="7"/>
  <c r="AA37" i="7"/>
  <c r="U66" i="7"/>
  <c r="U70" i="7"/>
  <c r="W60" i="7"/>
  <c r="W48" i="7"/>
  <c r="W47" i="7"/>
  <c r="W66" i="7"/>
  <c r="W70" i="7"/>
  <c r="W62" i="7"/>
  <c r="W72" i="7"/>
  <c r="U62" i="7"/>
  <c r="U72" i="7"/>
  <c r="AA45" i="7"/>
  <c r="AA49" i="7"/>
  <c r="AE4" i="7"/>
  <c r="AC5" i="7"/>
  <c r="AC11" i="7"/>
  <c r="AC37" i="7"/>
  <c r="Y60" i="7"/>
  <c r="Y47" i="7"/>
  <c r="Y48" i="7"/>
  <c r="AC45" i="7"/>
  <c r="AC49" i="7"/>
  <c r="AE5" i="7"/>
  <c r="AE11" i="7"/>
  <c r="AE37" i="7"/>
  <c r="AG4" i="7"/>
  <c r="Y66" i="7"/>
  <c r="Y70" i="7"/>
  <c r="Y62" i="7"/>
  <c r="Y72" i="7"/>
  <c r="AA60" i="7"/>
  <c r="AA47" i="7"/>
  <c r="AA48" i="7"/>
  <c r="AA66" i="7"/>
  <c r="AA70" i="7"/>
  <c r="AG5" i="7"/>
  <c r="AG11" i="7"/>
  <c r="AG37" i="7"/>
  <c r="AE45" i="7"/>
  <c r="AE49" i="7"/>
  <c r="AC60" i="7"/>
  <c r="AC47" i="7"/>
  <c r="AC48" i="7"/>
  <c r="AE60" i="7"/>
  <c r="AE48" i="7"/>
  <c r="AE47" i="7"/>
  <c r="AC62" i="7"/>
  <c r="AC72" i="7"/>
  <c r="AG45" i="7"/>
  <c r="AG49" i="7"/>
  <c r="AA62" i="7"/>
  <c r="AA72" i="7"/>
  <c r="AE62" i="7"/>
  <c r="AE72" i="7"/>
  <c r="AG60" i="7"/>
  <c r="AG48" i="7"/>
  <c r="AG47" i="7"/>
  <c r="AG62" i="7"/>
  <c r="AG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F525AC1B-DADE-484E-8634-70C4AEA38891}">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<sst xmlns="http://schemas.openxmlformats.org/spreadsheetml/2006/main" count="5034" uniqueCount="2727">
  <si>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</si>
  <si>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</si>
  <si>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</si>
  <si>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</si>
  <si>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</si>
  <si>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</si>
  <si>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</si>
  <si>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</si>
  <si>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</si>
  <si>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</si>
  <si>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</si>
  <si>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</si>
  <si>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</si>
  <si>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</si>
  <si>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</si>
  <si>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</si>
  <si>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</si>
  <si>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</si>
  <si>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</si>
  <si>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</si>
  <si>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</si>
  <si>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</si>
  <si>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</si>
  <si>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</si>
  <si>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</si>
  <si>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</si>
  <si>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</si>
  <si>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</si>
  <si>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</si>
  <si>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</si>
  <si>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</si>
  <si>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</si>
  <si>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</si>
  <si>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</si>
  <si>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</si>
  <si>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</si>
  <si>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</si>
  <si>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</si>
  <si>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</si>
  <si>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</si>
  <si>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</si>
  <si>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</si>
  <si>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</si>
  <si>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</si>
  <si>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</si>
  <si>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</si>
  <si>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</si>
  <si>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</si>
  <si>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</si>
  <si>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</si>
  <si>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</si>
  <si>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</si>
  <si>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</si>
  <si>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</si>
  <si>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</si>
  <si>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</si>
  <si>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</si>
  <si>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</si>
  <si>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</si>
  <si>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</si>
  <si>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</si>
  <si>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</si>
  <si>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</si>
  <si>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</si>
  <si>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</si>
  <si>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</si>
  <si>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</si>
  <si>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</si>
  <si>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</si>
  <si>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</si>
  <si>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</si>
  <si>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</si>
  <si>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</si>
  <si>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</si>
  <si>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</si>
  <si>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</si>
  <si>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</si>
  <si>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</si>
  <si>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</si>
  <si>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</si>
  <si>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</si>
  <si>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</si>
  <si>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</si>
  <si>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</si>
  <si>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</si>
  <si>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</si>
  <si>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</si>
  <si>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</si>
  <si>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</si>
  <si>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</si>
  <si>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</si>
  <si>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</si>
  <si>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</si>
  <si>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</si>
  <si>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</si>
  <si>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</si>
  <si>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</si>
  <si>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</si>
  <si>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</si>
  <si>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</si>
  <si>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</si>
  <si>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</si>
  <si>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</si>
  <si>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</si>
  <si>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</si>
  <si>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</si>
  <si>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</si>
  <si>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</si>
  <si>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</si>
  <si>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</si>
  <si>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</si>
  <si>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</si>
  <si>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</si>
  <si>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</si>
  <si>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</si>
  <si>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</si>
  <si>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</si>
  <si>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</si>
  <si>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</si>
  <si>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</si>
  <si>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</si>
  <si>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</si>
  <si>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</si>
  <si>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</si>
  <si>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</si>
  <si>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</si>
  <si>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</si>
  <si>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</si>
  <si>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</si>
  <si>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</si>
  <si>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</si>
  <si>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</si>
  <si>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</si>
  <si>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</si>
  <si>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</si>
  <si>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</si>
  <si>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</si>
  <si>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</si>
  <si>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</si>
  <si>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</si>
  <si>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</si>
  <si>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</si>
  <si>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</si>
  <si>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</si>
  <si>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</si>
  <si>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</si>
  <si>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</si>
  <si>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</si>
  <si>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</si>
  <si>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</si>
  <si>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</si>
  <si>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</si>
  <si>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</si>
  <si>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</si>
  <si>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</si>
  <si>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</si>
  <si>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</si>
  <si>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</si>
  <si>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</si>
  <si>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</si>
  <si>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</si>
  <si>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</si>
  <si>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</si>
  <si>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</si>
  <si>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</si>
  <si>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</si>
  <si>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</si>
  <si>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</si>
  <si>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</si>
  <si>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</si>
  <si>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</si>
  <si>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</si>
  <si>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</si>
  <si>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</si>
  <si>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</si>
  <si>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</si>
  <si>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</si>
  <si>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</si>
  <si>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</si>
  <si>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</si>
  <si>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</si>
  <si>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</si>
  <si>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</si>
  <si>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</si>
  <si>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</si>
  <si>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</si>
  <si>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</si>
  <si>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</si>
  <si>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</si>
  <si>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</si>
  <si>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</si>
  <si>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</si>
  <si>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</si>
  <si>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</si>
  <si>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</si>
  <si>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</si>
  <si>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</si>
  <si>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</si>
  <si>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</si>
  <si>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</si>
  <si>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</si>
  <si>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</si>
  <si>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</si>
  <si>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</si>
  <si>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</si>
  <si>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</si>
  <si>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</si>
  <si>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</si>
  <si>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</si>
  <si>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</si>
  <si>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</si>
  <si>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</si>
  <si>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</si>
  <si>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</si>
  <si>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</si>
  <si>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</si>
  <si>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</si>
  <si>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</si>
  <si>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</si>
  <si>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</si>
  <si>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</si>
  <si>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</si>
  <si>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</si>
  <si>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</si>
  <si>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</si>
  <si>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</si>
  <si>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</si>
  <si>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</si>
  <si>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</si>
  <si>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</si>
  <si>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</si>
  <si>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</si>
  <si>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</si>
  <si>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</si>
  <si>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</si>
  <si>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</si>
  <si>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</si>
  <si>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</si>
  <si>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</si>
  <si>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</si>
  <si>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</si>
  <si>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</si>
  <si>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</si>
  <si>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</si>
  <si>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</si>
  <si>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</si>
  <si>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</si>
  <si>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</si>
  <si>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</si>
  <si>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</si>
  <si>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</si>
  <si>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</si>
  <si>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</si>
  <si>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</si>
  <si>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</si>
  <si>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</si>
  <si>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</si>
  <si>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</si>
  <si>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</si>
  <si>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</si>
  <si>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</si>
  <si>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</si>
  <si>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</si>
  <si>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</si>
  <si>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</si>
  <si>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</si>
  <si>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</si>
  <si>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</si>
  <si>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</si>
  <si>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</si>
  <si>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</si>
  <si>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</si>
  <si>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</si>
  <si>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</si>
  <si>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</si>
  <si>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</si>
  <si>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</si>
  <si>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</si>
  <si>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</si>
  <si>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</si>
  <si>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</si>
  <si>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</si>
  <si>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</si>
  <si>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</si>
  <si>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</si>
  <si>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</si>
  <si>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</si>
  <si>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</si>
  <si>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</si>
  <si>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</si>
  <si>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</si>
  <si>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</si>
  <si>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</si>
  <si>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</si>
  <si>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</si>
  <si>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</si>
  <si>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</si>
  <si>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</si>
  <si>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</si>
  <si>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</si>
  <si>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</si>
  <si>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</si>
  <si>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</si>
  <si>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</si>
  <si>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</si>
  <si>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</si>
  <si>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</si>
  <si>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</si>
  <si>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</si>
  <si>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</si>
  <si>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</si>
  <si>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</si>
  <si>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</si>
  <si>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</si>
  <si>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</si>
  <si>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</si>
  <si>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</si>
  <si>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</si>
  <si>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</si>
  <si>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</si>
  <si>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</si>
  <si>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</si>
  <si>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</si>
  <si>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</si>
  <si>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</si>
  <si>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</si>
  <si>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</si>
  <si>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</si>
  <si>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</si>
  <si>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</si>
  <si>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</si>
  <si>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</si>
  <si>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</si>
  <si>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</si>
  <si>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</si>
  <si>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</si>
  <si>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</si>
  <si>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</si>
  <si>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</si>
  <si>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</si>
  <si>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</si>
  <si>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</si>
  <si>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</si>
  <si>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</si>
  <si>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</si>
  <si>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</si>
  <si>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</si>
  <si>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</si>
  <si>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</si>
  <si>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</si>
  <si>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</si>
  <si>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</si>
  <si>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</si>
  <si>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</si>
  <si>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</si>
  <si>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</si>
  <si>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</si>
  <si>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</si>
  <si>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</si>
  <si>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</si>
  <si>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</si>
  <si>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</si>
  <si>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</si>
  <si>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</si>
  <si>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</si>
  <si>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</si>
  <si>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</si>
  <si>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</si>
  <si>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</si>
  <si>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</si>
  <si>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</si>
  <si>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</si>
  <si>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</si>
  <si>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</si>
  <si>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</si>
  <si>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</si>
  <si>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</si>
  <si>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</si>
  <si>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</si>
  <si>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</si>
  <si>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</si>
  <si>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</si>
  <si>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</si>
  <si>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</si>
  <si>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</si>
  <si>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</si>
  <si>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</si>
  <si>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</si>
  <si>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</si>
  <si>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</si>
  <si>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</si>
  <si>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</si>
  <si>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</si>
  <si>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</si>
  <si>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</si>
  <si>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</si>
  <si>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</si>
  <si>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</si>
  <si>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</si>
  <si>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</si>
  <si>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</si>
  <si>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</si>
  <si>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</si>
  <si>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</si>
  <si>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</si>
  <si>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</si>
  <si>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</si>
  <si>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</si>
  <si>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</si>
  <si>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</si>
  <si>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</si>
  <si>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</si>
  <si>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</si>
  <si>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</si>
  <si>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</si>
  <si>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</si>
  <si>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</si>
  <si>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</si>
  <si>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</si>
  <si>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</si>
  <si>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</si>
  <si>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</si>
  <si>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</si>
  <si>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</si>
  <si>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</si>
  <si>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</si>
  <si>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</si>
  <si>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</si>
  <si>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</si>
  <si>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</si>
  <si>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</si>
  <si>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</si>
  <si>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</si>
  <si>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</si>
  <si>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</si>
  <si>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</si>
  <si>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</si>
  <si>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</si>
  <si>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</si>
  <si>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</si>
  <si>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</si>
  <si>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</si>
  <si>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</si>
  <si>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</si>
  <si>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</si>
  <si>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</si>
  <si>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</si>
  <si>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</si>
  <si>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</si>
  <si>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</si>
  <si>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</si>
  <si>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</si>
  <si>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</si>
  <si>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</si>
  <si>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</si>
  <si>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</si>
  <si>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</si>
  <si>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</si>
  <si>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</si>
  <si>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</si>
  <si>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</si>
  <si>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</si>
  <si>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</si>
  <si>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</si>
  <si>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</si>
  <si>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</si>
  <si>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</si>
  <si>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</si>
  <si>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</si>
  <si>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</si>
  <si>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</si>
  <si>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</si>
  <si>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</si>
  <si>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</si>
  <si>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</si>
  <si>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</si>
  <si>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</si>
  <si>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</si>
  <si>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</si>
  <si>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</si>
  <si>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</si>
  <si>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</si>
  <si>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</si>
  <si>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</si>
  <si>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</si>
  <si>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</si>
  <si>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</si>
  <si>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</si>
  <si>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</si>
  <si>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</si>
  <si>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</si>
  <si>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</si>
  <si>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</si>
  <si>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</si>
  <si>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</si>
  <si>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</si>
  <si>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</si>
  <si>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</si>
  <si>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</si>
  <si>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</si>
  <si>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</si>
  <si>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</si>
  <si>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</si>
  <si>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</si>
  <si>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</si>
  <si>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</si>
  <si>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</si>
  <si>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</si>
  <si>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</si>
  <si>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</si>
  <si>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</si>
  <si>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</si>
  <si>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</si>
  <si>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</si>
  <si>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</si>
  <si>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</si>
  <si>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</si>
  <si>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</si>
  <si>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</si>
  <si>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</si>
  <si>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</si>
  <si>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</si>
  <si>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</si>
  <si>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</si>
  <si>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</si>
  <si>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</si>
  <si>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</si>
  <si>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</si>
  <si>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</si>
  <si>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</si>
  <si>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</si>
  <si>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</si>
  <si>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</si>
  <si>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</si>
  <si>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</si>
  <si>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</si>
  <si>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</si>
  <si>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</si>
  <si>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</si>
  <si>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</si>
  <si>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</si>
  <si>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</si>
  <si>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</si>
  <si>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</si>
  <si>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</si>
  <si>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</si>
  <si>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</si>
  <si>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</si>
  <si>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</si>
  <si>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</si>
  <si>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</si>
  <si>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</si>
  <si>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</si>
  <si>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</si>
  <si>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</si>
  <si>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</si>
  <si>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</si>
  <si>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</si>
  <si>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</si>
  <si>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</si>
  <si>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</si>
  <si>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</si>
  <si>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</si>
  <si>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</si>
  <si>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</si>
  <si>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</si>
  <si>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</si>
  <si>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</si>
  <si>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</si>
  <si>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</si>
  <si>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</si>
  <si>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</si>
  <si>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</si>
  <si>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</si>
  <si>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</si>
  <si>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</si>
  <si>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</si>
  <si>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</si>
  <si>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</si>
  <si>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</si>
  <si>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</si>
  <si>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</si>
  <si>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</si>
  <si>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</si>
  <si>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</si>
  <si>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</si>
  <si>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</si>
  <si>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</si>
  <si>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</si>
  <si>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</si>
  <si>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</si>
  <si>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</si>
  <si>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</si>
  <si>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</si>
  <si>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</si>
  <si>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</si>
  <si>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</si>
  <si>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</si>
  <si>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</si>
  <si>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</si>
  <si>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</si>
  <si>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</si>
  <si>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</si>
  <si>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</si>
  <si>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</si>
  <si>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</si>
  <si>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</si>
  <si>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</si>
  <si>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</si>
  <si>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</si>
  <si>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</si>
  <si>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</si>
  <si>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</si>
  <si>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</si>
  <si>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</si>
  <si>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</si>
  <si>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</si>
  <si>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</si>
  <si>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</si>
  <si>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</si>
  <si>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</si>
  <si>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</si>
  <si>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</si>
  <si>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</si>
  <si>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</si>
  <si>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</si>
  <si>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</si>
  <si>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</si>
  <si>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</si>
  <si>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</si>
  <si>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</si>
  <si>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</si>
  <si>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</si>
  <si>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</si>
  <si>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</si>
  <si>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</si>
  <si>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</si>
  <si>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</si>
  <si>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</si>
  <si>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</si>
  <si>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</si>
  <si>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</si>
  <si>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</si>
  <si>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</si>
  <si>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</si>
  <si>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</si>
  <si>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</si>
  <si>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</si>
  <si>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</si>
  <si>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</si>
  <si>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</si>
  <si>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</si>
  <si>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</si>
  <si>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</si>
  <si>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</si>
  <si>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</si>
  <si>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</si>
  <si>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</si>
  <si>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</si>
  <si>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</si>
  <si>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</si>
  <si>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</si>
  <si>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</si>
  <si>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</si>
  <si>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</si>
  <si>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</si>
  <si>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</si>
  <si>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</si>
  <si>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</si>
  <si>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</si>
  <si>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</si>
  <si>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</si>
  <si>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</si>
  <si>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</si>
  <si>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</si>
  <si>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</si>
  <si>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</si>
  <si>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</si>
  <si>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</si>
  <si>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</si>
  <si>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</si>
  <si>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</si>
  <si>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</si>
  <si>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</si>
  <si>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</si>
  <si>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</si>
  <si>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</si>
  <si>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</si>
  <si>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</si>
  <si>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</si>
  <si>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</si>
  <si>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</si>
  <si>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</si>
  <si>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</si>
  <si>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</si>
  <si>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</si>
  <si>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</si>
  <si>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</si>
  <si>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</si>
  <si>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</si>
  <si>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</si>
  <si>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</si>
  <si>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</si>
  <si>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</si>
  <si>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</si>
  <si>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</si>
  <si>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</si>
  <si>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</si>
  <si>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</si>
  <si>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</si>
  <si>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</si>
  <si>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</si>
  <si>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</si>
  <si>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</si>
  <si>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</si>
  <si>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</si>
  <si>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</si>
  <si>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</si>
  <si>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</si>
  <si>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</si>
  <si>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</si>
  <si>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</si>
  <si>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</si>
  <si>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</si>
  <si>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</si>
  <si>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</si>
  <si>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</si>
  <si>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</si>
  <si>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</si>
  <si>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</si>
  <si>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</si>
  <si>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</si>
  <si>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</si>
  <si>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</si>
  <si>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</si>
  <si>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</si>
  <si>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</si>
  <si>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</si>
  <si>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</si>
  <si>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</si>
  <si>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</si>
  <si>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</si>
  <si>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</si>
  <si>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</si>
  <si>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</si>
  <si>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</si>
  <si>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</si>
  <si>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</si>
  <si>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</si>
  <si>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</si>
  <si>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</si>
  <si>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</si>
  <si>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</si>
  <si>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</si>
  <si>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</si>
  <si>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</si>
  <si>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</si>
  <si>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</si>
  <si>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</si>
  <si>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</si>
  <si>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</si>
  <si>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</si>
  <si>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</si>
  <si>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</si>
  <si>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</si>
  <si>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</si>
  <si>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</si>
  <si>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</si>
  <si>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</si>
  <si>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</si>
  <si>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</si>
  <si>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</si>
  <si>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</si>
  <si>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</si>
  <si>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</si>
  <si>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</si>
  <si>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</si>
  <si>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</si>
  <si>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</si>
  <si>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</si>
  <si>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</si>
  <si>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</si>
  <si>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</si>
  <si>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</si>
  <si>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</si>
  <si>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</si>
  <si>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</si>
  <si>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</si>
  <si>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</si>
  <si>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</si>
  <si>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</si>
  <si>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</si>
  <si>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</si>
  <si>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</si>
  <si>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</si>
  <si>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</si>
  <si>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</si>
  <si>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</si>
  <si>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</si>
  <si>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</si>
  <si>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</si>
  <si>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</si>
  <si>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</si>
  <si>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</si>
  <si>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</si>
  <si>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</si>
  <si>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</si>
  <si>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</si>
  <si>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</si>
  <si>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</si>
  <si>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</si>
  <si>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</si>
  <si>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</si>
  <si>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</si>
  <si>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</si>
  <si>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</si>
  <si>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</si>
  <si>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</si>
  <si>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</si>
  <si>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</si>
  <si>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</si>
  <si>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</si>
  <si>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</si>
  <si>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</si>
  <si>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</si>
  <si>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</si>
  <si>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</si>
  <si>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</si>
  <si>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</si>
  <si>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</si>
  <si>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</si>
  <si>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</si>
  <si>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</si>
  <si>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</si>
  <si>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</si>
  <si>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</si>
  <si>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</si>
  <si>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</si>
  <si>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</si>
  <si>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</si>
  <si>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</si>
  <si>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</si>
  <si>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</si>
  <si>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</si>
  <si>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</si>
  <si>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</si>
  <si>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</si>
  <si>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</si>
  <si>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</si>
  <si>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</si>
  <si>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</si>
  <si>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</si>
  <si>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</si>
  <si>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</si>
  <si>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</si>
  <si>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</si>
  <si>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</si>
  <si>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</si>
  <si>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</si>
  <si>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</si>
  <si>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</si>
  <si>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</si>
  <si>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</si>
  <si>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</si>
  <si>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</si>
  <si>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</si>
  <si>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</si>
  <si>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</si>
  <si>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</si>
  <si>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</si>
  <si>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</si>
  <si>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</si>
  <si>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</si>
  <si>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</si>
  <si>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</si>
  <si>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</si>
  <si>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</si>
  <si>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</si>
  <si>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</si>
  <si>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</si>
  <si>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</si>
  <si>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</si>
  <si>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</si>
  <si>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</si>
  <si>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</si>
  <si>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</si>
  <si>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</si>
  <si>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</si>
  <si>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</si>
  <si>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</si>
  <si>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</si>
  <si>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</si>
  <si>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</si>
  <si>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</si>
  <si>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</si>
  <si>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</si>
  <si>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</si>
  <si>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</si>
  <si>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</si>
  <si>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</si>
  <si>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</si>
  <si>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</si>
  <si>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</si>
  <si>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</si>
  <si>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</si>
  <si>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</si>
  <si>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</si>
  <si>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</si>
  <si>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</si>
  <si>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</si>
  <si>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</si>
  <si>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</si>
  <si>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</si>
  <si>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</si>
  <si>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</si>
  <si>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</si>
  <si>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</si>
  <si>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</si>
  <si>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</si>
  <si>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</si>
  <si>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</si>
  <si>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</si>
  <si>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</si>
  <si>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</si>
  <si>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</si>
  <si>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</si>
  <si>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</si>
  <si>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</si>
  <si>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</si>
  <si>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</si>
  <si>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</si>
  <si>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</si>
  <si>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</si>
  <si>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</si>
  <si>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</si>
  <si>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</si>
  <si>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</si>
  <si>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</si>
  <si>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</si>
  <si>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</si>
  <si>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</si>
  <si>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</si>
  <si>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</si>
  <si>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</si>
  <si>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</si>
  <si>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</si>
  <si>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</si>
  <si>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</si>
  <si>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</si>
  <si>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</si>
  <si>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</si>
  <si>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</si>
  <si>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</si>
  <si>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</si>
  <si>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</si>
  <si>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</si>
  <si>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</si>
  <si>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</si>
  <si>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</si>
  <si>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</si>
  <si>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</si>
  <si>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</si>
  <si>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</si>
  <si>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</si>
  <si>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</si>
  <si>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</si>
  <si>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</si>
  <si>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</si>
  <si>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</si>
  <si>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</si>
  <si>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</si>
  <si>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</si>
  <si>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</si>
  <si>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</si>
  <si>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</si>
  <si>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</si>
  <si>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</si>
  <si>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</si>
  <si>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</si>
  <si>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</si>
  <si>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</si>
  <si>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</si>
  <si>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</si>
  <si>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</si>
  <si>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</si>
  <si>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</si>
  <si>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</si>
  <si>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</si>
  <si>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</si>
  <si>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</si>
  <si>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</si>
  <si>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</si>
  <si>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</si>
  <si>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</si>
  <si>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</si>
  <si>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</si>
  <si>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</si>
  <si>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</si>
  <si>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</si>
  <si>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</si>
  <si>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</si>
  <si>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</si>
  <si>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</si>
  <si>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</si>
  <si>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</si>
  <si>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</si>
  <si>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</si>
  <si>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</si>
  <si>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</si>
  <si>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</si>
  <si>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</si>
  <si>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</si>
  <si>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</si>
  <si>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</si>
  <si>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</si>
  <si>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</si>
  <si>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</si>
  <si>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</si>
  <si>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</si>
  <si>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</si>
  <si>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</si>
  <si>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</si>
  <si>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</si>
  <si>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</si>
  <si>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</si>
  <si>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</si>
  <si>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</si>
  <si>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</si>
  <si>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</si>
  <si>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</si>
  <si>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</si>
  <si>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</si>
  <si>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</si>
  <si>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</si>
  <si>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</si>
  <si>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</si>
  <si>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</si>
  <si>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</si>
  <si>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</si>
  <si>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</si>
  <si>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</si>
  <si>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</si>
  <si>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</si>
  <si>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</si>
  <si>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</si>
  <si>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</si>
  <si>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</si>
  <si>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</si>
  <si>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</si>
  <si>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</si>
  <si>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</si>
  <si>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</si>
  <si>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</si>
  <si>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</si>
  <si>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</si>
  <si>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</si>
  <si>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</si>
  <si>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</si>
  <si>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</si>
  <si>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</si>
  <si>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</si>
  <si>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</si>
  <si>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</si>
  <si>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</si>
  <si>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</si>
  <si>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</si>
  <si>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</si>
  <si>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</si>
  <si>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</si>
  <si>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</si>
  <si>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</si>
  <si>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</si>
  <si>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</si>
  <si>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</si>
  <si>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</si>
  <si>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</si>
  <si>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</si>
  <si>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</si>
  <si>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</si>
  <si>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</si>
  <si>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</si>
  <si>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</si>
  <si>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</si>
  <si>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</si>
  <si>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</si>
  <si>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</si>
  <si>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</si>
  <si>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</si>
  <si>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</si>
  <si>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</si>
  <si>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</si>
  <si>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</si>
  <si>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</si>
  <si>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</si>
  <si>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</si>
  <si>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</si>
  <si>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</si>
  <si>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</si>
  <si>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</si>
  <si>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</si>
  <si>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</si>
  <si>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</si>
  <si>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</si>
  <si>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</si>
  <si>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</si>
  <si>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</si>
  <si>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</si>
  <si>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</si>
  <si>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</si>
  <si>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</si>
  <si>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</si>
  <si>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</si>
  <si>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</si>
  <si>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</si>
  <si>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</si>
  <si>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</si>
  <si>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</si>
  <si>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</si>
  <si>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</si>
  <si>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</si>
  <si>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</si>
  <si>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</si>
  <si>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</si>
  <si>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</si>
  <si>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</si>
  <si>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</si>
  <si>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</si>
  <si>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</si>
  <si>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</si>
  <si>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</si>
  <si>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</si>
  <si>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</si>
  <si>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</si>
  <si>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</si>
  <si>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</si>
  <si>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</si>
  <si>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</si>
  <si>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</si>
  <si>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</si>
  <si>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</si>
  <si>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</si>
  <si>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</si>
  <si>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</si>
  <si>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</si>
  <si>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</si>
  <si>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</si>
  <si>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</si>
  <si>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</si>
  <si>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</si>
  <si>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</si>
  <si>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</si>
  <si>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</si>
  <si>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</si>
  <si>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</si>
  <si>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</si>
  <si>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</si>
  <si>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</si>
  <si>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</si>
  <si>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</si>
  <si>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</si>
  <si>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</si>
  <si>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</si>
  <si>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</si>
  <si>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</si>
  <si>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</si>
  <si>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</si>
  <si>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</si>
  <si>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</si>
  <si>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</si>
  <si>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</si>
  <si>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</si>
  <si>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</si>
  <si>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</si>
  <si>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</si>
  <si>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</si>
  <si>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</si>
  <si>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</si>
  <si>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</si>
  <si>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</si>
  <si>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</si>
  <si>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</si>
  <si>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</si>
  <si>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</si>
  <si>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</si>
  <si>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</si>
  <si>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</si>
  <si>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</si>
  <si>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</si>
  <si>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</si>
  <si>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</si>
  <si>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</si>
  <si>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</si>
  <si>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</si>
  <si>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</si>
  <si>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</si>
  <si>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</si>
  <si>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</si>
  <si>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</si>
  <si>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</si>
  <si>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</si>
  <si>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</si>
  <si>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</si>
  <si>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</si>
  <si>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</si>
  <si>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</si>
  <si>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</si>
  <si>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</si>
  <si>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</si>
  <si>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</si>
  <si>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</si>
  <si>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</si>
  <si>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</si>
  <si>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</si>
  <si>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</si>
  <si>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</si>
  <si>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</si>
  <si>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</si>
  <si>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</si>
  <si>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</si>
  <si>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</si>
  <si>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</si>
  <si>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</si>
  <si>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</si>
  <si>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</si>
  <si>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</si>
  <si>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</si>
  <si>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</si>
  <si>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</si>
  <si>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</si>
  <si>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</si>
  <si>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</si>
  <si>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</si>
  <si>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</si>
  <si>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</si>
  <si>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</si>
  <si>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</si>
  <si>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</si>
  <si>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</si>
  <si>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</si>
  <si>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</si>
  <si>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</si>
  <si>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</si>
  <si>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</si>
  <si>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</si>
  <si>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</si>
  <si>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</si>
  <si>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</si>
  <si>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</si>
  <si>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</si>
  <si>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</si>
  <si>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</si>
  <si>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</si>
  <si>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</si>
  <si>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</si>
  <si>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</si>
  <si>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</si>
  <si>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</si>
  <si>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</si>
  <si>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</si>
  <si>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</si>
  <si>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</si>
  <si>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</si>
  <si>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</si>
  <si>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</si>
  <si>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</si>
  <si>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</si>
  <si>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</si>
  <si>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</si>
  <si>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</si>
  <si>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</si>
  <si>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</si>
  <si>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</si>
  <si>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</si>
  <si>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</si>
  <si>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</si>
  <si>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</si>
  <si>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</si>
  <si>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</si>
  <si>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</si>
  <si>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</si>
  <si>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</si>
  <si>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</si>
  <si>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</si>
  <si>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</si>
  <si>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</si>
  <si>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</si>
  <si>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</si>
  <si>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</si>
  <si>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</si>
  <si>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</si>
  <si>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</si>
  <si>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</si>
  <si>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</si>
  <si>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</si>
  <si>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</si>
  <si>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</si>
  <si>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</si>
  <si>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</si>
  <si>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</si>
  <si>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</si>
  <si>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</si>
  <si>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</si>
  <si>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</si>
  <si>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</si>
  <si>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</si>
  <si>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</si>
  <si>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</si>
  <si>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</si>
  <si>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</si>
  <si>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</si>
  <si>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</si>
  <si>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</si>
  <si>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</si>
  <si>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</si>
  <si>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</si>
  <si>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</si>
  <si>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</si>
  <si>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</si>
  <si>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</si>
  <si>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</si>
  <si>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</si>
  <si>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</si>
  <si>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</si>
  <si>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</si>
  <si>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</si>
  <si>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</si>
  <si>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</si>
  <si>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</si>
  <si>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</si>
  <si>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</si>
  <si>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</si>
  <si>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</si>
  <si>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</si>
  <si>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</si>
  <si>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</si>
  <si>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</si>
  <si>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</si>
  <si>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</si>
  <si>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</si>
  <si>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</si>
  <si>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</si>
  <si>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</si>
  <si>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</si>
  <si>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</si>
  <si>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</si>
  <si>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</si>
  <si>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</si>
  <si>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</si>
  <si>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</si>
  <si>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</si>
  <si>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</si>
  <si>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</si>
  <si>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</si>
  <si>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</si>
  <si>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</si>
  <si>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</si>
  <si>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</si>
  <si>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</si>
  <si>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</si>
  <si>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</si>
  <si>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</si>
  <si>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</si>
  <si>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</si>
  <si>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</si>
  <si>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</si>
  <si>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</si>
  <si>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</si>
  <si>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</si>
  <si>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</si>
  <si>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</si>
  <si>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</si>
  <si>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</si>
  <si>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</si>
  <si>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</si>
  <si>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</si>
  <si>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</si>
  <si>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</si>
  <si>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</si>
  <si>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</si>
  <si>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</si>
  <si>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</si>
  <si>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</si>
  <si>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</si>
  <si>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</si>
  <si>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</si>
  <si>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</si>
  <si>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</si>
  <si>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</si>
  <si>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</si>
  <si>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</si>
  <si>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</si>
  <si>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</si>
  <si>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</si>
  <si>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</si>
  <si>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</si>
  <si>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</si>
  <si>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</si>
  <si>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</si>
  <si>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</si>
  <si>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</si>
  <si>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</si>
  <si>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</si>
  <si>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</si>
  <si>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</si>
  <si>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</si>
  <si>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</si>
  <si>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</si>
  <si>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</si>
  <si>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</si>
  <si>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</si>
  <si>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</si>
  <si>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</si>
  <si>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</si>
  <si>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</si>
  <si>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</si>
  <si>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</si>
  <si>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</si>
  <si>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</si>
  <si>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</si>
  <si>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</si>
  <si>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</si>
  <si>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</si>
  <si>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</si>
  <si>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</si>
  <si>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</si>
  <si>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</si>
  <si>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</si>
  <si>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</si>
  <si>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</si>
  <si>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</si>
  <si>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</si>
  <si>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</si>
  <si>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</si>
  <si>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</si>
  <si>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</si>
  <si>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</si>
  <si>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</si>
  <si>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</si>
  <si>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</si>
  <si>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</si>
  <si>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</si>
  <si>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</si>
  <si>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</si>
  <si>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</si>
  <si>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</si>
  <si>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</si>
  <si>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</si>
  <si>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</si>
  <si>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</si>
  <si>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</si>
  <si>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</si>
  <si>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</si>
  <si>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</si>
  <si>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</si>
  <si>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</si>
  <si>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</si>
  <si>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</si>
  <si>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</si>
  <si>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</si>
  <si>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</si>
  <si>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</si>
  <si>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</si>
  <si>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</si>
  <si>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</si>
  <si>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</si>
  <si>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</si>
  <si>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</si>
  <si>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</si>
  <si>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</si>
  <si>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</si>
  <si>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</si>
  <si>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</si>
  <si>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</si>
  <si>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</si>
  <si>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</si>
  <si>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</si>
  <si>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</si>
  <si>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</si>
  <si>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</si>
  <si>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</si>
  <si>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</si>
  <si>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</si>
  <si>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</si>
  <si>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</si>
  <si>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</si>
  <si>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</si>
  <si>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</si>
  <si>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</si>
  <si>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</si>
  <si>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</si>
  <si>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</si>
  <si>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</si>
  <si>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</si>
  <si>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</si>
  <si>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</si>
  <si>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</si>
  <si>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</si>
  <si>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</si>
  <si>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</si>
  <si>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</si>
  <si>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</si>
  <si>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</si>
  <si>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</si>
  <si>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</si>
  <si>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</si>
  <si>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</si>
  <si>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</si>
  <si>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</si>
  <si>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</si>
  <si>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</si>
  <si>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</si>
  <si>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</si>
  <si>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</si>
  <si>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</si>
  <si>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</si>
  <si>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</si>
  <si>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</si>
  <si>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</si>
  <si>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</si>
  <si>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</si>
  <si>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</si>
  <si>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</si>
  <si>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</si>
  <si>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</si>
  <si>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</si>
  <si>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</si>
  <si>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</si>
  <si>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</si>
  <si>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</si>
  <si>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</si>
  <si>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</si>
  <si>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</si>
  <si>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</si>
  <si>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</si>
  <si>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</si>
  <si>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</si>
  <si>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</si>
  <si>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</si>
  <si>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</si>
  <si>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</si>
  <si>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</si>
  <si>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</si>
  <si>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</si>
  <si>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</si>
  <si>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</si>
  <si>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</si>
  <si>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</si>
  <si>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</si>
  <si>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</si>
  <si>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</si>
  <si>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</si>
  <si>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</si>
  <si>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</si>
  <si>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</si>
  <si>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</si>
  <si>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</si>
  <si>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</si>
  <si>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</si>
  <si>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</si>
  <si>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</si>
  <si>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</si>
  <si>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</si>
  <si>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</si>
  <si>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</si>
  <si>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</si>
  <si>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</si>
  <si>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</si>
  <si>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</si>
  <si>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</si>
  <si>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</si>
  <si>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</si>
  <si>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</si>
  <si>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</si>
  <si>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</si>
  <si>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</si>
  <si>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</si>
  <si>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</si>
  <si>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</si>
  <si>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</si>
  <si>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</si>
  <si>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</si>
  <si>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</si>
  <si>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</si>
  <si>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</si>
  <si>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</si>
  <si>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</si>
  <si>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</si>
  <si>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</si>
  <si>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</si>
  <si>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</si>
  <si>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</si>
  <si>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</si>
  <si>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</si>
  <si>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</si>
  <si>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</si>
  <si>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</si>
  <si>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</si>
  <si>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</si>
  <si>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</si>
  <si>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</si>
  <si>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</si>
  <si>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</si>
  <si>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</si>
  <si>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</si>
  <si>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</si>
  <si>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</si>
  <si>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</si>
  <si>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</si>
  <si>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</si>
  <si>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</si>
  <si>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</si>
  <si>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</si>
  <si>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</si>
  <si>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</si>
  <si>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</si>
  <si>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</si>
  <si>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</si>
  <si>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</si>
  <si>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</si>
  <si>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</si>
  <si>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</si>
  <si>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</si>
  <si>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</si>
  <si>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</si>
  <si>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</si>
  <si>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</si>
  <si>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</si>
  <si>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</si>
  <si>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</si>
  <si>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</si>
  <si>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</si>
  <si>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</si>
  <si>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</si>
  <si>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</si>
  <si>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</si>
  <si>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</si>
  <si>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</si>
  <si>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</si>
  <si>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</si>
  <si>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</si>
  <si>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</si>
  <si>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</si>
  <si>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</si>
  <si>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</si>
  <si>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</si>
  <si>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</si>
  <si>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</si>
  <si>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</si>
  <si>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</si>
  <si>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</si>
  <si>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</si>
  <si>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</si>
  <si>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</si>
  <si>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</si>
  <si>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</si>
  <si>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</si>
  <si>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</si>
  <si>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</si>
  <si>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</si>
  <si>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</si>
  <si>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</si>
  <si>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</si>
  <si>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</si>
  <si>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</si>
  <si>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</si>
  <si>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</si>
  <si>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</si>
  <si>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</si>
  <si>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</si>
  <si>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</si>
  <si>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</si>
  <si>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</si>
  <si>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</si>
  <si>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</si>
  <si>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</si>
  <si>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</si>
  <si>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</si>
  <si>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</si>
  <si>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</si>
  <si>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</si>
  <si>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</si>
  <si>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</si>
  <si>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</si>
  <si>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</si>
  <si>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</si>
  <si>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</si>
  <si>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</si>
  <si>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</si>
  <si>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</si>
  <si>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</si>
  <si>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</si>
  <si>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</si>
  <si>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</si>
  <si>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</si>
  <si>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</si>
  <si>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</si>
  <si>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</si>
  <si>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</si>
  <si>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</si>
  <si>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</si>
  <si>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</si>
  <si>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</si>
  <si>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</si>
  <si>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</si>
  <si>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</si>
  <si>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</si>
  <si>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</si>
  <si>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</si>
  <si>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</si>
  <si>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</si>
  <si>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</si>
  <si>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</si>
  <si>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</si>
  <si>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</si>
  <si>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</si>
  <si>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</si>
  <si>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</si>
  <si>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</si>
  <si>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</si>
  <si>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</si>
  <si>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</si>
  <si>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</si>
  <si>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</si>
  <si>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</si>
  <si>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</si>
  <si>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</si>
  <si>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</si>
  <si>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</si>
  <si>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</si>
  <si>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</si>
  <si>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</si>
  <si>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</si>
  <si>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</si>
  <si>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</si>
  <si>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</si>
  <si>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</si>
  <si>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</si>
  <si>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</si>
  <si>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</si>
  <si>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</si>
  <si>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</si>
  <si>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</si>
  <si>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</si>
  <si>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</si>
  <si>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</si>
  <si>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</si>
  <si>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</si>
  <si>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</si>
  <si>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</si>
  <si>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</si>
  <si>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</si>
  <si>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</si>
  <si>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</si>
  <si>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</si>
  <si>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</si>
  <si>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</si>
  <si>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</si>
  <si>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</si>
  <si>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</si>
  <si>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</si>
  <si>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</si>
  <si>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</si>
  <si>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</si>
  <si>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</si>
  <si>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</si>
  <si>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</si>
  <si>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</si>
  <si>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</si>
  <si>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</si>
  <si>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</si>
  <si>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</si>
  <si>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</si>
  <si>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</si>
  <si>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</si>
  <si>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</si>
  <si>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</si>
  <si>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</si>
  <si>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</si>
  <si>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</si>
  <si>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</si>
  <si>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</si>
  <si>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</si>
  <si>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</si>
  <si>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</si>
  <si>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</si>
  <si>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</si>
  <si>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</si>
  <si>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</si>
  <si>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</si>
  <si>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</si>
  <si>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</si>
  <si>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</si>
  <si>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</si>
  <si>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</si>
  <si>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</si>
  <si>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</si>
  <si>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</si>
  <si>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</si>
  <si>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</si>
  <si>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</si>
  <si>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</si>
  <si>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</si>
  <si>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</si>
  <si>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</si>
  <si>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</si>
  <si>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</si>
  <si>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</si>
  <si>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</si>
  <si>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</si>
  <si>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</si>
  <si>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</si>
  <si>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</si>
  <si>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</si>
  <si>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</si>
  <si>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</si>
  <si>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</si>
  <si>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</si>
  <si>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</si>
  <si>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</si>
  <si>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</si>
  <si>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</si>
  <si>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</si>
  <si>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</si>
  <si>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</si>
  <si>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</si>
  <si>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</si>
  <si>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</si>
  <si>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</si>
  <si>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</si>
  <si>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</si>
  <si>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</si>
  <si>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</si>
  <si>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</si>
  <si>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</si>
  <si>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</si>
  <si>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</si>
  <si>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</si>
  <si>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</si>
  <si>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</si>
  <si>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</si>
  <si>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</si>
  <si>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</si>
  <si>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</si>
  <si>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</si>
  <si>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</si>
  <si>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</si>
  <si>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</si>
  <si>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</si>
  <si>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</si>
  <si>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</si>
  <si>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</si>
  <si>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</si>
  <si>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</si>
  <si>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</si>
  <si>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</si>
  <si>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</si>
  <si>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</si>
  <si>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</si>
  <si>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</si>
  <si>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</si>
  <si>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</si>
  <si>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</si>
  <si>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</si>
  <si>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</si>
  <si>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</si>
  <si>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</si>
  <si>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</si>
  <si>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</si>
  <si>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</si>
  <si>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</si>
  <si>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</si>
  <si>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</si>
  <si>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</si>
  <si>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</si>
  <si>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</si>
  <si>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</si>
  <si>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</si>
  <si>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</si>
  <si>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</si>
  <si>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</si>
  <si>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</si>
  <si>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</si>
  <si>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</si>
  <si>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</si>
  <si>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</si>
  <si>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</si>
  <si>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</si>
  <si>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</si>
  <si>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</si>
  <si>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</si>
  <si>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</si>
  <si>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</si>
  <si>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</si>
  <si>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</si>
  <si>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</si>
  <si>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</si>
  <si>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</si>
  <si>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</si>
  <si>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</si>
  <si>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</si>
  <si>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</si>
  <si>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</si>
  <si>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</si>
  <si>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</si>
  <si>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</si>
  <si>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</si>
  <si>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</si>
  <si>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</si>
  <si>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</si>
  <si>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</si>
  <si>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</si>
  <si>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</si>
  <si>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</si>
  <si>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</si>
  <si>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</si>
  <si>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</si>
  <si>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</si>
  <si>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</si>
  <si>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</si>
  <si>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</si>
  <si>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</si>
  <si>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</si>
  <si>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</si>
  <si>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</si>
  <si>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</si>
  <si>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</si>
  <si>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</si>
  <si>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</si>
  <si>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</si>
  <si>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</si>
  <si>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</si>
  <si>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</si>
  <si>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</si>
  <si>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</si>
  <si>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</si>
  <si>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</si>
  <si>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</si>
  <si>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</si>
  <si>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</si>
  <si>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</si>
  <si>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</si>
  <si>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</si>
  <si>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</si>
  <si>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</si>
  <si>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</si>
  <si>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</si>
  <si>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</si>
  <si>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</si>
  <si>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</si>
  <si>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</si>
  <si>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</si>
  <si>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</si>
  <si>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</si>
  <si>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</si>
  <si>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</si>
  <si>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</si>
  <si>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</si>
  <si>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</si>
  <si>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</si>
  <si>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</si>
  <si>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</si>
  <si>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</si>
  <si>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</si>
  <si>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</si>
  <si>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</si>
  <si>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</si>
  <si>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</si>
  <si>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</si>
  <si>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</si>
  <si>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</si>
  <si>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</si>
  <si>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</si>
  <si>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</si>
  <si>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</si>
  <si>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</si>
  <si>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</si>
  <si>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</si>
  <si>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</si>
  <si>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</si>
  <si>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</si>
  <si>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</si>
  <si>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</si>
  <si>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</si>
  <si>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</si>
  <si>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</si>
  <si>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</si>
  <si>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</si>
  <si>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</si>
  <si>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</si>
  <si>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</si>
  <si>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</si>
  <si>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</si>
  <si>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</si>
  <si>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</si>
  <si>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</si>
  <si>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</si>
  <si>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</si>
  <si>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</si>
  <si>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</si>
  <si>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</si>
  <si>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</si>
  <si>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</si>
  <si>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</si>
  <si>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</si>
  <si>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</si>
  <si>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</si>
  <si>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</si>
  <si>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</si>
  <si>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</si>
  <si>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</si>
  <si>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</si>
  <si>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</si>
  <si>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</si>
  <si>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</si>
  <si>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</si>
  <si>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</si>
  <si>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</si>
  <si>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</si>
  <si>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</si>
  <si>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</si>
  <si>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</si>
  <si>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</si>
  <si>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</si>
  <si>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</si>
  <si>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</si>
  <si>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</si>
  <si>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</si>
  <si>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</si>
  <si>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</si>
  <si>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</si>
  <si>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</si>
  <si>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</si>
  <si>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</si>
  <si>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</si>
  <si>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</si>
  <si>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</si>
  <si>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</si>
  <si>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</si>
  <si>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</si>
  <si>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</si>
  <si>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</si>
  <si>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</si>
  <si>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</si>
  <si>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</si>
  <si>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</si>
  <si>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</si>
  <si>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</si>
  <si>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</si>
  <si>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</si>
  <si>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</si>
  <si>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</si>
  <si>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</si>
  <si>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</si>
  <si>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</si>
  <si>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</si>
  <si>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</si>
  <si>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</si>
  <si>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</si>
  <si>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</si>
  <si>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</si>
  <si>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</si>
  <si>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</si>
  <si>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</si>
  <si>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</si>
  <si>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</si>
  <si>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</si>
  <si>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</si>
  <si>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</si>
  <si>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</si>
  <si>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</si>
  <si>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</si>
  <si>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</si>
  <si>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</si>
  <si>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</si>
  <si>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</si>
  <si>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</si>
  <si>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</si>
  <si>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</si>
  <si>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</si>
  <si>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</si>
  <si>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</si>
  <si>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</si>
  <si>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</si>
  <si>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</si>
  <si>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</si>
  <si>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</si>
  <si>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</si>
  <si>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</si>
  <si>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</si>
  <si>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</si>
  <si>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</si>
  <si>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</si>
  <si>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</si>
  <si>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</si>
  <si>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</si>
  <si>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</si>
  <si>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</si>
  <si>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</si>
  <si>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</si>
  <si>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</si>
  <si>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</si>
  <si>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</si>
  <si>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</si>
  <si>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</si>
  <si>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</si>
  <si>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</si>
  <si>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</si>
  <si>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</si>
  <si>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</si>
  <si>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</si>
  <si>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</si>
  <si>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</si>
  <si>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</si>
  <si>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</si>
  <si>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</si>
  <si>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</si>
  <si>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</si>
  <si>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</si>
  <si>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</si>
  <si>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</si>
  <si>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</si>
  <si>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</si>
  <si>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</si>
  <si>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</si>
  <si>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</si>
  <si>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</si>
  <si>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</si>
  <si>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</si>
  <si>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</si>
  <si>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</si>
  <si>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</si>
  <si>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</si>
  <si>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</si>
  <si>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</si>
  <si>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</si>
  <si>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</si>
  <si>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</si>
  <si>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</si>
  <si>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</si>
  <si>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</si>
  <si>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</si>
  <si>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</si>
  <si>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</si>
  <si>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</si>
  <si>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</si>
  <si>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</si>
  <si>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</si>
  <si>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</si>
  <si>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</si>
  <si>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</si>
  <si>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</si>
  <si>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</si>
  <si>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</si>
  <si>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</si>
  <si>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</si>
  <si>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</si>
  <si>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</si>
  <si>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</si>
  <si>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</si>
  <si>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</si>
  <si>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</si>
  <si>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</si>
  <si>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</si>
  <si>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</si>
  <si>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</si>
  <si>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</si>
  <si>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</si>
  <si>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</si>
  <si>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</si>
  <si>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</si>
  <si>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</si>
  <si>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</si>
  <si>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</si>
  <si>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</si>
  <si>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</si>
  <si>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</si>
  <si>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</si>
  <si>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</si>
  <si>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</si>
  <si>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</si>
  <si>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</si>
  <si>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</si>
  <si>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</si>
  <si>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</si>
  <si>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</si>
  <si>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</si>
  <si>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</si>
  <si>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</si>
  <si>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</si>
  <si>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</si>
  <si>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</si>
  <si>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</si>
  <si>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</si>
  <si>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</si>
  <si>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</si>
  <si>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</si>
  <si>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</si>
  <si>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</si>
  <si>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</si>
  <si>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</si>
  <si>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</si>
  <si>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</si>
  <si>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</si>
  <si>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</si>
  <si>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</si>
  <si>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</si>
  <si>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</si>
  <si>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</si>
  <si>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</si>
  <si>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</si>
  <si>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</si>
  <si>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</si>
  <si>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</si>
  <si>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</si>
  <si>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</si>
  <si>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</si>
  <si>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</si>
  <si>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</si>
  <si>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</si>
  <si>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</si>
  <si>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</si>
  <si>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</si>
  <si>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</si>
  <si>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</si>
  <si>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</si>
  <si>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</si>
  <si>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</si>
  <si>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</si>
  <si>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</si>
  <si>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</si>
  <si>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</si>
  <si>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</si>
  <si>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</si>
  <si>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</si>
  <si>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</si>
  <si>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</si>
  <si>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</si>
  <si>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</si>
  <si>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</si>
  <si>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</si>
  <si>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</si>
  <si>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</si>
  <si>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</si>
  <si>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</si>
  <si>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</si>
  <si>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</si>
  <si>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</si>
  <si>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</si>
  <si>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</si>
  <si>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</si>
  <si>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</si>
  <si>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</si>
  <si>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</si>
  <si>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</si>
  <si>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</si>
  <si>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</si>
  <si>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</si>
  <si>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</si>
  <si>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</si>
  <si>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</si>
  <si>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</si>
  <si>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</si>
  <si>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</si>
  <si>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</si>
  <si>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</si>
  <si>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</si>
  <si>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</si>
  <si>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</si>
  <si>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</si>
  <si>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</si>
  <si>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</si>
  <si>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</si>
  <si>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</si>
  <si>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</si>
  <si>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</si>
  <si>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</si>
  <si>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</si>
  <si>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</si>
  <si>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</si>
  <si>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</si>
  <si>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</si>
  <si>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</si>
  <si>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</si>
  <si>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</si>
  <si>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</si>
  <si>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</si>
  <si>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</si>
  <si>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</si>
  <si>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</si>
  <si>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</si>
  <si>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</si>
  <si>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</si>
  <si>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</si>
  <si>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</si>
  <si>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</si>
  <si>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</si>
  <si>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</si>
  <si>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</si>
  <si>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</si>
  <si>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</si>
  <si>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</si>
  <si>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</si>
  <si>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</si>
  <si>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</si>
  <si>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</si>
  <si>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</si>
  <si>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</si>
  <si>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</si>
  <si>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</si>
  <si>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</si>
  <si>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</si>
  <si>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</si>
  <si>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</si>
  <si>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</si>
  <si>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</si>
  <si>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</si>
  <si>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</si>
  <si>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</si>
  <si>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</si>
  <si>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</si>
  <si>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</si>
  <si>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</si>
  <si>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</si>
  <si>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</si>
  <si>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</si>
  <si>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</si>
  <si>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</si>
  <si>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</si>
  <si>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</si>
  <si>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</si>
  <si>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</si>
  <si>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</si>
  <si>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</si>
  <si>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</si>
  <si>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</si>
  <si>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</si>
  <si>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</si>
  <si>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</si>
  <si>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</si>
  <si>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</si>
  <si>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</si>
  <si>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</si>
  <si>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</si>
  <si>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</si>
  <si>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</si>
  <si>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</si>
  <si>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</si>
  <si>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</si>
  <si>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</si>
  <si>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</si>
  <si>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</si>
  <si>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</si>
  <si>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</si>
  <si>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</si>
  <si>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</si>
  <si>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</si>
  <si>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</si>
  <si>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</si>
  <si>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</si>
  <si>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</si>
  <si>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</si>
  <si>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</si>
  <si>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</si>
  <si>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</si>
  <si>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</si>
  <si>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</si>
  <si>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</si>
  <si>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</si>
  <si>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</si>
  <si>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</si>
  <si>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</si>
  <si>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</si>
  <si>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</si>
  <si>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</si>
  <si>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</si>
  <si>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</si>
  <si>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</si>
  <si>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</si>
  <si>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</si>
  <si>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</si>
  <si>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</si>
  <si>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</si>
  <si>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</si>
  <si>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</si>
  <si>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</si>
  <si>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</si>
  <si>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</si>
  <si>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</si>
  <si>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</si>
  <si>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</si>
  <si>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</si>
  <si>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</si>
  <si>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</si>
  <si>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</si>
  <si>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</si>
  <si>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</si>
  <si>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</si>
  <si>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</si>
  <si>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</si>
  <si>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</si>
  <si>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</si>
  <si>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</si>
  <si>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</si>
  <si>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</si>
  <si>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</si>
  <si>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</si>
  <si>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</si>
  <si>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</si>
  <si>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</si>
  <si>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</si>
  <si>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</si>
  <si>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</si>
  <si>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</si>
  <si>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</si>
  <si>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</si>
  <si>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</si>
  <si>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</si>
  <si>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</si>
  <si>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</si>
  <si>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</si>
  <si>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</si>
  <si>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</si>
  <si>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</si>
  <si>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</si>
  <si>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</si>
  <si>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</si>
  <si>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</si>
  <si>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</si>
  <si>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</si>
  <si>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</si>
  <si>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</si>
  <si>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</si>
  <si>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</si>
  <si>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</si>
  <si>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</si>
  <si>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</si>
  <si>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</si>
  <si>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</si>
  <si>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</si>
  <si>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</si>
  <si>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</si>
  <si>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</si>
  <si>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</si>
  <si>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</si>
  <si>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</si>
  <si>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</si>
  <si>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</si>
  <si>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</si>
  <si>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</si>
  <si>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</si>
  <si>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</si>
  <si>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</si>
  <si>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</si>
  <si>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</si>
  <si>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</si>
  <si>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</si>
  <si>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</si>
  <si>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</si>
  <si>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</si>
  <si>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</si>
  <si>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</si>
  <si>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</si>
  <si>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</si>
  <si>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</si>
  <si>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</si>
  <si>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</si>
  <si>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</si>
  <si>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</si>
  <si>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</si>
  <si>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</si>
  <si>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</si>
  <si>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</si>
  <si>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</si>
  <si>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</si>
  <si>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</si>
  <si>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</si>
  <si>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</si>
  <si>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</si>
  <si>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</si>
  <si>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</si>
  <si>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</si>
  <si>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</si>
  <si>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</si>
  <si>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</si>
  <si>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</si>
  <si>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</si>
  <si>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</si>
  <si>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</si>
  <si>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</si>
  <si>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</si>
  <si>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</si>
  <si>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</si>
  <si>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</si>
  <si>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</si>
  <si>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</si>
  <si>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</si>
  <si>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</si>
  <si>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</si>
  <si>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</si>
  <si>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</si>
  <si>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</si>
  <si>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</si>
  <si>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</si>
  <si>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</si>
  <si>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</si>
  <si>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</si>
  <si>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</si>
  <si>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</si>
  <si>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</si>
  <si>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</si>
  <si>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</si>
  <si>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</si>
  <si>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</si>
  <si>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</si>
  <si>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</si>
  <si>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</si>
  <si>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</si>
  <si>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</si>
  <si>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</si>
  <si>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</si>
  <si>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</si>
  <si>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</si>
  <si>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</si>
  <si>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</si>
  <si>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</si>
  <si>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</si>
  <si>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</si>
  <si>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</si>
  <si>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</si>
  <si>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</si>
  <si>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</si>
  <si>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</si>
  <si>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</si>
  <si>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</si>
  <si>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</si>
  <si>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</si>
  <si>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</si>
  <si>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</si>
  <si>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</si>
  <si>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</si>
  <si>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</si>
  <si>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</si>
  <si>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</si>
  <si>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</si>
  <si>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</si>
  <si>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</si>
  <si>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</si>
  <si>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</si>
  <si>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</si>
  <si>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</si>
  <si>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</si>
  <si>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</si>
  <si>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</si>
  <si>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</si>
  <si>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</si>
  <si>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</si>
  <si>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</si>
  <si>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</si>
  <si>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</si>
  <si>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</si>
  <si>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</si>
  <si>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</si>
  <si>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</si>
  <si>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</si>
  <si>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</si>
  <si>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</si>
  <si>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</si>
  <si>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</si>
  <si>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</si>
  <si>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</si>
  <si>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</si>
  <si>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</si>
  <si>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</si>
  <si>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</si>
  <si>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</si>
  <si>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</si>
  <si>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</si>
  <si>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</si>
  <si>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</si>
  <si>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</si>
  <si>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</si>
  <si>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</si>
  <si>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</si>
  <si>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</si>
  <si>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</si>
  <si>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</si>
  <si>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</si>
  <si>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</si>
  <si>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</si>
  <si>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</si>
  <si>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</si>
  <si>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</si>
  <si>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</si>
  <si>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</si>
  <si>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</si>
  <si>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</si>
  <si>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</si>
  <si>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</si>
  <si>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</si>
  <si>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</si>
  <si>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</si>
  <si>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</si>
  <si>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</si>
  <si>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</si>
  <si>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</si>
  <si>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</si>
  <si>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</si>
  <si>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</si>
  <si>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</si>
  <si>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</si>
  <si>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</si>
  <si>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</si>
  <si>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</si>
  <si>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Sky Castle II, LP</t>
  </si>
  <si>
    <t>Sky Castle II</t>
  </si>
  <si>
    <t>August</t>
  </si>
  <si>
    <t>Miki M. Nam</t>
  </si>
  <si>
    <t>CEO of Sole Member of AGP</t>
  </si>
  <si>
    <t>Timothy Elliott</t>
  </si>
  <si>
    <t>1200 W. 7th Street, 8th Floor</t>
  </si>
  <si>
    <t>timothy.elliott@lacity.org</t>
  </si>
  <si>
    <t>350 S Figueroa St. (333 S Flower St.)</t>
  </si>
  <si>
    <t>5151-011-034</t>
  </si>
  <si>
    <t>40%/60% Average Income</t>
  </si>
  <si>
    <t>CA</t>
  </si>
  <si>
    <t>Garrett Lee</t>
  </si>
  <si>
    <t>garrett@jamisonservices.com</t>
  </si>
  <si>
    <t>6451 Box Springs Blvd.</t>
  </si>
  <si>
    <t>Kingdom BF LLC</t>
  </si>
  <si>
    <t>Sky Castle Partners II, LLC</t>
  </si>
  <si>
    <t xml:space="preserve">CA </t>
  </si>
  <si>
    <t>William Leach</t>
  </si>
  <si>
    <t>william@kingdomdevelopment.net</t>
  </si>
  <si>
    <t>Kingdom Development, Inc.</t>
  </si>
  <si>
    <t>Managing GP</t>
  </si>
  <si>
    <t>Administrative GP</t>
  </si>
  <si>
    <t>garrettlee@jamisonservices.com</t>
  </si>
  <si>
    <t>Gramercy Park Partners, Inc.</t>
  </si>
  <si>
    <t>Spada Development, LLC</t>
  </si>
  <si>
    <t>1329 Bonita Ave</t>
  </si>
  <si>
    <t>La Verne</t>
  </si>
  <si>
    <t>Mihkel Garcia</t>
  </si>
  <si>
    <t>mgarcia@spadadevelopment.com</t>
  </si>
  <si>
    <t>General Partner, Financial Consultant</t>
  </si>
  <si>
    <t>Arden Development, Inc.</t>
  </si>
  <si>
    <t>3470 Wilshire Blvd., Suite 700</t>
  </si>
  <si>
    <t>Los Angeles, CA 90010</t>
  </si>
  <si>
    <t>Rockefeller Partners Architects</t>
  </si>
  <si>
    <t>145 Standard St.</t>
  </si>
  <si>
    <t>El Segundo, CA 90245</t>
  </si>
  <si>
    <t>Chris Daubert</t>
  </si>
  <si>
    <t>Bocarsly Emden Cowan Esmail &amp; Arndt LLP</t>
  </si>
  <si>
    <t>633 W 5th Street, Suite 5880</t>
  </si>
  <si>
    <t>Los Angeles, CA 90071</t>
  </si>
  <si>
    <t>Kyle Arndt</t>
  </si>
  <si>
    <t>Wilshire Construction</t>
  </si>
  <si>
    <t>3470 Wilshire Blvd., Suite 500</t>
  </si>
  <si>
    <t>Novogradac &amp; Company LLP</t>
  </si>
  <si>
    <t>PO Box 7833</t>
  </si>
  <si>
    <t>San Francisco, CA 94120-7833</t>
  </si>
  <si>
    <t>Melissa Chung</t>
  </si>
  <si>
    <t>n/a</t>
  </si>
  <si>
    <t>Dat Ksor</t>
  </si>
  <si>
    <t>RBC Community Investments</t>
  </si>
  <si>
    <t>2061 Ashridge Way</t>
  </si>
  <si>
    <t>Granite Bay, CA 95746</t>
  </si>
  <si>
    <t>Stacie Altman</t>
  </si>
  <si>
    <t>Riverside, CA 92507</t>
  </si>
  <si>
    <t>6700 Antioch Rd., Suite 450</t>
  </si>
  <si>
    <t>Merriam, KS 66204</t>
  </si>
  <si>
    <t>Rebecca Arthur</t>
  </si>
  <si>
    <t>cd@rparchitects.la</t>
  </si>
  <si>
    <t>karndt@bocarsly.com</t>
  </si>
  <si>
    <t>melissa.chung@novoco.com</t>
  </si>
  <si>
    <t>stacie.altman@rbccm.com</t>
  </si>
  <si>
    <t>dat.ksor@novoco.com</t>
  </si>
  <si>
    <t>rebecca.arthur@novoco.com</t>
  </si>
  <si>
    <t>Kidder Matthews</t>
  </si>
  <si>
    <t>601 S. Figueroa St. Suite 2700</t>
  </si>
  <si>
    <t>Los Angeles, CA 90017</t>
  </si>
  <si>
    <t>Bill Drewes</t>
  </si>
  <si>
    <t>bill.drewes@kidder.com</t>
  </si>
  <si>
    <t>California Municipal Finance Authority</t>
  </si>
  <si>
    <t>2111 Palomar Airport Rd, Suite 320</t>
  </si>
  <si>
    <t>Carlsbad, CA 92011</t>
  </si>
  <si>
    <t>Anthony Stubbs</t>
  </si>
  <si>
    <t>astubbs@cmfa-ca.com</t>
  </si>
  <si>
    <t>Aperto Property Management, Inc.</t>
  </si>
  <si>
    <t>2 Venture, Suite 525</t>
  </si>
  <si>
    <t>Irvine, CA 92618</t>
  </si>
  <si>
    <t>Ed Quigley</t>
  </si>
  <si>
    <t>edquigley@apertopm.com</t>
  </si>
  <si>
    <t>Appraisal</t>
  </si>
  <si>
    <t>Commercial office building</t>
  </si>
  <si>
    <t>350 South Figueroa, LLC</t>
  </si>
  <si>
    <t>Phillip D. Lee</t>
  </si>
  <si>
    <t>Manager</t>
  </si>
  <si>
    <t>3470 Wilshire Blvd</t>
  </si>
  <si>
    <t>Other (Specify below)</t>
  </si>
  <si>
    <t xml:space="preserve">Adaptive re-use of an office building with concourse level and tower </t>
  </si>
  <si>
    <t>Regional Center Commercial</t>
  </si>
  <si>
    <t>HB5-GI-5; CX3-FA; PIO | C4-4D</t>
  </si>
  <si>
    <t>463 units</t>
  </si>
  <si>
    <t>No restrictions</t>
  </si>
  <si>
    <t>Citi Community Capital</t>
  </si>
  <si>
    <t>350 South Figueroa LLC</t>
  </si>
  <si>
    <t>Fixed</t>
  </si>
  <si>
    <t>300 South Grand Avenue, Suite 3110</t>
  </si>
  <si>
    <t>Hao Li</t>
  </si>
  <si>
    <t>3470 Wilshire Blvd.</t>
  </si>
  <si>
    <t>Jamie Lee</t>
  </si>
  <si>
    <t>9788 Wexford Circle</t>
  </si>
  <si>
    <t>Stacie Altmann</t>
  </si>
  <si>
    <t>AC</t>
  </si>
  <si>
    <t>HACLA</t>
  </si>
  <si>
    <t>CMFA Recycled Bonds</t>
  </si>
  <si>
    <t>Provided</t>
  </si>
  <si>
    <t>Not Applicable</t>
  </si>
  <si>
    <t>NA</t>
  </si>
  <si>
    <t>Fees</t>
  </si>
  <si>
    <t>Office supplies, postage, copier expenses</t>
  </si>
  <si>
    <t>payroll tax and benefits</t>
  </si>
  <si>
    <t>fire safety, supplies, HVAC, tools</t>
  </si>
  <si>
    <t>Bond Issuer Fees</t>
  </si>
  <si>
    <t>Above residual receipts line for cash flow</t>
  </si>
  <si>
    <t>(Tax-Exempt Recycled Bonds - CMFA)</t>
  </si>
  <si>
    <t>Other: (Deputy Inspection)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</si>
</sst>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16"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85" zoomScaleNormal="85"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90" zoomScaleNormal="90" workbookViewId="0">
      <selection activeCell="M15" sqref="M15"/>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9" t="s">
        <v>1586</v>
      </c>
      <c r="B1" s="2669"/>
      <c r="C1" s="2669"/>
      <c r="D1" s="2669"/>
      <c r="E1" s="2669"/>
      <c r="F1" s="2669"/>
      <c r="G1" s="2669"/>
      <c r="H1" s="2669"/>
      <c r="I1" s="2669"/>
      <c r="J1" s="2669"/>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69368838</v>
      </c>
      <c r="I3" s="1105"/>
    </row>
    <row r="4" spans="1:13" s="1051" customFormat="1" ht="20.100000000000001" customHeight="1">
      <c r="B4" s="1094"/>
      <c r="D4" s="1108"/>
      <c r="F4" s="1092" t="s">
        <v>1992</v>
      </c>
      <c r="G4" s="1091" t="s">
        <v>1991</v>
      </c>
      <c r="H4" s="1093">
        <f>I18</f>
        <v>20855735.415032681</v>
      </c>
      <c r="I4" s="1095"/>
      <c r="K4" s="1055"/>
    </row>
    <row r="5" spans="1:13" s="1051" customFormat="1" ht="20.100000000000001" customHeight="1" thickBot="1">
      <c r="B5" s="1096"/>
      <c r="C5" s="1097"/>
      <c r="D5" s="1109"/>
      <c r="E5" s="1098"/>
      <c r="F5" s="1109" t="s">
        <v>1942</v>
      </c>
      <c r="G5" s="1110"/>
      <c r="H5" s="1106">
        <f>IFERROR(H3/H4,0)</f>
        <v>3.3261276392104295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2" t="s">
        <v>1940</v>
      </c>
      <c r="C8" s="2673"/>
      <c r="D8" s="2673"/>
      <c r="E8" s="2674"/>
      <c r="G8" s="2649" t="s">
        <v>1941</v>
      </c>
      <c r="H8" s="2650"/>
      <c r="I8" s="2651"/>
      <c r="K8" s="1057"/>
    </row>
    <row r="9" spans="1:13" ht="15" customHeight="1">
      <c r="A9" s="1046"/>
      <c r="B9" s="2670" t="s">
        <v>1974</v>
      </c>
      <c r="C9" s="2670"/>
      <c r="D9" s="2670"/>
      <c r="E9" s="1059">
        <f>G33</f>
        <v>13747500</v>
      </c>
      <c r="G9" s="2662" t="s">
        <v>1972</v>
      </c>
      <c r="H9" s="2662"/>
      <c r="I9" s="1060">
        <f>SUMIF(Application!M554:M565,"Loan, Tax-Exempt",Application!AM554:AM565)</f>
        <v>24853880</v>
      </c>
      <c r="K9" s="1061"/>
      <c r="M9" s="1062"/>
    </row>
    <row r="10" spans="1:13" ht="15" customHeight="1" thickBot="1">
      <c r="A10" s="1046"/>
      <c r="B10" s="2670" t="s">
        <v>1975</v>
      </c>
      <c r="C10" s="2670"/>
      <c r="D10" s="2670"/>
      <c r="E10" s="1060">
        <f>G47</f>
        <v>24521688</v>
      </c>
      <c r="G10" s="2676" t="s">
        <v>1943</v>
      </c>
      <c r="H10" s="2676"/>
      <c r="I10" s="1140">
        <f>'Basis &amp; Credits'!AB78</f>
        <v>0</v>
      </c>
      <c r="M10" s="1062"/>
    </row>
    <row r="11" spans="1:13" ht="15" customHeight="1">
      <c r="A11" s="1046"/>
      <c r="B11" s="2663" t="s">
        <v>2263</v>
      </c>
      <c r="C11" s="2664"/>
      <c r="D11" s="2665"/>
      <c r="E11" s="1060">
        <f>SUM(E12,E13)</f>
        <v>1680000</v>
      </c>
      <c r="G11" s="2661" t="s">
        <v>1983</v>
      </c>
      <c r="H11" s="2661"/>
      <c r="I11" s="1139">
        <f>I9+I10</f>
        <v>24853880</v>
      </c>
      <c r="M11" s="1062"/>
    </row>
    <row r="12" spans="1:13" ht="15" customHeight="1">
      <c r="A12" s="1063"/>
      <c r="B12" s="2671" t="s">
        <v>2265</v>
      </c>
      <c r="C12" s="2671"/>
      <c r="D12" s="2671"/>
      <c r="E12" s="1165">
        <f>G56</f>
        <v>0</v>
      </c>
      <c r="M12" s="1062"/>
    </row>
    <row r="13" spans="1:13" ht="15" customHeight="1">
      <c r="A13" s="1049"/>
      <c r="B13" s="2671" t="s">
        <v>2266</v>
      </c>
      <c r="C13" s="2671"/>
      <c r="D13" s="2671"/>
      <c r="E13" s="1165">
        <f>G65</f>
        <v>1680000</v>
      </c>
      <c r="G13" s="2649" t="s">
        <v>2006</v>
      </c>
      <c r="H13" s="2650"/>
      <c r="I13" s="2651"/>
      <c r="M13" s="1062"/>
    </row>
    <row r="14" spans="1:13" ht="15" customHeight="1">
      <c r="A14" s="1049"/>
      <c r="B14" s="2663" t="s">
        <v>2264</v>
      </c>
      <c r="C14" s="2664"/>
      <c r="D14" s="2665"/>
      <c r="E14" s="1167">
        <f>MAX(E15,E16)+E17</f>
        <v>29419650</v>
      </c>
      <c r="G14" s="2662" t="s">
        <v>139</v>
      </c>
      <c r="H14" s="2662"/>
      <c r="I14" s="1064">
        <f>15%*(AND(G120="Yes",G122&lt;&gt;""))</f>
        <v>0</v>
      </c>
      <c r="M14" s="1062"/>
    </row>
    <row r="15" spans="1:13" ht="15" customHeight="1">
      <c r="A15" s="1049"/>
      <c r="B15" s="2646" t="s">
        <v>2270</v>
      </c>
      <c r="C15" s="2647"/>
      <c r="D15" s="2648"/>
      <c r="E15" s="1165">
        <f>G80</f>
        <v>8248500</v>
      </c>
      <c r="G15" s="1137" t="s">
        <v>1984</v>
      </c>
      <c r="H15" s="1137"/>
      <c r="I15" s="1064">
        <f>IF(Application!AJ1032&gt;0,10%,IF(Application!AJ1036&gt;0,5%,0))</f>
        <v>0.1</v>
      </c>
      <c r="M15" s="1062"/>
    </row>
    <row r="16" spans="1:13" ht="15" customHeight="1">
      <c r="A16" s="1049"/>
      <c r="B16" s="2646" t="s">
        <v>2269</v>
      </c>
      <c r="C16" s="2647"/>
      <c r="D16" s="2648"/>
      <c r="E16" s="1165">
        <f>G90</f>
        <v>0</v>
      </c>
      <c r="G16" s="2662" t="s">
        <v>1985</v>
      </c>
      <c r="H16" s="2662"/>
      <c r="I16" s="1064">
        <f>G132</f>
        <v>6.0866013071895424E-2</v>
      </c>
    </row>
    <row r="17" spans="1:21" ht="15" customHeight="1" thickBot="1">
      <c r="A17" s="1049"/>
      <c r="B17" s="2646" t="s">
        <v>2268</v>
      </c>
      <c r="C17" s="2647"/>
      <c r="D17" s="2648"/>
      <c r="E17" s="1165">
        <f>G115</f>
        <v>21171150</v>
      </c>
      <c r="G17" s="2662" t="s">
        <v>2278</v>
      </c>
      <c r="H17" s="2662"/>
      <c r="I17" s="1064">
        <f>IF(AND(G139="Yes",OR(G136,G137)),IF(G143&gt;15%,15%,G143),0)</f>
        <v>0</v>
      </c>
    </row>
    <row r="18" spans="1:21" ht="15" customHeight="1">
      <c r="A18" s="1046"/>
      <c r="B18" s="2675" t="s">
        <v>1939</v>
      </c>
      <c r="C18" s="2675"/>
      <c r="D18" s="2675"/>
      <c r="E18" s="1111">
        <f>SUM(E9:E11,E14)</f>
        <v>69368838</v>
      </c>
      <c r="G18" s="1138" t="s">
        <v>1973</v>
      </c>
      <c r="H18" s="1138"/>
      <c r="I18" s="1112">
        <f>I11-((I11*I14)+(I11*I15)+(I11*I16)+(I11*I17))</f>
        <v>20855735.415032681</v>
      </c>
      <c r="M18" s="1065">
        <f>SUM(Cdlac[Quantity])</f>
        <v>268</v>
      </c>
      <c r="O18" s="1084" t="s">
        <v>583</v>
      </c>
      <c r="P18" s="1044">
        <f>MATCH(Application!T189,Application!CB160:CB217,0)</f>
        <v>19</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40</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4</v>
      </c>
      <c r="N21" s="1071">
        <f>Application!AC719</f>
        <v>0.4</v>
      </c>
      <c r="O21" s="1071">
        <f>IF(Cdlac[[#This Row],[Quantity]]&gt;0,IF(Cdlac[[#This Row],[Federal]],30%,IF(AND(OR(NOT($G$38),$G$38=""),$G$43),40%,Cdlac[[#This Row],[iAMI]])),"")</f>
        <v>0.4</v>
      </c>
      <c r="P21" s="1065" cm="1">
        <f t="array" ref="P21">IF(Cdlac[[#This Row],[Quantity]]&gt;0,INDEX(TcacRents,$P$18,Cdlac[[#This Row],[Bedrooms]]+1)*Cdlac[[#This Row],[AMI]],"")</f>
        <v>1060</v>
      </c>
      <c r="Q21" s="1164"/>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796</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3" t="s">
        <v>1987</v>
      </c>
      <c r="D22" s="2653" t="s">
        <v>1988</v>
      </c>
      <c r="E22" s="2653" t="s">
        <v>1989</v>
      </c>
      <c r="F22" s="2653" t="s">
        <v>2609</v>
      </c>
      <c r="G22" s="2653" t="s">
        <v>1986</v>
      </c>
      <c r="H22" s="1070"/>
      <c r="I22" s="1069"/>
      <c r="L22" s="1044">
        <f>IFERROR(MIN(4,MATCH(Application!B720,UnitSizes,0)-1),"")</f>
        <v>0</v>
      </c>
      <c r="M22" s="1065">
        <f>Application!G720</f>
        <v>4</v>
      </c>
      <c r="N22" s="1071">
        <f>Application!AC720</f>
        <v>0.5</v>
      </c>
      <c r="O22" s="1071">
        <f>IF(Cdlac[[#This Row],[Quantity]]&gt;0,IF(Cdlac[[#This Row],[Federal]],30%,IF(AND(OR(NOT($G$38),$G$38=""),$G$43),40%,Cdlac[[#This Row],[iAMI]])),"")</f>
        <v>0.5</v>
      </c>
      <c r="P22" s="1065" cm="1">
        <f t="array" ref="P22">IF(Cdlac[[#This Row],[Quantity]]&gt;0,INDEX(TcacRents,$P$18,Cdlac[[#This Row],[Bedrooms]]+1)*Cdlac[[#This Row],[AMI]],"")</f>
        <v>1325</v>
      </c>
      <c r="Q22" s="1164"/>
      <c r="R22" s="1065" cm="1">
        <f t="array" ref="R22">IF(Cdlac[[#This Row],[Quantity]]&gt;0,INDEX(HudFmrs,$P$18,Cdlac[[#This Row],[Bedrooms]]+1),"")</f>
        <v>1856</v>
      </c>
      <c r="S22" s="1065">
        <f>IF(Cdlac[[#This Row],[Quantity]]&gt;0,MAX(0,Cdlac[[#This Row],[Fair Market Rent]]-IF(AND($G$37,$G$38,$G$38&lt;&gt;"",NOT(Cdlac[[#This Row],[Federal]]),Cdlac[[#This Row],[Preservation Rent]]&lt;&gt;""),Cdlac[[#This Row],[Preservation Rent]],Cdlac[[#This Row],[Restricted Rent]])),"")</f>
        <v>531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4"/>
      <c r="D23" s="2654"/>
      <c r="E23" s="2654"/>
      <c r="F23" s="2654"/>
      <c r="G23" s="2654"/>
      <c r="H23" s="1070"/>
      <c r="I23" s="1069"/>
      <c r="L23" s="1044">
        <f>IFERROR(MIN(4,MATCH(Application!B721,UnitSizes,0)-1),"")</f>
        <v>1</v>
      </c>
      <c r="M23" s="1065">
        <f>Application!G721</f>
        <v>39</v>
      </c>
      <c r="N23" s="1071">
        <f>Application!AC721</f>
        <v>0.3</v>
      </c>
      <c r="O23" s="1071">
        <f>IF(Cdlac[[#This Row],[Quantity]]&gt;0,IF(Cdlac[[#This Row],[Federal]],30%,IF(AND(OR(NOT($G$38),$G$38=""),$G$43),40%,Cdlac[[#This Row],[iAMI]])),"")</f>
        <v>0.3</v>
      </c>
      <c r="P23" s="1065" cm="1">
        <f t="array" ref="P23">IF(Cdlac[[#This Row],[Quantity]]&gt;0,INDEX(TcacRents,$P$18,Cdlac[[#This Row],[Bedrooms]]+1)*Cdlac[[#This Row],[AMI]],"")</f>
        <v>852</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1229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48</v>
      </c>
      <c r="F24" s="1072">
        <f>E24</f>
        <v>48</v>
      </c>
      <c r="G24" s="1072">
        <f>D24*F24</f>
        <v>43.2</v>
      </c>
      <c r="L24" s="1044">
        <f>IFERROR(MIN(4,MATCH(Application!B722,UnitSizes,0)-1),"")</f>
        <v>1</v>
      </c>
      <c r="M24" s="1065">
        <f>Application!G722</f>
        <v>35</v>
      </c>
      <c r="N24" s="1071">
        <f>Application!AC722</f>
        <v>0.5</v>
      </c>
      <c r="O24" s="1071">
        <f>IF(Cdlac[[#This Row],[Quantity]]&gt;0,IF(Cdlac[[#This Row],[Federal]],30%,IF(AND(OR(NOT($G$38),$G$38=""),$G$43),40%,Cdlac[[#This Row],[iAMI]])),"")</f>
        <v>0.5</v>
      </c>
      <c r="P24" s="1065" cm="1">
        <f t="array" ref="P24">IF(Cdlac[[#This Row],[Quantity]]&gt;0,INDEX(TcacRents,$P$18,Cdlac[[#This Row],[Bedrooms]]+1)*Cdlac[[#This Row],[AMI]],"")</f>
        <v>1420</v>
      </c>
      <c r="Q24" s="1164"/>
      <c r="R24" s="1065" cm="1">
        <f t="array" ref="R24">IF(Cdlac[[#This Row],[Quantity]]&gt;0,INDEX(HudFmrs,$P$18,Cdlac[[#This Row],[Bedrooms]]+1),"")</f>
        <v>2081</v>
      </c>
      <c r="S24" s="1065">
        <f>IF(Cdlac[[#This Row],[Quantity]]&gt;0,MAX(0,Cdlac[[#This Row],[Fair Market Rent]]-IF(AND($G$37,$G$38,$G$38&lt;&gt;"",NOT(Cdlac[[#This Row],[Federal]]),Cdlac[[#This Row],[Preservation Rent]]&lt;&gt;""),Cdlac[[#This Row],[Preservation Rent]],Cdlac[[#This Row],[Restricted Rent]])),"")</f>
        <v>661</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173</v>
      </c>
      <c r="F25" s="1072">
        <f>E25</f>
        <v>173</v>
      </c>
      <c r="G25" s="1072">
        <f>D25*F25</f>
        <v>173</v>
      </c>
      <c r="L25" s="1044">
        <f>IFERROR(MIN(4,MATCH(Application!B723,UnitSizes,0)-1),"")</f>
        <v>1</v>
      </c>
      <c r="M25" s="1065">
        <f>Application!G723</f>
        <v>17</v>
      </c>
      <c r="N25" s="1071">
        <f>Application!AC723</f>
        <v>0.6</v>
      </c>
      <c r="O25" s="1071">
        <f>IF(Cdlac[[#This Row],[Quantity]]&gt;0,IF(Cdlac[[#This Row],[Federal]],30%,IF(AND(OR(NOT($G$38),$G$38=""),$G$43),40%,Cdlac[[#This Row],[iAMI]])),"")</f>
        <v>0.6</v>
      </c>
      <c r="P25" s="1065" cm="1">
        <f t="array" ref="P25">IF(Cdlac[[#This Row],[Quantity]]&gt;0,INDEX(TcacRents,$P$18,Cdlac[[#This Row],[Bedrooms]]+1)*Cdlac[[#This Row],[AMI]],"")</f>
        <v>1704</v>
      </c>
      <c r="Q25" s="1164"/>
      <c r="R25" s="1065" cm="1">
        <f t="array" ref="R25">IF(Cdlac[[#This Row],[Quantity]]&gt;0,INDEX(HudFmrs,$P$18,Cdlac[[#This Row],[Bedrooms]]+1),"")</f>
        <v>2081</v>
      </c>
      <c r="S25" s="1065">
        <f>IF(Cdlac[[#This Row],[Quantity]]&gt;0,MAX(0,Cdlac[[#This Row],[Fair Market Rent]]-IF(AND($G$37,$G$38,$G$38&lt;&gt;"",NOT(Cdlac[[#This Row],[Federal]]),Cdlac[[#This Row],[Preservation Rent]]&lt;&gt;""),Cdlac[[#This Row],[Preservation Rent]],Cdlac[[#This Row],[Restricted Rent]])),"")</f>
        <v>377</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47</v>
      </c>
      <c r="F26" s="1075">
        <f>SUM(E26:E28)-SUM(F27:F28)</f>
        <v>47</v>
      </c>
      <c r="G26" s="1072">
        <f>D26*F26</f>
        <v>58.75</v>
      </c>
      <c r="H26" s="1074"/>
      <c r="I26" s="1074"/>
      <c r="L26" s="1044">
        <f>IFERROR(MIN(4,MATCH(Application!B724,UnitSizes,0)-1),"")</f>
        <v>1</v>
      </c>
      <c r="M26" s="1065">
        <f>Application!G724</f>
        <v>27</v>
      </c>
      <c r="N26" s="1071">
        <f>Application!AC724</f>
        <v>0.7</v>
      </c>
      <c r="O26" s="1071">
        <f>IF(Cdlac[[#This Row],[Quantity]]&gt;0,IF(Cdlac[[#This Row],[Federal]],30%,IF(AND(OR(NOT($G$38),$G$38=""),$G$43),40%,Cdlac[[#This Row],[iAMI]])),"")</f>
        <v>0.7</v>
      </c>
      <c r="P26" s="1065" cm="1">
        <f t="array" ref="P26">IF(Cdlac[[#This Row],[Quantity]]&gt;0,INDEX(TcacRents,$P$18,Cdlac[[#This Row],[Bedrooms]]+1)*Cdlac[[#This Row],[AMI]],"")</f>
        <v>1987.9999999999998</v>
      </c>
      <c r="Q26" s="1164"/>
      <c r="R26" s="1065" cm="1">
        <f t="array" ref="R26">IF(Cdlac[[#This Row],[Quantity]]&gt;0,INDEX(HudFmrs,$P$18,Cdlac[[#This Row],[Bedrooms]]+1),"")</f>
        <v>2081</v>
      </c>
      <c r="S26" s="1065">
        <f>IF(Cdlac[[#This Row],[Quantity]]&gt;0,MAX(0,Cdlac[[#This Row],[Fair Market Rent]]-IF(AND($G$37,$G$38,$G$38&lt;&gt;"",NOT(Cdlac[[#This Row],[Federal]]),Cdlac[[#This Row],[Preservation Rent]]&lt;&gt;""),Cdlac[[#This Row],[Preservation Rent]],Cdlac[[#This Row],[Restricted Rent]])),"")</f>
        <v>93.000000000000227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1</v>
      </c>
      <c r="M27" s="1065">
        <f>Application!G725</f>
        <v>55</v>
      </c>
      <c r="N27" s="1071">
        <f>Application!AC725</f>
        <v>0.8</v>
      </c>
      <c r="O27" s="1071">
        <f>IF(Cdlac[[#This Row],[Quantity]]&gt;0,IF(Cdlac[[#This Row],[Federal]],30%,IF(AND(OR(NOT($G$38),$G$38=""),$G$43),40%,Cdlac[[#This Row],[iAMI]])),"")</f>
        <v>0.8</v>
      </c>
      <c r="P27" s="1065" cm="1">
        <f t="array" ref="P27">IF(Cdlac[[#This Row],[Quantity]]&gt;0,INDEX(TcacRents,$P$18,Cdlac[[#This Row],[Bedrooms]]+1)*Cdlac[[#This Row],[AMI]],"")</f>
        <v>2272</v>
      </c>
      <c r="Q27" s="1164"/>
      <c r="R27" s="1065" cm="1">
        <f t="array" ref="R27">IF(Cdlac[[#This Row],[Quantity]]&gt;0,INDEX(HudFmrs,$P$18,Cdlac[[#This Row],[Bedrooms]]+1),"")</f>
        <v>2081</v>
      </c>
      <c r="S27" s="1065">
        <f>IF(Cdlac[[#This Row],[Quantity]]&gt;0,MAX(0,Cdlac[[#This Row],[Fair Market Rent]]-IF(AND($G$37,$G$38,$G$38&lt;&gt;"",NOT(Cdlac[[#This Row],[Federal]]),Cdlac[[#This Row],[Preservation Rent]]&lt;&gt;""),Cdlac[[#This Row],[Preservation Rent]],Cdlac[[#This Row],[Restricted Rent]])),"")</f>
        <v>0</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5</v>
      </c>
      <c r="N28" s="1071">
        <f>Application!AC726</f>
        <v>0.3</v>
      </c>
      <c r="O28" s="1071">
        <f>IF(Cdlac[[#This Row],[Quantity]]&gt;0,IF(Cdlac[[#This Row],[Federal]],30%,IF(AND(OR(NOT($G$38),$G$38=""),$G$43),40%,Cdlac[[#This Row],[iAMI]])),"")</f>
        <v>0.3</v>
      </c>
      <c r="P28" s="1065" cm="1">
        <f t="array" ref="P28">IF(Cdlac[[#This Row],[Quantity]]&gt;0,INDEX(TcacRents,$P$18,Cdlac[[#This Row],[Bedrooms]]+1)*Cdlac[[#This Row],[AMI]],"")</f>
        <v>1021.8</v>
      </c>
      <c r="Q28" s="1164"/>
      <c r="R28" s="1065" cm="1">
        <f t="array" ref="R28">IF(Cdlac[[#This Row],[Quantity]]&gt;0,INDEX(HudFmrs,$P$18,Cdlac[[#This Row],[Bedrooms]]+1),"")</f>
        <v>2625</v>
      </c>
      <c r="S28" s="1065">
        <f>IF(Cdlac[[#This Row],[Quantity]]&gt;0,MAX(0,Cdlac[[#This Row],[Fair Market Rent]]-IF(AND($G$37,$G$38,$G$38&lt;&gt;"",NOT(Cdlac[[#This Row],[Federal]]),Cdlac[[#This Row],[Preservation Rent]]&lt;&gt;""),Cdlac[[#This Row],[Preservation Rent]],Cdlac[[#This Row],[Restricted Rent]])),"")</f>
        <v>1603.2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5" t="s">
        <v>1587</v>
      </c>
      <c r="D29" s="2656"/>
      <c r="E29" s="1089">
        <f>SUM(E24:E28)</f>
        <v>268</v>
      </c>
      <c r="F29" s="1089">
        <f>SUM(F24:F28)</f>
        <v>268</v>
      </c>
      <c r="G29" s="1090">
        <f>SUMPRODUCT(D24:D28,F24:F28)</f>
        <v>274.95</v>
      </c>
      <c r="H29" s="1074"/>
      <c r="I29" s="1074"/>
      <c r="L29" s="1044">
        <f>IFERROR(MIN(4,MATCH(Application!B727,UnitSizes,0)-1),"")</f>
        <v>2</v>
      </c>
      <c r="M29" s="1065">
        <f>Application!G727</f>
        <v>2</v>
      </c>
      <c r="N29" s="1071">
        <f>Application!AC727</f>
        <v>0.7</v>
      </c>
      <c r="O29" s="1071">
        <f>IF(Cdlac[[#This Row],[Quantity]]&gt;0,IF(Cdlac[[#This Row],[Federal]],30%,IF(AND(OR(NOT($G$38),$G$38=""),$G$43),40%,Cdlac[[#This Row],[iAMI]])),"")</f>
        <v>0.7</v>
      </c>
      <c r="P29" s="1065" cm="1">
        <f t="array" ref="P29">IF(Cdlac[[#This Row],[Quantity]]&gt;0,INDEX(TcacRents,$P$18,Cdlac[[#This Row],[Bedrooms]]+1)*Cdlac[[#This Row],[AMI]],"")</f>
        <v>2384.1999999999998</v>
      </c>
      <c r="Q29" s="1164"/>
      <c r="R29" s="1065" cm="1">
        <f t="array" ref="R29">IF(Cdlac[[#This Row],[Quantity]]&gt;0,INDEX(HudFmrs,$P$18,Cdlac[[#This Row],[Bedrooms]]+1),"")</f>
        <v>2625</v>
      </c>
      <c r="S29" s="1065">
        <f>IF(Cdlac[[#This Row],[Quantity]]&gt;0,MAX(0,Cdlac[[#This Row],[Fair Market Rent]]-IF(AND($G$37,$G$38,$G$38&lt;&gt;"",NOT(Cdlac[[#This Row],[Federal]]),Cdlac[[#This Row],[Preservation Rent]]&lt;&gt;""),Cdlac[[#This Row],[Preservation Rent]],Cdlac[[#This Row],[Restricted Rent]])),"")</f>
        <v>240.80000000000018</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40</v>
      </c>
      <c r="N30" s="1071">
        <f>Application!AC728</f>
        <v>0.8</v>
      </c>
      <c r="O30" s="1071">
        <f>IF(Cdlac[[#This Row],[Quantity]]&gt;0,IF(Cdlac[[#This Row],[Federal]],30%,IF(AND(OR(NOT($G$38),$G$38=""),$G$43),40%,Cdlac[[#This Row],[iAMI]])),"")</f>
        <v>0.8</v>
      </c>
      <c r="P30" s="1065" cm="1">
        <f t="array" ref="P30">IF(Cdlac[[#This Row],[Quantity]]&gt;0,INDEX(TcacRents,$P$18,Cdlac[[#This Row],[Bedrooms]]+1)*Cdlac[[#This Row],[AMI]],"")</f>
        <v>2724.8</v>
      </c>
      <c r="Q30" s="1164"/>
      <c r="R30" s="1065" cm="1">
        <f t="array" ref="R30">IF(Cdlac[[#This Row],[Quantity]]&gt;0,INDEX(HudFmrs,$P$18,Cdlac[[#This Row],[Bedrooms]]+1),"")</f>
        <v>2625</v>
      </c>
      <c r="S30" s="1065">
        <f>IF(Cdlac[[#This Row],[Quantity]]&gt;0,MAX(0,Cdlac[[#This Row],[Fair Market Rent]]-IF(AND($G$37,$G$38,$G$38&lt;&gt;"",NOT(Cdlac[[#This Row],[Federal]]),Cdlac[[#This Row],[Preservation Rent]]&lt;&gt;""),Cdlac[[#This Row],[Preservation Rent]],Cdlac[[#This Row],[Restricted Rent]])),"")</f>
        <v>0</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274.95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13747500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8" t="str">
        <f>IF(AND(G37,G38,G38&lt;&gt;""),"Enter the average rent charged for each unit type over the last three years, as documented with rent rolls or property audits, in cells Q20:Q44","")</f>
        <v/>
      </c>
      <c r="D39" s="2658"/>
      <c r="E39" s="2658"/>
      <c r="F39" s="2658"/>
      <c r="G39" s="2658"/>
      <c r="H39" s="265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0.57014925373134329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136231.6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24521688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134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84</v>
      </c>
    </row>
    <row r="61" spans="2:21" ht="15" customHeight="1">
      <c r="E61" s="1117" t="s">
        <v>1995</v>
      </c>
      <c r="G61" s="1079">
        <f>ROUNDDOWN(E29*50%,0)</f>
        <v>134</v>
      </c>
    </row>
    <row r="62" spans="2:21" ht="15" customHeight="1">
      <c r="E62" s="1117"/>
      <c r="G62" s="1079"/>
    </row>
    <row r="63" spans="2:21" ht="15" customHeight="1">
      <c r="E63" s="1117" t="s">
        <v>1955</v>
      </c>
      <c r="G63" s="1114">
        <f>MIN(G60:G61)</f>
        <v>84</v>
      </c>
    </row>
    <row r="64" spans="2:21" ht="15" customHeight="1">
      <c r="E64" s="1117" t="s">
        <v>1945</v>
      </c>
      <c r="F64" s="1113" t="s">
        <v>1993</v>
      </c>
      <c r="G64" s="1124">
        <v>20000</v>
      </c>
    </row>
    <row r="65" spans="2:14" ht="15" customHeight="1">
      <c r="E65" s="1118" t="s">
        <v>1977</v>
      </c>
      <c r="F65" s="1046"/>
      <c r="G65" s="1123">
        <f>G63*G64</f>
        <v>1680000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No</v>
      </c>
    </row>
    <row r="71" spans="2:14" ht="15" customHeight="1" thickBot="1">
      <c r="C71" s="1077" t="s">
        <v>1968</v>
      </c>
      <c r="G71" s="1043" t="s">
        <v>670</v>
      </c>
    </row>
    <row r="72" spans="2:14" ht="15" customHeight="1">
      <c r="C72" s="1077" t="s">
        <v>1969</v>
      </c>
      <c r="G72" s="1044" t="str">
        <f>Application!T193</f>
        <v>Moderate Resource</v>
      </c>
      <c r="L72" s="2666" t="s">
        <v>1970</v>
      </c>
      <c r="M72" s="2667"/>
      <c r="N72" s="1131">
        <v>30000</v>
      </c>
    </row>
    <row r="73" spans="2:14" ht="15" customHeight="1">
      <c r="C73" s="2668" t="s">
        <v>2262</v>
      </c>
      <c r="D73" s="2668"/>
      <c r="E73" s="2668"/>
      <c r="F73" s="2668"/>
      <c r="G73" s="1043" t="s">
        <v>546</v>
      </c>
      <c r="L73" s="2677" t="s">
        <v>1938</v>
      </c>
      <c r="M73" s="2678"/>
      <c r="N73" s="1132">
        <v>20000</v>
      </c>
    </row>
    <row r="74" spans="2:14" ht="15" customHeight="1" thickBot="1">
      <c r="C74" s="2668"/>
      <c r="D74" s="2668"/>
      <c r="E74" s="2668"/>
      <c r="F74" s="2668"/>
      <c r="L74" s="2679" t="s">
        <v>1971</v>
      </c>
      <c r="M74" s="2680"/>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274.95</v>
      </c>
    </row>
    <row r="80" spans="2:14" ht="15" customHeight="1">
      <c r="D80" s="1046"/>
      <c r="E80" s="1118" t="s">
        <v>2267</v>
      </c>
      <c r="F80" s="1046"/>
      <c r="G80" s="1123">
        <f>G79*G78*G76</f>
        <v>8248500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274.95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274.95</v>
      </c>
    </row>
    <row r="97" spans="2:14" ht="15" customHeight="1">
      <c r="E97" s="1118" t="s">
        <v>1962</v>
      </c>
      <c r="F97" s="1046"/>
      <c r="G97" s="1123">
        <f>G94*G95*G96</f>
        <v>7698600</v>
      </c>
      <c r="L97" s="1127" t="str">
        <f>'Points System'!H638</f>
        <v>(i)</v>
      </c>
      <c r="M97" s="2685" t="s">
        <v>1406</v>
      </c>
      <c r="N97" s="2686"/>
    </row>
    <row r="98" spans="2:14" ht="15" customHeight="1">
      <c r="C98" s="1077"/>
      <c r="G98" s="1114"/>
      <c r="L98" s="1128" t="str">
        <f>'Points System'!H650</f>
        <v>(i)</v>
      </c>
      <c r="M98" s="2681" t="s">
        <v>1957</v>
      </c>
      <c r="N98" s="2682"/>
    </row>
    <row r="99" spans="2:14" ht="15" customHeight="1">
      <c r="E99" s="1084" t="s">
        <v>1998</v>
      </c>
      <c r="G99" s="1126">
        <f>COUNTIFS(L97:L104,"(i)")</f>
        <v>6</v>
      </c>
      <c r="L99" s="1128" t="str">
        <f>'Points System'!H685</f>
        <v>(i)</v>
      </c>
      <c r="M99" s="2681" t="s">
        <v>1958</v>
      </c>
      <c r="N99" s="2682"/>
    </row>
    <row r="100" spans="2:14" ht="15" customHeight="1">
      <c r="E100" s="1084" t="s">
        <v>1945</v>
      </c>
      <c r="F100" s="1113" t="s">
        <v>1993</v>
      </c>
      <c r="G100" s="1124">
        <v>4000</v>
      </c>
      <c r="L100" s="1128" t="str">
        <f>IF(OR('Points System'!H709="(ii)",'Points System'!H709="(i)"),"(i)","N/A")</f>
        <v>(i)</v>
      </c>
      <c r="M100" s="2681" t="s">
        <v>1959</v>
      </c>
      <c r="N100" s="2682"/>
    </row>
    <row r="101" spans="2:14" ht="15" customHeight="1">
      <c r="E101" s="1118" t="s">
        <v>1963</v>
      </c>
      <c r="F101" s="1046"/>
      <c r="G101" s="1123">
        <f>G96*G99*G100</f>
        <v>6598799.9999999991</v>
      </c>
      <c r="L101" s="1129" t="str">
        <f>'Points System'!H723</f>
        <v>N/A</v>
      </c>
      <c r="M101" s="2681" t="s">
        <v>1432</v>
      </c>
      <c r="N101" s="2682"/>
    </row>
    <row r="102" spans="2:14" ht="15" customHeight="1">
      <c r="L102" s="1128" t="str">
        <f>'Points System'!H735</f>
        <v>N/A</v>
      </c>
      <c r="M102" s="2681" t="s">
        <v>1960</v>
      </c>
      <c r="N102" s="2682"/>
    </row>
    <row r="103" spans="2:14" ht="15" customHeight="1">
      <c r="C103" s="1080" t="s">
        <v>1965</v>
      </c>
      <c r="L103" s="1128" t="str">
        <f>'Points System'!H751</f>
        <v>(i)</v>
      </c>
      <c r="M103" s="2681" t="s">
        <v>1961</v>
      </c>
      <c r="N103" s="2682"/>
    </row>
    <row r="104" spans="2:14" ht="15" customHeight="1" thickBot="1">
      <c r="C104" s="1077" t="s">
        <v>1966</v>
      </c>
      <c r="G104" s="1043"/>
      <c r="L104" s="1130" t="str">
        <f>'Points System'!H763</f>
        <v>(i)</v>
      </c>
      <c r="M104" s="2683" t="s">
        <v>1435</v>
      </c>
      <c r="N104" s="2684"/>
    </row>
    <row r="105" spans="2:14" ht="15" customHeight="1">
      <c r="C105" s="1077" t="s">
        <v>1967</v>
      </c>
      <c r="G105" s="1043"/>
    </row>
    <row r="106" spans="2:14" ht="15" customHeight="1">
      <c r="C106" s="1077" t="s">
        <v>2140</v>
      </c>
      <c r="G106" s="1043" t="s">
        <v>546</v>
      </c>
    </row>
    <row r="107" spans="2:14" ht="15" customHeight="1">
      <c r="C107" s="1077" t="s">
        <v>2141</v>
      </c>
      <c r="G107" s="1043" t="s">
        <v>546</v>
      </c>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274.95</v>
      </c>
    </row>
    <row r="112" spans="2:14" ht="15" customHeight="1">
      <c r="E112" s="1084" t="s">
        <v>1945</v>
      </c>
      <c r="F112" s="1113" t="s">
        <v>1993</v>
      </c>
      <c r="G112" s="1124">
        <v>25000</v>
      </c>
    </row>
    <row r="113" spans="2:9" ht="15" customHeight="1">
      <c r="E113" s="1118" t="s">
        <v>1964</v>
      </c>
      <c r="F113" s="1046"/>
      <c r="G113" s="1123">
        <f>G109*G112*G96</f>
        <v>6873750</v>
      </c>
    </row>
    <row r="114" spans="2:9" ht="15" customHeight="1">
      <c r="C114" s="1077"/>
      <c r="E114" s="1077"/>
    </row>
    <row r="115" spans="2:9" ht="15" customHeight="1">
      <c r="E115" s="1118" t="s">
        <v>2272</v>
      </c>
      <c r="G115" s="1123">
        <f>G113+G101+G97</f>
        <v>21171150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7" t="s">
        <v>2227</v>
      </c>
      <c r="D119" s="2657"/>
      <c r="E119" s="2657"/>
      <c r="F119" s="2657"/>
    </row>
    <row r="120" spans="2:9" ht="15" customHeight="1">
      <c r="C120" s="2657"/>
      <c r="D120" s="2657"/>
      <c r="E120" s="2657"/>
      <c r="F120" s="2657"/>
      <c r="G120" s="1043"/>
    </row>
    <row r="121" spans="2:9" ht="15" customHeight="1"/>
    <row r="122" spans="2:9" ht="15" customHeight="1">
      <c r="C122" s="1044" t="s">
        <v>2229</v>
      </c>
      <c r="G122" s="2659"/>
      <c r="H122" s="2659"/>
    </row>
    <row r="123" spans="2:9" ht="15" customHeight="1">
      <c r="G123" s="2659"/>
      <c r="H123" s="2659"/>
    </row>
    <row r="124" spans="2:9" ht="15" customHeight="1">
      <c r="G124" s="2660"/>
      <c r="H124" s="2660"/>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ht="15">
      <c r="D132" s="1046"/>
      <c r="E132" s="1118" t="s">
        <v>2003</v>
      </c>
      <c r="F132" s="1134"/>
      <c r="G132" s="1135">
        <f>((G130-G131)/G131)*0.25</f>
        <v>6.0866013071895424E-2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2" t="s">
        <v>2275</v>
      </c>
      <c r="D138" s="2652"/>
      <c r="E138" s="2652"/>
      <c r="F138" s="2652"/>
    </row>
    <row r="139" spans="2:9">
      <c r="B139" s="1045"/>
      <c r="C139" s="2652"/>
      <c r="D139" s="2652"/>
      <c r="E139" s="2652"/>
      <c r="F139" s="2652"/>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3728082</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7" t="s">
        <v>910</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40</v>
      </c>
      <c r="C4" s="1162"/>
      <c r="D4" s="428">
        <f>Application!O718</f>
        <v>764</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4</v>
      </c>
      <c r="C5" s="1162"/>
      <c r="D5" s="428">
        <f>Application!O719</f>
        <v>1029</v>
      </c>
      <c r="E5" s="429"/>
      <c r="F5" s="1083"/>
      <c r="G5" s="428">
        <f t="shared" ref="G5:G38" si="2">F5*B5</f>
        <v>0</v>
      </c>
      <c r="H5" s="429"/>
      <c r="I5" s="428" t="str">
        <f t="shared" si="0"/>
        <v/>
      </c>
      <c r="J5" s="428" t="str">
        <f t="shared" si="1"/>
        <v/>
      </c>
      <c r="K5" s="204"/>
      <c r="L5" s="305"/>
    </row>
    <row r="6" spans="1:12">
      <c r="A6" s="428" t="str">
        <f>Application!B720</f>
        <v>SRO/Studio</v>
      </c>
      <c r="B6" s="1082">
        <f>Application!G720</f>
        <v>4</v>
      </c>
      <c r="C6" s="1162"/>
      <c r="D6" s="428">
        <f>Application!O720</f>
        <v>1294</v>
      </c>
      <c r="E6" s="429"/>
      <c r="F6" s="1083"/>
      <c r="G6" s="428">
        <f t="shared" si="2"/>
        <v>0</v>
      </c>
      <c r="H6" s="429"/>
      <c r="I6" s="428" t="str">
        <f t="shared" si="0"/>
        <v/>
      </c>
      <c r="J6" s="428" t="str">
        <f t="shared" si="1"/>
        <v/>
      </c>
      <c r="K6" s="204"/>
      <c r="L6" s="305"/>
    </row>
    <row r="7" spans="1:12">
      <c r="A7" s="428" t="str">
        <f>Application!B721</f>
        <v>1 Bedroom</v>
      </c>
      <c r="B7" s="1082">
        <f>Application!G721</f>
        <v>39</v>
      </c>
      <c r="C7" s="1162"/>
      <c r="D7" s="428">
        <f>Application!O721</f>
        <v>809</v>
      </c>
      <c r="E7" s="429"/>
      <c r="F7" s="1083"/>
      <c r="G7" s="428">
        <f t="shared" si="2"/>
        <v>0</v>
      </c>
      <c r="H7" s="429"/>
      <c r="I7" s="428" t="str">
        <f t="shared" si="0"/>
        <v/>
      </c>
      <c r="J7" s="428" t="str">
        <f t="shared" si="1"/>
        <v/>
      </c>
      <c r="K7" s="204"/>
      <c r="L7" s="305"/>
    </row>
    <row r="8" spans="1:12">
      <c r="A8" s="428" t="str">
        <f>Application!B722</f>
        <v>1 Bedroom</v>
      </c>
      <c r="B8" s="1082">
        <f>Application!G722</f>
        <v>35</v>
      </c>
      <c r="C8" s="1162"/>
      <c r="D8" s="428">
        <f>Application!O722</f>
        <v>1377</v>
      </c>
      <c r="E8" s="429"/>
      <c r="F8" s="1083"/>
      <c r="G8" s="428">
        <f t="shared" si="2"/>
        <v>0</v>
      </c>
      <c r="H8" s="429"/>
      <c r="I8" s="428" t="str">
        <f t="shared" si="0"/>
        <v/>
      </c>
      <c r="J8" s="428" t="str">
        <f t="shared" si="1"/>
        <v/>
      </c>
      <c r="K8" s="204"/>
      <c r="L8" s="305"/>
    </row>
    <row r="9" spans="1:12">
      <c r="A9" s="428" t="str">
        <f>Application!B723</f>
        <v>1 Bedroom</v>
      </c>
      <c r="B9" s="1082">
        <f>Application!G723</f>
        <v>17</v>
      </c>
      <c r="C9" s="1162"/>
      <c r="D9" s="428">
        <f>Application!O723</f>
        <v>1661</v>
      </c>
      <c r="E9" s="429"/>
      <c r="F9" s="1083"/>
      <c r="G9" s="428">
        <f t="shared" si="2"/>
        <v>0</v>
      </c>
      <c r="H9" s="429"/>
      <c r="I9" s="428" t="str">
        <f t="shared" si="0"/>
        <v/>
      </c>
      <c r="J9" s="428" t="str">
        <f t="shared" si="1"/>
        <v/>
      </c>
      <c r="K9" s="204"/>
      <c r="L9" s="305"/>
    </row>
    <row r="10" spans="1:12">
      <c r="A10" s="428" t="str">
        <f>Application!B724</f>
        <v>1 Bedroom</v>
      </c>
      <c r="B10" s="1082">
        <f>Application!G724</f>
        <v>27</v>
      </c>
      <c r="C10" s="1162"/>
      <c r="D10" s="428">
        <f>Application!O724</f>
        <v>1945</v>
      </c>
      <c r="E10" s="429"/>
      <c r="F10" s="1083"/>
      <c r="G10" s="428">
        <f t="shared" si="2"/>
        <v>0</v>
      </c>
      <c r="H10" s="429"/>
      <c r="I10" s="428" t="str">
        <f t="shared" si="0"/>
        <v/>
      </c>
      <c r="J10" s="428" t="str">
        <f t="shared" si="1"/>
        <v/>
      </c>
      <c r="K10" s="204"/>
      <c r="L10" s="305"/>
    </row>
    <row r="11" spans="1:12">
      <c r="A11" s="428" t="str">
        <f>Application!B725</f>
        <v>1 Bedroom</v>
      </c>
      <c r="B11" s="1082">
        <f>Application!G725</f>
        <v>55</v>
      </c>
      <c r="C11" s="1162"/>
      <c r="D11" s="428">
        <f>Application!O725</f>
        <v>2229</v>
      </c>
      <c r="E11" s="429"/>
      <c r="F11" s="1083"/>
      <c r="G11" s="428">
        <f t="shared" si="2"/>
        <v>0</v>
      </c>
      <c r="H11" s="429"/>
      <c r="I11" s="428" t="str">
        <f t="shared" si="0"/>
        <v/>
      </c>
      <c r="J11" s="428" t="str">
        <f t="shared" si="1"/>
        <v/>
      </c>
      <c r="K11" s="204"/>
      <c r="L11" s="305"/>
    </row>
    <row r="12" spans="1:12">
      <c r="A12" s="428" t="str">
        <f>Application!B726</f>
        <v>2 Bedrooms</v>
      </c>
      <c r="B12" s="1082">
        <f>Application!G726</f>
        <v>5</v>
      </c>
      <c r="C12" s="1162"/>
      <c r="D12" s="428">
        <f>Application!O726</f>
        <v>965.8</v>
      </c>
      <c r="E12" s="429"/>
      <c r="F12" s="1083"/>
      <c r="G12" s="428">
        <f t="shared" si="2"/>
        <v>0</v>
      </c>
      <c r="H12" s="429"/>
      <c r="I12" s="428" t="str">
        <f t="shared" si="0"/>
        <v/>
      </c>
      <c r="J12" s="428" t="str">
        <f t="shared" si="1"/>
        <v/>
      </c>
      <c r="K12" s="204"/>
      <c r="L12" s="305"/>
    </row>
    <row r="13" spans="1:12">
      <c r="A13" s="428" t="str">
        <f>Application!B727</f>
        <v>2 Bedrooms</v>
      </c>
      <c r="B13" s="1082">
        <f>Application!G727</f>
        <v>2</v>
      </c>
      <c r="C13" s="1162"/>
      <c r="D13" s="428">
        <f>Application!O727</f>
        <v>2328.5</v>
      </c>
      <c r="E13" s="429"/>
      <c r="F13" s="1083"/>
      <c r="G13" s="428">
        <f t="shared" si="2"/>
        <v>0</v>
      </c>
      <c r="H13" s="429"/>
      <c r="I13" s="428" t="str">
        <f t="shared" si="0"/>
        <v/>
      </c>
      <c r="J13" s="428" t="str">
        <f t="shared" si="1"/>
        <v/>
      </c>
      <c r="K13" s="204"/>
      <c r="L13" s="305"/>
    </row>
    <row r="14" spans="1:12">
      <c r="A14" s="428" t="str">
        <f>Application!B728</f>
        <v>2 Bedrooms</v>
      </c>
      <c r="B14" s="1082">
        <f>Application!G728</f>
        <v>40</v>
      </c>
      <c r="C14" s="1162"/>
      <c r="D14" s="428">
        <f>Application!O728</f>
        <v>2669.5</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439211</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88" t="s">
        <v>2496</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2258</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5" zoomScaleNormal="85" workbookViewId="0">
      <selection activeCell="E25" sqref="E25"/>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5366666.4000000004</v>
      </c>
      <c r="G4" s="219">
        <f>E4*$C$4</f>
        <v>5500833.0599999996</v>
      </c>
      <c r="I4" s="219">
        <f>G4*$C$4</f>
        <v>5638353.8864999991</v>
      </c>
      <c r="K4" s="219">
        <f>I4*$C$4</f>
        <v>5779312.7336624982</v>
      </c>
      <c r="M4" s="219">
        <f>K4*$C$4</f>
        <v>5923795.5520040598</v>
      </c>
      <c r="O4" s="219">
        <f>M4*$C$4</f>
        <v>6071890.4408041611</v>
      </c>
      <c r="Q4" s="219">
        <f>O4*$C$4</f>
        <v>6223687.7018242646</v>
      </c>
      <c r="S4" s="219">
        <f>Q4*$C$4</f>
        <v>6379279.8943698704</v>
      </c>
      <c r="U4" s="219">
        <f>S4*$C$4</f>
        <v>6538761.8917291164</v>
      </c>
      <c r="W4" s="219">
        <f>U4*$C$4</f>
        <v>6702230.9390223436</v>
      </c>
      <c r="Y4" s="219">
        <f>W4*$C$4</f>
        <v>6869786.7124979012</v>
      </c>
      <c r="AA4" s="219">
        <f>Y4*$C$4</f>
        <v>7041531.3803103482</v>
      </c>
      <c r="AC4" s="219">
        <f>AA4*$C$4</f>
        <v>7217569.6648181062</v>
      </c>
      <c r="AE4" s="219">
        <f>AC4*$C$4</f>
        <v>7398008.9064385584</v>
      </c>
      <c r="AG4" s="219">
        <f>AE4*$C$4</f>
        <v>7582959.1290995218</v>
      </c>
    </row>
    <row r="5" spans="1:34" s="210" customFormat="1" ht="14.25">
      <c r="B5" s="210" t="s">
        <v>839</v>
      </c>
      <c r="C5" s="238">
        <f>IF(Application!$D$211="Special Needs",(((0.1*Application!$T$212)+(0.05*(1-Application!$T$212)))),0.05)</f>
        <v>0.05</v>
      </c>
      <c r="E5" s="221">
        <f>-E4*$C$5</f>
        <v>-268333.32</v>
      </c>
      <c r="F5" s="221"/>
      <c r="G5" s="221">
        <f>-G4*$C$5</f>
        <v>-275041.65299999999</v>
      </c>
      <c r="H5" s="221"/>
      <c r="I5" s="221">
        <f>-I4*$C$5</f>
        <v>-281917.69432499999</v>
      </c>
      <c r="J5" s="221"/>
      <c r="K5" s="221">
        <f>-K4*$C$5</f>
        <v>-288965.63668312493</v>
      </c>
      <c r="L5" s="221"/>
      <c r="M5" s="221">
        <f>-M4*$C$5</f>
        <v>-296189.777600203</v>
      </c>
      <c r="N5" s="221"/>
      <c r="O5" s="221">
        <f>-O4*$C$5</f>
        <v>-303594.52204020804</v>
      </c>
      <c r="P5" s="221"/>
      <c r="Q5" s="221">
        <f>-Q4*$C$5</f>
        <v>-311184.38509121322</v>
      </c>
      <c r="R5" s="221"/>
      <c r="S5" s="221">
        <f>-S4*$C$5</f>
        <v>-318963.99471849354</v>
      </c>
      <c r="T5" s="221"/>
      <c r="U5" s="221">
        <f>-U4*$C$5</f>
        <v>-326938.09458645585</v>
      </c>
      <c r="V5" s="221"/>
      <c r="W5" s="221">
        <f>-W4*$C$5</f>
        <v>-335111.54695111723</v>
      </c>
      <c r="X5" s="221"/>
      <c r="Y5" s="221">
        <f>-Y4*$C$5</f>
        <v>-343489.33562489506</v>
      </c>
      <c r="Z5" s="221"/>
      <c r="AA5" s="221">
        <f>-AA4*$C$5</f>
        <v>-352076.56901551742</v>
      </c>
      <c r="AB5" s="221"/>
      <c r="AC5" s="221">
        <f>-AC4*$C$5</f>
        <v>-360878.48324090533</v>
      </c>
      <c r="AD5" s="221"/>
      <c r="AE5" s="221">
        <f>-AE4*$C$5</f>
        <v>-369900.44532192795</v>
      </c>
      <c r="AF5" s="221"/>
      <c r="AG5" s="221">
        <f>-AG4*$C$5</f>
        <v>-379147.95645497611</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271000</v>
      </c>
      <c r="F8" s="222"/>
      <c r="G8" s="222">
        <f>E8*$C$8</f>
        <v>277775</v>
      </c>
      <c r="H8" s="222"/>
      <c r="I8" s="222">
        <f>G8*$C$8</f>
        <v>284719.375</v>
      </c>
      <c r="J8" s="222"/>
      <c r="K8" s="222">
        <f>I8*$C$8</f>
        <v>291837.359375</v>
      </c>
      <c r="L8" s="222"/>
      <c r="M8" s="222">
        <f>K8*$C$8</f>
        <v>299133.29335937498</v>
      </c>
      <c r="N8" s="222"/>
      <c r="O8" s="222">
        <f>M8*$C$8</f>
        <v>306611.6256933593</v>
      </c>
      <c r="P8" s="222"/>
      <c r="Q8" s="222">
        <f>O8*$C$8</f>
        <v>314276.91633569327</v>
      </c>
      <c r="R8" s="222"/>
      <c r="S8" s="222">
        <f>Q8*$C$8</f>
        <v>322133.8392440856</v>
      </c>
      <c r="T8" s="222"/>
      <c r="U8" s="222">
        <f>S8*$C$8</f>
        <v>330187.18522518768</v>
      </c>
      <c r="V8" s="222"/>
      <c r="W8" s="222">
        <f>U8*$C$8</f>
        <v>338441.86485581734</v>
      </c>
      <c r="X8" s="222"/>
      <c r="Y8" s="222">
        <f>W8*$C$8</f>
        <v>346902.91147721274</v>
      </c>
      <c r="Z8" s="222"/>
      <c r="AA8" s="222">
        <f>Y8*$C$8</f>
        <v>355575.48426414304</v>
      </c>
      <c r="AB8" s="222"/>
      <c r="AC8" s="222">
        <f>AA8*$C$8</f>
        <v>364464.87137074658</v>
      </c>
      <c r="AD8" s="222"/>
      <c r="AE8" s="222">
        <f>AC8*$C$8</f>
        <v>373576.49315501523</v>
      </c>
      <c r="AF8" s="222"/>
      <c r="AG8" s="222">
        <f>AE8*$C$8</f>
        <v>382915.90548389056</v>
      </c>
    </row>
    <row r="9" spans="1:34" s="210" customFormat="1" ht="14.25">
      <c r="B9" s="210" t="s">
        <v>839</v>
      </c>
      <c r="C9" s="238">
        <f>IF(Application!$D$211="Special Needs",(((0.1*Application!$T$212)+(0.05*(1-Application!$T$212)))),0.05)</f>
        <v>0.05</v>
      </c>
      <c r="E9" s="221">
        <f>-E8*$C$9</f>
        <v>-13550</v>
      </c>
      <c r="F9" s="221"/>
      <c r="G9" s="221">
        <f>-G8*$C$9</f>
        <v>-13888.75</v>
      </c>
      <c r="H9" s="221"/>
      <c r="I9" s="221">
        <f>-I8*$C$9</f>
        <v>-14235.96875</v>
      </c>
      <c r="J9" s="221"/>
      <c r="K9" s="221">
        <f>-K8*$C$9</f>
        <v>-14591.867968750001</v>
      </c>
      <c r="L9" s="221"/>
      <c r="M9" s="221">
        <f>-M8*$C$9</f>
        <v>-14956.664667968749</v>
      </c>
      <c r="N9" s="221"/>
      <c r="O9" s="221">
        <f>-O8*$C$9</f>
        <v>-15330.581284667966</v>
      </c>
      <c r="P9" s="221"/>
      <c r="Q9" s="221">
        <f>-Q8*$C$9</f>
        <v>-15713.845816784664</v>
      </c>
      <c r="R9" s="221"/>
      <c r="S9" s="221">
        <f>-S8*$C$9</f>
        <v>-16106.691962204281</v>
      </c>
      <c r="T9" s="221"/>
      <c r="U9" s="221">
        <f>-U8*$C$9</f>
        <v>-16509.359261259386</v>
      </c>
      <c r="V9" s="221"/>
      <c r="W9" s="221">
        <f>-W8*$C$9</f>
        <v>-16922.093242790866</v>
      </c>
      <c r="X9" s="221"/>
      <c r="Y9" s="221">
        <f>-Y8*$C$9</f>
        <v>-17345.145573860638</v>
      </c>
      <c r="Z9" s="221"/>
      <c r="AA9" s="221">
        <f>-AA8*$C$9</f>
        <v>-17778.774213207154</v>
      </c>
      <c r="AB9" s="221"/>
      <c r="AC9" s="221">
        <f>-AC8*$C$9</f>
        <v>-18223.243568537331</v>
      </c>
      <c r="AD9" s="221"/>
      <c r="AE9" s="221">
        <f>-AE8*$C$9</f>
        <v>-18678.824657750763</v>
      </c>
      <c r="AF9" s="221"/>
      <c r="AG9" s="221">
        <f>-AG8*$C$9</f>
        <v>-19145.79527419453</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5355783.08</v>
      </c>
      <c r="G11" s="223">
        <f>SUM(G4:G10)</f>
        <v>5489677.6569999997</v>
      </c>
      <c r="I11" s="223">
        <f>SUM(I4:I10)</f>
        <v>5626919.598424999</v>
      </c>
      <c r="K11" s="223">
        <f>SUM(K4:K10)</f>
        <v>5767592.5883856229</v>
      </c>
      <c r="M11" s="223">
        <f>SUM(M4:M10)</f>
        <v>5911782.4030952631</v>
      </c>
      <c r="O11" s="223">
        <f>SUM(O4:O10)</f>
        <v>6059576.9631726444</v>
      </c>
      <c r="Q11" s="223">
        <f>SUM(Q4:Q10)</f>
        <v>6211066.3872519601</v>
      </c>
      <c r="S11" s="223">
        <f>SUM(S4:S10)</f>
        <v>6366343.046933258</v>
      </c>
      <c r="U11" s="223">
        <f>SUM(U4:U10)</f>
        <v>6525501.6231065886</v>
      </c>
      <c r="W11" s="223">
        <f>SUM(W4:W10)</f>
        <v>6688639.1636842536</v>
      </c>
      <c r="Y11" s="223">
        <f>SUM(Y4:Y10)</f>
        <v>6855855.1427763579</v>
      </c>
      <c r="AA11" s="223">
        <f>SUM(AA4:AA10)</f>
        <v>7027251.5213457663</v>
      </c>
      <c r="AC11" s="223">
        <f>SUM(AC4:AC10)</f>
        <v>7202932.80937941</v>
      </c>
      <c r="AE11" s="223">
        <f>SUM(AE4:AE10)</f>
        <v>7383006.1296138959</v>
      </c>
      <c r="AG11" s="223">
        <f>SUM(AG4:AG10)</f>
        <v>7567581.2828542413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249915</v>
      </c>
      <c r="G15" s="219">
        <f>E15*$C$14</f>
        <v>258662.02499999999</v>
      </c>
      <c r="I15" s="219">
        <f>G15*$C$14</f>
        <v>267715.19587499998</v>
      </c>
      <c r="K15" s="219">
        <f>I15*$C$14</f>
        <v>277085.22773062496</v>
      </c>
      <c r="M15" s="219">
        <f>K15*$C$14</f>
        <v>286783.2107011968</v>
      </c>
      <c r="O15" s="219">
        <f>M15*$C$14</f>
        <v>296820.62307573867</v>
      </c>
      <c r="Q15" s="219">
        <f>O15*$C$14</f>
        <v>307209.34488338948</v>
      </c>
      <c r="S15" s="219">
        <f>Q15*$C$14</f>
        <v>317961.67195430811</v>
      </c>
      <c r="U15" s="219">
        <f>S15*$C$14</f>
        <v>329090.33047270885</v>
      </c>
      <c r="W15" s="219">
        <f>U15*$C$14</f>
        <v>340608.49203925364</v>
      </c>
      <c r="Y15" s="219">
        <f>W15*$C$14</f>
        <v>352529.78926062747</v>
      </c>
      <c r="AA15" s="219">
        <f>Y15*$C$14</f>
        <v>364868.33188474941</v>
      </c>
      <c r="AC15" s="219">
        <f>AA15*$C$14</f>
        <v>377638.72350071563</v>
      </c>
      <c r="AE15" s="219">
        <f>AC15*$C$14</f>
        <v>390856.07882324065</v>
      </c>
      <c r="AG15" s="219">
        <f>AE15*$C$14</f>
        <v>404536.04158205405</v>
      </c>
    </row>
    <row r="16" spans="1:34" s="210" customFormat="1" ht="14.25">
      <c r="A16" s="210" t="s">
        <v>344</v>
      </c>
      <c r="C16" s="233"/>
      <c r="E16" s="222">
        <f>Application!W849</f>
        <v>232033</v>
      </c>
      <c r="F16" s="222"/>
      <c r="G16" s="222">
        <f t="shared" ref="G16:AG21" si="0">E16*$C$14</f>
        <v>240154.15499999997</v>
      </c>
      <c r="H16" s="222"/>
      <c r="I16" s="222">
        <f t="shared" si="0"/>
        <v>248559.55042499994</v>
      </c>
      <c r="J16" s="222"/>
      <c r="K16" s="222">
        <f t="shared" si="0"/>
        <v>257259.13468987492</v>
      </c>
      <c r="L16" s="222"/>
      <c r="M16" s="222">
        <f t="shared" si="0"/>
        <v>266263.20440402051</v>
      </c>
      <c r="N16" s="222"/>
      <c r="O16" s="222">
        <f t="shared" si="0"/>
        <v>275582.4165581612</v>
      </c>
      <c r="P16" s="222"/>
      <c r="Q16" s="222">
        <f t="shared" si="0"/>
        <v>285227.80113769684</v>
      </c>
      <c r="R16" s="222"/>
      <c r="S16" s="222">
        <f t="shared" si="0"/>
        <v>295210.77417751623</v>
      </c>
      <c r="T16" s="222"/>
      <c r="U16" s="222">
        <f t="shared" si="0"/>
        <v>305543.15127372928</v>
      </c>
      <c r="V16" s="222"/>
      <c r="W16" s="222">
        <f t="shared" si="0"/>
        <v>316237.16156830976</v>
      </c>
      <c r="X16" s="222"/>
      <c r="Y16" s="222">
        <f t="shared" si="0"/>
        <v>327305.46222320059</v>
      </c>
      <c r="Z16" s="222"/>
      <c r="AA16" s="222">
        <f t="shared" si="0"/>
        <v>338761.15340101259</v>
      </c>
      <c r="AB16" s="222"/>
      <c r="AC16" s="222">
        <f t="shared" si="0"/>
        <v>350617.79377004801</v>
      </c>
      <c r="AD16" s="222"/>
      <c r="AE16" s="222">
        <f t="shared" si="0"/>
        <v>362889.41655199969</v>
      </c>
      <c r="AF16" s="222"/>
      <c r="AG16" s="222">
        <f t="shared" si="0"/>
        <v>375590.54613131966</v>
      </c>
    </row>
    <row r="17" spans="1:33" s="210" customFormat="1" ht="14.25">
      <c r="A17" s="210" t="s">
        <v>562</v>
      </c>
      <c r="C17" s="233"/>
      <c r="E17" s="222">
        <f>Application!W855</f>
        <v>324425</v>
      </c>
      <c r="F17" s="222"/>
      <c r="G17" s="222">
        <f t="shared" si="0"/>
        <v>335779.875</v>
      </c>
      <c r="H17" s="222"/>
      <c r="I17" s="222">
        <f t="shared" si="0"/>
        <v>347532.17062499997</v>
      </c>
      <c r="J17" s="222"/>
      <c r="K17" s="222">
        <f t="shared" si="0"/>
        <v>359695.79659687495</v>
      </c>
      <c r="L17" s="222"/>
      <c r="M17" s="222">
        <f t="shared" si="0"/>
        <v>372285.14947776555</v>
      </c>
      <c r="N17" s="222"/>
      <c r="O17" s="222">
        <f t="shared" si="0"/>
        <v>385315.12970948732</v>
      </c>
      <c r="P17" s="222"/>
      <c r="Q17" s="222">
        <f t="shared" si="0"/>
        <v>398801.15924931935</v>
      </c>
      <c r="R17" s="222"/>
      <c r="S17" s="222">
        <f t="shared" si="0"/>
        <v>412759.19982304546</v>
      </c>
      <c r="T17" s="222"/>
      <c r="U17" s="222">
        <f t="shared" si="0"/>
        <v>427205.77181685204</v>
      </c>
      <c r="V17" s="222"/>
      <c r="W17" s="222">
        <f t="shared" si="0"/>
        <v>442157.97383044183</v>
      </c>
      <c r="X17" s="222"/>
      <c r="Y17" s="222">
        <f t="shared" si="0"/>
        <v>457633.50291450723</v>
      </c>
      <c r="Z17" s="222"/>
      <c r="AA17" s="222">
        <f t="shared" si="0"/>
        <v>473650.67551651492</v>
      </c>
      <c r="AB17" s="222"/>
      <c r="AC17" s="222">
        <f t="shared" si="0"/>
        <v>490228.44915959291</v>
      </c>
      <c r="AD17" s="222"/>
      <c r="AE17" s="222">
        <f t="shared" si="0"/>
        <v>507386.44488017861</v>
      </c>
      <c r="AF17" s="222"/>
      <c r="AG17" s="222">
        <f t="shared" si="0"/>
        <v>525144.97045098478</v>
      </c>
    </row>
    <row r="18" spans="1:33" s="210" customFormat="1" ht="14.25">
      <c r="A18" s="210" t="s">
        <v>843</v>
      </c>
      <c r="C18" s="233"/>
      <c r="E18" s="222">
        <f>Application!W862</f>
        <v>444565</v>
      </c>
      <c r="F18" s="222"/>
      <c r="G18" s="222">
        <f t="shared" si="0"/>
        <v>460124.77499999997</v>
      </c>
      <c r="H18" s="222"/>
      <c r="I18" s="222">
        <f t="shared" si="0"/>
        <v>476229.14212499995</v>
      </c>
      <c r="J18" s="222"/>
      <c r="K18" s="222">
        <f t="shared" si="0"/>
        <v>492897.16209937492</v>
      </c>
      <c r="L18" s="222"/>
      <c r="M18" s="222">
        <f t="shared" si="0"/>
        <v>510148.56277285301</v>
      </c>
      <c r="N18" s="222"/>
      <c r="O18" s="222">
        <f t="shared" si="0"/>
        <v>528003.76246990287</v>
      </c>
      <c r="P18" s="222"/>
      <c r="Q18" s="222">
        <f t="shared" si="0"/>
        <v>546483.89415634947</v>
      </c>
      <c r="R18" s="222"/>
      <c r="S18" s="222">
        <f t="shared" si="0"/>
        <v>565610.83045182168</v>
      </c>
      <c r="T18" s="222"/>
      <c r="U18" s="222">
        <f t="shared" si="0"/>
        <v>585407.20951763541</v>
      </c>
      <c r="V18" s="222"/>
      <c r="W18" s="222">
        <f t="shared" si="0"/>
        <v>605896.46185075259</v>
      </c>
      <c r="X18" s="222"/>
      <c r="Y18" s="222">
        <f t="shared" si="0"/>
        <v>627102.83801552886</v>
      </c>
      <c r="Z18" s="222"/>
      <c r="AA18" s="222">
        <f t="shared" si="0"/>
        <v>649051.43734607229</v>
      </c>
      <c r="AB18" s="222"/>
      <c r="AC18" s="222">
        <f t="shared" si="0"/>
        <v>671768.2376531848</v>
      </c>
      <c r="AD18" s="222"/>
      <c r="AE18" s="222">
        <f t="shared" si="0"/>
        <v>695280.12597104616</v>
      </c>
      <c r="AF18" s="222"/>
      <c r="AG18" s="222">
        <f t="shared" si="0"/>
        <v>719614.93038003275</v>
      </c>
    </row>
    <row r="19" spans="1:33" s="210" customFormat="1" ht="14.25">
      <c r="A19" s="210" t="s">
        <v>155</v>
      </c>
      <c r="C19" s="233"/>
      <c r="E19" s="222">
        <f>Application!W863</f>
        <v>174314</v>
      </c>
      <c r="F19" s="222"/>
      <c r="G19" s="222">
        <f t="shared" si="0"/>
        <v>180414.99</v>
      </c>
      <c r="H19" s="222"/>
      <c r="I19" s="222">
        <f t="shared" si="0"/>
        <v>186729.51464999997</v>
      </c>
      <c r="J19" s="222"/>
      <c r="K19" s="222">
        <f t="shared" si="0"/>
        <v>193265.04766274994</v>
      </c>
      <c r="L19" s="222"/>
      <c r="M19" s="222">
        <f t="shared" si="0"/>
        <v>200029.32433094617</v>
      </c>
      <c r="N19" s="222"/>
      <c r="O19" s="222">
        <f t="shared" si="0"/>
        <v>207030.35068252927</v>
      </c>
      <c r="P19" s="222"/>
      <c r="Q19" s="222">
        <f t="shared" si="0"/>
        <v>214276.41295641777</v>
      </c>
      <c r="R19" s="222"/>
      <c r="S19" s="222">
        <f t="shared" si="0"/>
        <v>221776.08740989238</v>
      </c>
      <c r="T19" s="222"/>
      <c r="U19" s="222">
        <f t="shared" si="0"/>
        <v>229538.25046923858</v>
      </c>
      <c r="V19" s="222"/>
      <c r="W19" s="222">
        <f t="shared" si="0"/>
        <v>237572.08923566193</v>
      </c>
      <c r="X19" s="222"/>
      <c r="Y19" s="222">
        <f t="shared" si="0"/>
        <v>245887.11235891009</v>
      </c>
      <c r="Z19" s="222"/>
      <c r="AA19" s="222">
        <f t="shared" si="0"/>
        <v>254493.16129147192</v>
      </c>
      <c r="AB19" s="222"/>
      <c r="AC19" s="222">
        <f t="shared" si="0"/>
        <v>263400.4219366734</v>
      </c>
      <c r="AD19" s="222"/>
      <c r="AE19" s="222">
        <f t="shared" si="0"/>
        <v>272619.43670445692</v>
      </c>
      <c r="AF19" s="222"/>
      <c r="AG19" s="222">
        <f t="shared" si="0"/>
        <v>282161.11698911287</v>
      </c>
    </row>
    <row r="20" spans="1:33" s="210" customFormat="1" ht="14.25">
      <c r="A20" s="210" t="s">
        <v>390</v>
      </c>
      <c r="C20" s="233"/>
      <c r="E20" s="222">
        <f>Application!W872</f>
        <v>282048</v>
      </c>
      <c r="F20" s="222"/>
      <c r="G20" s="222">
        <f t="shared" si="0"/>
        <v>291919.68</v>
      </c>
      <c r="H20" s="222"/>
      <c r="I20" s="222">
        <f t="shared" si="0"/>
        <v>302136.8688</v>
      </c>
      <c r="J20" s="222"/>
      <c r="K20" s="222">
        <f t="shared" si="0"/>
        <v>312711.659208</v>
      </c>
      <c r="L20" s="222"/>
      <c r="M20" s="222">
        <f t="shared" si="0"/>
        <v>323656.56728028</v>
      </c>
      <c r="N20" s="222"/>
      <c r="O20" s="222">
        <f t="shared" si="0"/>
        <v>334984.54713508976</v>
      </c>
      <c r="P20" s="222"/>
      <c r="Q20" s="222">
        <f t="shared" si="0"/>
        <v>346709.00628481788</v>
      </c>
      <c r="R20" s="222"/>
      <c r="S20" s="222">
        <f t="shared" si="0"/>
        <v>358843.82150478649</v>
      </c>
      <c r="T20" s="222"/>
      <c r="U20" s="222">
        <f t="shared" si="0"/>
        <v>371403.35525745398</v>
      </c>
      <c r="V20" s="222"/>
      <c r="W20" s="222">
        <f t="shared" si="0"/>
        <v>384402.47269146482</v>
      </c>
      <c r="X20" s="222"/>
      <c r="Y20" s="222">
        <f t="shared" si="0"/>
        <v>397856.55923566606</v>
      </c>
      <c r="Z20" s="222"/>
      <c r="AA20" s="222">
        <f t="shared" si="0"/>
        <v>411781.53880891437</v>
      </c>
      <c r="AB20" s="222"/>
      <c r="AC20" s="222">
        <f t="shared" si="0"/>
        <v>426193.89266722632</v>
      </c>
      <c r="AD20" s="222"/>
      <c r="AE20" s="222">
        <f t="shared" si="0"/>
        <v>441110.67891057918</v>
      </c>
      <c r="AF20" s="222"/>
      <c r="AG20" s="222">
        <f t="shared" si="0"/>
        <v>456549.55267244944</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1707300</v>
      </c>
      <c r="G22" s="223">
        <f>SUM(G15:G21)</f>
        <v>1767055.4999999998</v>
      </c>
      <c r="I22" s="223">
        <f>SUM(I15:I21)</f>
        <v>1828902.4424999999</v>
      </c>
      <c r="K22" s="223">
        <f>SUM(K15:K21)</f>
        <v>1892914.0279874995</v>
      </c>
      <c r="M22" s="223">
        <f>SUM(M15:M21)</f>
        <v>1959166.018967062</v>
      </c>
      <c r="O22" s="223">
        <f>SUM(O15:O21)</f>
        <v>2027736.8296309093</v>
      </c>
      <c r="Q22" s="223">
        <f>SUM(Q15:Q21)</f>
        <v>2098707.6186679909</v>
      </c>
      <c r="S22" s="223">
        <f>SUM(S15:S21)</f>
        <v>2172162.3853213703</v>
      </c>
      <c r="U22" s="223">
        <f>SUM(U15:U21)</f>
        <v>2248188.0688076182</v>
      </c>
      <c r="W22" s="223">
        <f>SUM(W15:W21)</f>
        <v>2326874.6512158844</v>
      </c>
      <c r="Y22" s="223">
        <f>SUM(Y15:Y21)</f>
        <v>2408315.2640084401</v>
      </c>
      <c r="AA22" s="223">
        <f>SUM(AA15:AA21)</f>
        <v>2492606.2982487353</v>
      </c>
      <c r="AC22" s="223">
        <f>SUM(AC15:AC21)</f>
        <v>2579847.5186874415</v>
      </c>
      <c r="AE22" s="223">
        <f>SUM(AE15:AE21)</f>
        <v>2670142.181841501</v>
      </c>
      <c r="AG22" s="223">
        <f>SUM(AG15:AG21)</f>
        <v>2763597.1582059539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28800</v>
      </c>
      <c r="F27" s="222"/>
      <c r="G27" s="222">
        <f>E27*$C$27</f>
        <v>29807.999999999996</v>
      </c>
      <c r="H27" s="222"/>
      <c r="I27" s="222">
        <f>G27*$C$27</f>
        <v>30851.279999999995</v>
      </c>
      <c r="J27" s="222"/>
      <c r="K27" s="222">
        <f>I27*$C$27</f>
        <v>31931.074799999991</v>
      </c>
      <c r="L27" s="222"/>
      <c r="M27" s="222">
        <f>K27*$C$27</f>
        <v>33048.662417999985</v>
      </c>
      <c r="N27" s="222"/>
      <c r="O27" s="222">
        <f>M27*$C$27</f>
        <v>34205.36560262998</v>
      </c>
      <c r="P27" s="222"/>
      <c r="Q27" s="222">
        <f>O27*$C$27</f>
        <v>35402.553398722026</v>
      </c>
      <c r="R27" s="222"/>
      <c r="S27" s="222">
        <f>Q27*$C$27</f>
        <v>36641.642767677295</v>
      </c>
      <c r="T27" s="222"/>
      <c r="U27" s="222">
        <f>S27*$C$27</f>
        <v>37924.100264545996</v>
      </c>
      <c r="V27" s="222"/>
      <c r="W27" s="222">
        <f>U27*$C$27</f>
        <v>39251.443773805106</v>
      </c>
      <c r="X27" s="222"/>
      <c r="Y27" s="222">
        <f>W27*$C$27</f>
        <v>40625.244305888278</v>
      </c>
      <c r="Z27" s="222"/>
      <c r="AA27" s="222">
        <f>Y27*$C$27</f>
        <v>42047.127856594365</v>
      </c>
      <c r="AB27" s="222"/>
      <c r="AC27" s="222">
        <f>AA27*$C$27</f>
        <v>43518.777331575162</v>
      </c>
      <c r="AD27" s="222"/>
      <c r="AE27" s="222">
        <f>AC27*$C$27</f>
        <v>45041.934538180292</v>
      </c>
      <c r="AF27" s="222"/>
      <c r="AG27" s="222">
        <f>AE27*$C$27</f>
        <v>46618.402247016602</v>
      </c>
    </row>
    <row r="28" spans="1:33" s="210" customFormat="1" ht="14.25">
      <c r="A28" s="210" t="s">
        <v>847</v>
      </c>
      <c r="C28" s="237"/>
      <c r="E28" s="222">
        <f>Application!AC889</f>
        <v>81300</v>
      </c>
      <c r="F28" s="222"/>
      <c r="G28" s="222">
        <f>$E$28</f>
        <v>81300</v>
      </c>
      <c r="H28" s="222"/>
      <c r="I28" s="222">
        <f>$E$28</f>
        <v>81300</v>
      </c>
      <c r="J28" s="222"/>
      <c r="K28" s="222">
        <f>$E$28</f>
        <v>81300</v>
      </c>
      <c r="L28" s="222"/>
      <c r="M28" s="222">
        <f>$E$28</f>
        <v>81300</v>
      </c>
      <c r="N28" s="222"/>
      <c r="O28" s="222">
        <f>$E$28</f>
        <v>81300</v>
      </c>
      <c r="P28" s="222"/>
      <c r="Q28" s="222">
        <f>$E$28</f>
        <v>81300</v>
      </c>
      <c r="R28" s="222"/>
      <c r="S28" s="222">
        <f>$E$28</f>
        <v>81300</v>
      </c>
      <c r="T28" s="222"/>
      <c r="U28" s="222">
        <f>$E$28</f>
        <v>81300</v>
      </c>
      <c r="V28" s="222"/>
      <c r="W28" s="222">
        <f>$E$28</f>
        <v>81300</v>
      </c>
      <c r="X28" s="222"/>
      <c r="Y28" s="222">
        <f>$E$28</f>
        <v>81300</v>
      </c>
      <c r="Z28" s="222"/>
      <c r="AA28" s="222">
        <f>$E$28</f>
        <v>81300</v>
      </c>
      <c r="AB28" s="222"/>
      <c r="AC28" s="222">
        <f>$E$28</f>
        <v>81300</v>
      </c>
      <c r="AD28" s="222"/>
      <c r="AE28" s="222">
        <f>$E$28</f>
        <v>81300</v>
      </c>
      <c r="AF28" s="222"/>
      <c r="AG28" s="222">
        <f>$E$28</f>
        <v>81300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16260</v>
      </c>
      <c r="F30" s="222"/>
      <c r="G30" s="222">
        <f>E30*$C$30</f>
        <v>16585.2</v>
      </c>
      <c r="H30" s="222"/>
      <c r="I30" s="222">
        <f>G30*$C$30</f>
        <v>16916.904000000002</v>
      </c>
      <c r="J30" s="222"/>
      <c r="K30" s="222">
        <f>I30*$C$30</f>
        <v>17255.242080000004</v>
      </c>
      <c r="L30" s="222"/>
      <c r="M30" s="222">
        <f>K30*$C$30</f>
        <v>17600.346921600005</v>
      </c>
      <c r="N30" s="222"/>
      <c r="O30" s="222">
        <f>M30*$C$30</f>
        <v>17952.353860032006</v>
      </c>
      <c r="P30" s="222"/>
      <c r="Q30" s="222">
        <f>O30*$C$30</f>
        <v>18311.400937232647</v>
      </c>
      <c r="R30" s="222"/>
      <c r="S30" s="222">
        <f>Q30*$C$30</f>
        <v>18677.628955977299</v>
      </c>
      <c r="T30" s="222"/>
      <c r="U30" s="222">
        <f>S30*$C$30</f>
        <v>19051.181535096846</v>
      </c>
      <c r="V30" s="222"/>
      <c r="W30" s="222">
        <f>U30*$C$30</f>
        <v>19432.205165798783</v>
      </c>
      <c r="X30" s="222"/>
      <c r="Y30" s="222">
        <f>W30*$C$30</f>
        <v>19820.849269114758</v>
      </c>
      <c r="Z30" s="222"/>
      <c r="AA30" s="222">
        <f>Y30*$C$30</f>
        <v>20217.266254497055</v>
      </c>
      <c r="AB30" s="222"/>
      <c r="AC30" s="222">
        <f>AA30*$C$30</f>
        <v>20621.611579586996</v>
      </c>
      <c r="AD30" s="222"/>
      <c r="AE30" s="222">
        <f>AC30*$C$30</f>
        <v>21034.043811178737</v>
      </c>
      <c r="AF30" s="222"/>
      <c r="AG30" s="222">
        <f>AE30*$C$30</f>
        <v>21454.724687402311</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Bond Issuer Fees</v>
      </c>
      <c r="C32" s="316">
        <v>1</v>
      </c>
      <c r="E32" s="222">
        <f>Application!AC894</f>
        <v>12427</v>
      </c>
      <c r="F32" s="222"/>
      <c r="G32" s="222">
        <f>E32*$C$32</f>
        <v>12427</v>
      </c>
      <c r="H32" s="222"/>
      <c r="I32" s="222">
        <f>G32*$C$32</f>
        <v>12427</v>
      </c>
      <c r="J32" s="222"/>
      <c r="K32" s="222">
        <f>I32*$C$32</f>
        <v>12427</v>
      </c>
      <c r="L32" s="222"/>
      <c r="M32" s="222">
        <f>K32*$C$32</f>
        <v>12427</v>
      </c>
      <c r="N32" s="222"/>
      <c r="O32" s="222">
        <f>M32*$C$32</f>
        <v>12427</v>
      </c>
      <c r="P32" s="222"/>
      <c r="Q32" s="222">
        <f>O32*$C$32</f>
        <v>12427</v>
      </c>
      <c r="R32" s="222"/>
      <c r="S32" s="222">
        <f>Q32*$C$32</f>
        <v>12427</v>
      </c>
      <c r="T32" s="222"/>
      <c r="U32" s="222">
        <f>S32*$C$32</f>
        <v>12427</v>
      </c>
      <c r="V32" s="222"/>
      <c r="W32" s="222">
        <f>U32*$C$32</f>
        <v>12427</v>
      </c>
      <c r="X32" s="222"/>
      <c r="Y32" s="222">
        <f>W32*$C$32</f>
        <v>12427</v>
      </c>
      <c r="Z32" s="222"/>
      <c r="AA32" s="222">
        <f>Y32*$C$32</f>
        <v>12427</v>
      </c>
      <c r="AB32" s="222"/>
      <c r="AC32" s="222">
        <f>AA32*$C$32</f>
        <v>12427</v>
      </c>
      <c r="AD32" s="222"/>
      <c r="AE32" s="222">
        <f>AC32*$C$32</f>
        <v>12427</v>
      </c>
      <c r="AF32" s="222"/>
      <c r="AG32" s="222">
        <f>AE32*$C$32</f>
        <v>12427</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1846087</v>
      </c>
      <c r="G35" s="223">
        <f>SUM(G22:G33)</f>
        <v>1907175.6999999997</v>
      </c>
      <c r="I35" s="223">
        <f>SUM(I22:I33)</f>
        <v>1970397.6265</v>
      </c>
      <c r="K35" s="223">
        <f>SUM(K22:K33)</f>
        <v>2035827.3448674995</v>
      </c>
      <c r="M35" s="223">
        <f>SUM(M22:M33)</f>
        <v>2103542.0283066621</v>
      </c>
      <c r="O35" s="223">
        <f>SUM(O22:O33)</f>
        <v>2173621.549093571</v>
      </c>
      <c r="Q35" s="223">
        <f>SUM(Q22:Q33)</f>
        <v>2246148.5730039454</v>
      </c>
      <c r="S35" s="223">
        <f>SUM(S22:S33)</f>
        <v>2321208.6570450249</v>
      </c>
      <c r="U35" s="223">
        <f>SUM(U22:U33)</f>
        <v>2398890.3506072611</v>
      </c>
      <c r="W35" s="223">
        <f>SUM(W22:W33)</f>
        <v>2479285.3001554883</v>
      </c>
      <c r="Y35" s="223">
        <f>SUM(Y22:Y33)</f>
        <v>2562488.3575834432</v>
      </c>
      <c r="AA35" s="223">
        <f>SUM(AA22:AA33)</f>
        <v>2648597.692359827</v>
      </c>
      <c r="AC35" s="223">
        <f>SUM(AC22:AC33)</f>
        <v>2737714.907598604</v>
      </c>
      <c r="AE35" s="223">
        <f>SUM(AE22:AE33)</f>
        <v>2829945.1601908603</v>
      </c>
      <c r="AG35" s="223">
        <f>SUM(AG22:AG33)</f>
        <v>2925397.2851403728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3509696.08</v>
      </c>
      <c r="G37" s="223">
        <f>G11-G35</f>
        <v>3582501.9569999999</v>
      </c>
      <c r="I37" s="223">
        <f>I11-I35</f>
        <v>3656521.9719249988</v>
      </c>
      <c r="K37" s="223">
        <f>K11-K35</f>
        <v>3731765.2435181234</v>
      </c>
      <c r="M37" s="223">
        <f>M11-M35</f>
        <v>3808240.374788601</v>
      </c>
      <c r="O37" s="223">
        <f>O11-O35</f>
        <v>3885955.4140790734</v>
      </c>
      <c r="Q37" s="223">
        <f>Q11-Q35</f>
        <v>3964917.8142480147</v>
      </c>
      <c r="S37" s="223">
        <f>S11-S35</f>
        <v>4045134.389888233</v>
      </c>
      <c r="U37" s="223">
        <f>U11-U35</f>
        <v>4126611.2724993275</v>
      </c>
      <c r="W37" s="223">
        <f>W11-W35</f>
        <v>4209353.8635287657</v>
      </c>
      <c r="Y37" s="223">
        <f>Y11-Y35</f>
        <v>4293366.7851929143</v>
      </c>
      <c r="AA37" s="223">
        <f>AA11-AA35</f>
        <v>4378653.8289859388</v>
      </c>
      <c r="AC37" s="223">
        <f>AC11-AC35</f>
        <v>4465217.9017808065</v>
      </c>
      <c r="AE37" s="223">
        <f>AE11-AE35</f>
        <v>4553060.9694230352</v>
      </c>
      <c r="AG37" s="223">
        <f>AG11-AG35</f>
        <v>4642183.9977138685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Community Capital</v>
      </c>
      <c r="B40" s="226"/>
      <c r="C40" s="220"/>
      <c r="E40" s="222">
        <f>Application!AF627</f>
        <v>3051626.1676615165</v>
      </c>
      <c r="F40" s="222"/>
      <c r="G40" s="222">
        <f>$E$40</f>
        <v>3051626.1676615165</v>
      </c>
      <c r="H40" s="222"/>
      <c r="I40" s="222">
        <f>$E$40</f>
        <v>3051626.1676615165</v>
      </c>
      <c r="J40" s="222"/>
      <c r="K40" s="222">
        <f>$E$40</f>
        <v>3051626.1676615165</v>
      </c>
      <c r="L40" s="222"/>
      <c r="M40" s="222">
        <f>$E$40</f>
        <v>3051626.1676615165</v>
      </c>
      <c r="N40" s="222"/>
      <c r="O40" s="222">
        <f>$E$40</f>
        <v>3051626.1676615165</v>
      </c>
      <c r="P40" s="222"/>
      <c r="Q40" s="222">
        <f>$E$40</f>
        <v>3051626.1676615165</v>
      </c>
      <c r="R40" s="222"/>
      <c r="S40" s="222">
        <f>$E$40</f>
        <v>3051626.1676615165</v>
      </c>
      <c r="T40" s="222"/>
      <c r="U40" s="222">
        <f>$E$40</f>
        <v>3051626.1676615165</v>
      </c>
      <c r="V40" s="222"/>
      <c r="W40" s="222">
        <f>$E$40</f>
        <v>3051626.1676615165</v>
      </c>
      <c r="X40" s="222"/>
      <c r="Y40" s="222">
        <f>$E$40</f>
        <v>3051626.1676615165</v>
      </c>
      <c r="Z40" s="222"/>
      <c r="AA40" s="222">
        <f>$E$40</f>
        <v>3051626.1676615165</v>
      </c>
      <c r="AB40" s="222"/>
      <c r="AC40" s="222">
        <f>$E$40</f>
        <v>3051626.1676615165</v>
      </c>
      <c r="AD40" s="222"/>
      <c r="AE40" s="222">
        <f>$E$40</f>
        <v>3051626.1676615165</v>
      </c>
      <c r="AF40" s="222"/>
      <c r="AG40" s="222">
        <f>$E$40</f>
        <v>3051626.1676615165</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3051626.1676615165</v>
      </c>
      <c r="G43" s="223">
        <f>SUM(G40:G42)</f>
        <v>3051626.1676615165</v>
      </c>
      <c r="I43" s="223">
        <f>SUM(I40:I42)</f>
        <v>3051626.1676615165</v>
      </c>
      <c r="K43" s="223">
        <f>SUM(K40:K42)</f>
        <v>3051626.1676615165</v>
      </c>
      <c r="M43" s="223">
        <f>SUM(M40:M42)</f>
        <v>3051626.1676615165</v>
      </c>
      <c r="O43" s="223">
        <f>SUM(O40:O42)</f>
        <v>3051626.1676615165</v>
      </c>
      <c r="Q43" s="223">
        <f>SUM(Q40:Q42)</f>
        <v>3051626.1676615165</v>
      </c>
      <c r="S43" s="223">
        <f>SUM(S40:S42)</f>
        <v>3051626.1676615165</v>
      </c>
      <c r="U43" s="223">
        <f>SUM(U40:U42)</f>
        <v>3051626.1676615165</v>
      </c>
      <c r="W43" s="223">
        <f>SUM(W40:W42)</f>
        <v>3051626.1676615165</v>
      </c>
      <c r="Y43" s="223">
        <f>SUM(Y40:Y42)</f>
        <v>3051626.1676615165</v>
      </c>
      <c r="AA43" s="223">
        <f>SUM(AA40:AA42)</f>
        <v>3051626.1676615165</v>
      </c>
      <c r="AC43" s="223">
        <f>SUM(AC40:AC42)</f>
        <v>3051626.1676615165</v>
      </c>
      <c r="AE43" s="223">
        <f>SUM(AE40:AE42)</f>
        <v>3051626.1676615165</v>
      </c>
      <c r="AG43" s="223">
        <f>SUM(AG40:AG42)</f>
        <v>3051626.1676615165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458069.91233848361</v>
      </c>
      <c r="G45" s="223">
        <f>G37-G43</f>
        <v>530875.78933848348</v>
      </c>
      <c r="I45" s="223">
        <f>I37-I43</f>
        <v>604895.80426348234</v>
      </c>
      <c r="K45" s="223">
        <f>K37-K43</f>
        <v>680139.07585660694</v>
      </c>
      <c r="M45" s="223">
        <f>M37-M43</f>
        <v>756614.20712708449</v>
      </c>
      <c r="O45" s="223">
        <f>O37-O43</f>
        <v>834329.24641755689</v>
      </c>
      <c r="Q45" s="223">
        <f>Q37-Q43</f>
        <v>913291.64658649825</v>
      </c>
      <c r="S45" s="223">
        <f>S37-S43</f>
        <v>993508.22222671658</v>
      </c>
      <c r="U45" s="223">
        <f>U37-U43</f>
        <v>1074985.1048378111</v>
      </c>
      <c r="W45" s="223">
        <f>W37-W43</f>
        <v>1157727.6958672493</v>
      </c>
      <c r="Y45" s="223">
        <f>Y37-Y43</f>
        <v>1241740.6175313978</v>
      </c>
      <c r="AA45" s="223">
        <f>AA37-AA43</f>
        <v>1327027.6613244223</v>
      </c>
      <c r="AC45" s="223">
        <f>AC37-AC43</f>
        <v>1413591.73411929</v>
      </c>
      <c r="AE45" s="223">
        <f>AE37-AE43</f>
        <v>1501434.8017615187</v>
      </c>
      <c r="AG45" s="223">
        <f>AG37-AG43</f>
        <v>1590557.830052352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8.1251688169857589E-2</v>
      </c>
      <c r="G47" s="227">
        <f>G45/(G4+G6+G8)</f>
        <v>9.1869146311072625E-2</v>
      </c>
      <c r="I47" s="227">
        <f>I45/(I4+I6+I8)</f>
        <v>0.10212532878755824</v>
      </c>
      <c r="K47" s="227">
        <f>K45/(K4+K6+K8)</f>
        <v>0.11202804500527871</v>
      </c>
      <c r="M47" s="227">
        <f>M45/(M4+M6+M8)</f>
        <v>0.12158490413896036</v>
      </c>
      <c r="O47" s="227">
        <f>O45/(O4+O6+O8)</f>
        <v>0.13080331992048611</v>
      </c>
      <c r="Q47" s="227">
        <f>Q45/(Q4+Q6+Q8)</f>
        <v>0.13969051530956964</v>
      </c>
      <c r="S47" s="227">
        <f>S45/(S4+S6+S8)</f>
        <v>0.14825352704957301</v>
      </c>
      <c r="U47" s="227">
        <f>U45/(U4+U6+U8)</f>
        <v>0.15649921011125911</v>
      </c>
      <c r="W47" s="227">
        <f>W45/(W4+W6+W8)</f>
        <v>0.16443424202720325</v>
      </c>
      <c r="Y47" s="227">
        <f>Y45/(Y4+Y6+Y8)</f>
        <v>0.17206512711951985</v>
      </c>
      <c r="AA47" s="227">
        <f>AA45/(AA4+AA6+AA8)</f>
        <v>0.17939820062350254</v>
      </c>
      <c r="AC47" s="227">
        <f>AC45/(AC4+AC6+AC8)</f>
        <v>0.18643963270969732</v>
      </c>
      <c r="AE47" s="227">
        <f>AE45/(AE4+AE6+AE8)</f>
        <v>0.19319543240688553</v>
      </c>
      <c r="AG47" s="227">
        <f>AG45/(AG4+AG6+AG8)</f>
        <v>0.19967145142837817</v>
      </c>
    </row>
    <row r="48" spans="1:33" s="227" customFormat="1" ht="14.25">
      <c r="A48" s="227" t="s">
        <v>853</v>
      </c>
      <c r="C48" s="220"/>
      <c r="E48" s="227">
        <f>E45/E43</f>
        <v>0.15010682409028689</v>
      </c>
      <c r="G48" s="227">
        <f>G45/G43</f>
        <v>0.17396488303981791</v>
      </c>
      <c r="I48" s="227">
        <f>I45/I43</f>
        <v>0.19822080786750443</v>
      </c>
      <c r="K48" s="227">
        <f>K45/K43</f>
        <v>0.22287758673199559</v>
      </c>
      <c r="M48" s="227">
        <f>M45/M43</f>
        <v>0.24793803878896592</v>
      </c>
      <c r="O48" s="227">
        <f>O45/O43</f>
        <v>0.27340480143310264</v>
      </c>
      <c r="Q48" s="227">
        <f>Q45/Q43</f>
        <v>0.29928031692242313</v>
      </c>
      <c r="S48" s="227">
        <f>S45/S43</f>
        <v>0.32556681835902895</v>
      </c>
      <c r="U48" s="227">
        <f>U45/U43</f>
        <v>0.35226631499938277</v>
      </c>
      <c r="W48" s="227">
        <f>W45/W43</f>
        <v>0.37938057686614496</v>
      </c>
      <c r="Y48" s="227">
        <f>Y45/Y43</f>
        <v>0.4069111186325135</v>
      </c>
      <c r="AA48" s="227">
        <f>AA45/AA43</f>
        <v>0.43485918274889268</v>
      </c>
      <c r="AC48" s="227">
        <f>AC45/AC43</f>
        <v>0.46322572178050753</v>
      </c>
      <c r="AE48" s="227">
        <f>AE45/AE43</f>
        <v>0.49201137992340627</v>
      </c>
      <c r="AG48" s="227">
        <f>AG45/AG43</f>
        <v>0.52121647366499291</v>
      </c>
    </row>
    <row r="49" spans="1:34" s="228" customFormat="1" ht="14.25">
      <c r="A49" s="228" t="s">
        <v>851</v>
      </c>
      <c r="C49" s="229"/>
      <c r="E49" s="228">
        <f>E37/E43</f>
        <v>1.150106824090287</v>
      </c>
      <c r="G49" s="228">
        <f>G37/G43</f>
        <v>1.1739648830398179</v>
      </c>
      <c r="I49" s="228">
        <f>I37/I43</f>
        <v>1.1982208078675045</v>
      </c>
      <c r="K49" s="228">
        <f>K37/K43</f>
        <v>1.2228775867319956</v>
      </c>
      <c r="M49" s="228">
        <f>M37/M43</f>
        <v>1.247938038788966</v>
      </c>
      <c r="O49" s="228">
        <f>O37/O43</f>
        <v>1.2734048014331025</v>
      </c>
      <c r="Q49" s="228">
        <f>Q37/Q43</f>
        <v>1.2992803169224232</v>
      </c>
      <c r="S49" s="228">
        <f>S37/S43</f>
        <v>1.325566818359029</v>
      </c>
      <c r="U49" s="228">
        <f>U37/U43</f>
        <v>1.3522663149993828</v>
      </c>
      <c r="W49" s="228">
        <f>W37/W43</f>
        <v>1.3793805768661449</v>
      </c>
      <c r="Y49" s="228">
        <f>Y37/Y43</f>
        <v>1.4069111186325134</v>
      </c>
      <c r="AA49" s="228">
        <f>AA37/AA43</f>
        <v>1.4348591827488926</v>
      </c>
      <c r="AC49" s="228">
        <f>AC37/AC43</f>
        <v>1.4632257217805076</v>
      </c>
      <c r="AE49" s="228">
        <f>AE37/AE43</f>
        <v>1.4920113799234063</v>
      </c>
      <c r="AG49" s="228">
        <f>AG37/AG43</f>
        <v>1.5212164736649929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2724</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25000</v>
      </c>
      <c r="G53" s="960">
        <f>E53*$C$53</f>
        <v>25750</v>
      </c>
      <c r="I53" s="960">
        <f>G53*$C$53</f>
        <v>26522.5</v>
      </c>
      <c r="K53" s="960">
        <f>I53*$C$53</f>
        <v>27318.174999999999</v>
      </c>
      <c r="M53" s="960">
        <f>K53*$C$53</f>
        <v>28137.720249999998</v>
      </c>
      <c r="O53" s="960">
        <f>M53*$C$53</f>
        <v>28981.851857499998</v>
      </c>
      <c r="Q53" s="960">
        <f>O53*$C$53</f>
        <v>29851.307413225</v>
      </c>
      <c r="S53" s="960">
        <f>Q53*$C$53</f>
        <v>30746.84663562175</v>
      </c>
      <c r="U53" s="960">
        <f>S53*$C$53</f>
        <v>31669.252034690402</v>
      </c>
      <c r="W53" s="960">
        <f>U53*$C$53</f>
        <v>32619.329595731117</v>
      </c>
      <c r="Y53" s="960">
        <f>W53*$C$53</f>
        <v>33597.909483603049</v>
      </c>
      <c r="AA53" s="960">
        <f>Y53*$C$53</f>
        <v>34605.846768111143</v>
      </c>
      <c r="AC53" s="960">
        <f>AA53*$C$53</f>
        <v>35644.02217115448</v>
      </c>
      <c r="AE53" s="960">
        <f>AC53*$C$53</f>
        <v>36713.342836289114</v>
      </c>
      <c r="AG53" s="960">
        <f>AE53*$C$53</f>
        <v>37814.743121377789</v>
      </c>
    </row>
    <row r="54" spans="1:34" s="3" customFormat="1">
      <c r="A54" s="3" t="s">
        <v>856</v>
      </c>
      <c r="C54" s="958"/>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32500</v>
      </c>
      <c r="F58" s="960"/>
      <c r="G58" s="960">
        <f>SUM(G53:G57)</f>
        <v>33475</v>
      </c>
      <c r="H58" s="960"/>
      <c r="I58" s="960">
        <f>SUM(I53:I57)</f>
        <v>34479.25</v>
      </c>
      <c r="J58" s="960"/>
      <c r="K58" s="960">
        <f>SUM(K53:K57)</f>
        <v>35513.627500000002</v>
      </c>
      <c r="L58" s="960"/>
      <c r="M58" s="960">
        <f>SUM(M53:M57)</f>
        <v>36579.036324999994</v>
      </c>
      <c r="N58" s="960"/>
      <c r="O58" s="960">
        <f>SUM(O53:O57)</f>
        <v>37676.40741475</v>
      </c>
      <c r="P58" s="960"/>
      <c r="Q58" s="960">
        <f>SUM(Q53:Q57)</f>
        <v>38806.699637192498</v>
      </c>
      <c r="R58" s="960"/>
      <c r="S58" s="960">
        <f>SUM(S53:S57)</f>
        <v>39970.900626308277</v>
      </c>
      <c r="T58" s="960"/>
      <c r="U58" s="960">
        <f>SUM(U53:U57)</f>
        <v>41170.027645097522</v>
      </c>
      <c r="V58" s="960"/>
      <c r="W58" s="960">
        <f>SUM(W53:W57)</f>
        <v>42405.128474450452</v>
      </c>
      <c r="X58" s="960"/>
      <c r="Y58" s="960">
        <f>SUM(Y53:Y57)</f>
        <v>43677.282328683963</v>
      </c>
      <c r="Z58" s="960"/>
      <c r="AA58" s="960">
        <f>SUM(AA53:AA57)</f>
        <v>44987.600798544488</v>
      </c>
      <c r="AB58" s="960"/>
      <c r="AC58" s="960">
        <f>SUM(AC53:AC57)</f>
        <v>46337.228822500823</v>
      </c>
      <c r="AD58" s="960"/>
      <c r="AE58" s="960">
        <f>SUM(AE53:AE57)</f>
        <v>47727.345687175846</v>
      </c>
      <c r="AF58" s="960"/>
      <c r="AG58" s="960">
        <f>SUM(AG53:AG57)</f>
        <v>49159.166057791124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425569.91233848361</v>
      </c>
      <c r="G60" s="962">
        <f>G45-G58</f>
        <v>497400.78933848348</v>
      </c>
      <c r="I60" s="962">
        <f>I45-I58</f>
        <v>570416.55426348234</v>
      </c>
      <c r="K60" s="962">
        <f>K45-K58</f>
        <v>644625.448356607</v>
      </c>
      <c r="M60" s="962">
        <f>M45-M58</f>
        <v>720035.1708020845</v>
      </c>
      <c r="O60" s="962">
        <f>O45-O58</f>
        <v>796652.83900280693</v>
      </c>
      <c r="Q60" s="962">
        <f>Q45-Q58</f>
        <v>874484.94694930571</v>
      </c>
      <c r="S60" s="962">
        <f>S45-S58</f>
        <v>953537.32160040829</v>
      </c>
      <c r="U60" s="962">
        <f>U45-U58</f>
        <v>1033815.0771927135</v>
      </c>
      <c r="W60" s="962">
        <f>W45-W58</f>
        <v>1115322.5673927988</v>
      </c>
      <c r="Y60" s="962">
        <f>Y45-Y58</f>
        <v>1198063.335202714</v>
      </c>
      <c r="AA60" s="962">
        <f>AA45-AA58</f>
        <v>1282040.0605258779</v>
      </c>
      <c r="AC60" s="962">
        <f>AC45-AC58</f>
        <v>1367254.5052967891</v>
      </c>
      <c r="AE60" s="962">
        <f>AE45-AE58</f>
        <v>1453707.4560743428</v>
      </c>
      <c r="AG60" s="962">
        <f>AG45-AG58</f>
        <v>1541398.6639945609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E60-E66</f>
        <v>212784.95616924181</v>
      </c>
      <c r="G62" s="962">
        <f t="shared" ref="G62" si="2">G60-G66</f>
        <v>248700.39466924174</v>
      </c>
      <c r="I62" s="962">
        <f t="shared" ref="I62" si="3">I60-I66</f>
        <v>285208.27713174117</v>
      </c>
      <c r="K62" s="962">
        <f t="shared" ref="K62" si="4">K60-K66</f>
        <v>322312.7241783035</v>
      </c>
      <c r="M62" s="962">
        <f t="shared" ref="M62" si="5">M60-M66</f>
        <v>360017.58540104225</v>
      </c>
      <c r="O62" s="962">
        <f t="shared" ref="O62" si="6">O60-O66</f>
        <v>398326.41950140346</v>
      </c>
      <c r="Q62" s="962">
        <f t="shared" ref="Q62" si="7">Q60-Q66</f>
        <v>437242.47347465286</v>
      </c>
      <c r="S62" s="962">
        <f t="shared" ref="S62" si="8">S60-S66</f>
        <v>476768.66080020415</v>
      </c>
      <c r="U62" s="962">
        <f t="shared" ref="U62" si="9">U60-U66</f>
        <v>516907.53859635675</v>
      </c>
      <c r="W62" s="962">
        <f t="shared" ref="W62" si="10">W60-W66</f>
        <v>557661.28369639942</v>
      </c>
      <c r="Y62" s="962">
        <f t="shared" ref="Y62" si="11">Y60-Y66</f>
        <v>599031.66760135698</v>
      </c>
      <c r="AA62" s="962">
        <f t="shared" ref="AA62" si="12">AA60-AA66</f>
        <v>707002.04174582241</v>
      </c>
      <c r="AC62" s="962">
        <f t="shared" ref="AC62" si="13">AC60-AC66</f>
        <v>1367254.5052967891</v>
      </c>
      <c r="AE62" s="962">
        <f t="shared" ref="AE62" si="14">AE60-AE66</f>
        <v>1453707.4560743428</v>
      </c>
      <c r="AG62" s="962">
        <f t="shared" ref="AG62" si="15">AG60-AG66</f>
        <v>1541398.6639945609</v>
      </c>
    </row>
    <row r="63" spans="1:34" s="962" customFormat="1">
      <c r="A63" s="2691" t="s">
        <v>2724</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Application!C628</f>
        <v>350 South Figueroa LLC</v>
      </c>
      <c r="B66" s="964"/>
      <c r="C66" s="963"/>
      <c r="E66" s="964">
        <f>$E60*$C$65</f>
        <v>212784.95616924181</v>
      </c>
      <c r="G66" s="960">
        <f>G60*$C$65</f>
        <v>248700.39466924174</v>
      </c>
      <c r="I66" s="960">
        <f>I60*$C$65</f>
        <v>285208.27713174117</v>
      </c>
      <c r="K66" s="960">
        <f>K60*$C$65</f>
        <v>322312.7241783035</v>
      </c>
      <c r="M66" s="960">
        <f>M60*$C$65</f>
        <v>360017.58540104225</v>
      </c>
      <c r="O66" s="960">
        <f>O60*$C$65</f>
        <v>398326.41950140346</v>
      </c>
      <c r="Q66" s="960">
        <f>Q60*$C$65</f>
        <v>437242.47347465286</v>
      </c>
      <c r="S66" s="960">
        <f>S60*$C$65</f>
        <v>476768.66080020415</v>
      </c>
      <c r="U66" s="960">
        <f>U60*$C$65</f>
        <v>516907.53859635675</v>
      </c>
      <c r="W66" s="960">
        <f>W60*$C$65</f>
        <v>557661.28369639942</v>
      </c>
      <c r="Y66" s="960">
        <f>Y60*$C$65</f>
        <v>599031.66760135698</v>
      </c>
      <c r="AA66" s="960">
        <f>MIN('Sources and Uses Budget'!G108-SUM('15 Year Pro Forma'!E66:Z66),AA60*$C$65)</f>
        <v>575038.01878005546</v>
      </c>
      <c r="AC66" s="960">
        <v>0</v>
      </c>
      <c r="AE66" s="960">
        <v>0</v>
      </c>
      <c r="AG66" s="960">
        <v>0</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16">E68*$C$66</f>
        <v>0</v>
      </c>
      <c r="I68" s="960">
        <f t="shared" si="16"/>
        <v>0</v>
      </c>
      <c r="K68" s="960">
        <f t="shared" si="16"/>
        <v>0</v>
      </c>
      <c r="M68" s="960">
        <f t="shared" si="16"/>
        <v>0</v>
      </c>
      <c r="O68" s="960">
        <f t="shared" si="16"/>
        <v>0</v>
      </c>
      <c r="Q68" s="960">
        <f t="shared" si="16"/>
        <v>0</v>
      </c>
      <c r="S68" s="960">
        <f t="shared" si="16"/>
        <v>0</v>
      </c>
      <c r="U68" s="960">
        <f t="shared" si="16"/>
        <v>0</v>
      </c>
      <c r="W68" s="960">
        <f t="shared" si="16"/>
        <v>0</v>
      </c>
      <c r="Y68" s="960">
        <f t="shared" si="16"/>
        <v>0</v>
      </c>
      <c r="AA68" s="960">
        <f t="shared" si="16"/>
        <v>0</v>
      </c>
      <c r="AC68" s="960">
        <f t="shared" si="16"/>
        <v>0</v>
      </c>
      <c r="AE68" s="960">
        <f t="shared" si="16"/>
        <v>0</v>
      </c>
      <c r="AG68" s="960">
        <f t="shared" si="16"/>
        <v>0</v>
      </c>
    </row>
    <row r="69" spans="1:34" s="960" customFormat="1">
      <c r="A69" s="965"/>
      <c r="B69" s="965"/>
      <c r="C69" s="970"/>
      <c r="E69" s="967"/>
      <c r="G69" s="968">
        <f t="shared" si="16"/>
        <v>0</v>
      </c>
      <c r="I69" s="968">
        <f t="shared" si="16"/>
        <v>0</v>
      </c>
      <c r="K69" s="968">
        <f t="shared" si="16"/>
        <v>0</v>
      </c>
      <c r="M69" s="968">
        <f t="shared" si="16"/>
        <v>0</v>
      </c>
      <c r="O69" s="968">
        <f t="shared" si="16"/>
        <v>0</v>
      </c>
      <c r="Q69" s="968">
        <f t="shared" si="16"/>
        <v>0</v>
      </c>
      <c r="S69" s="968">
        <f t="shared" si="16"/>
        <v>0</v>
      </c>
      <c r="U69" s="968">
        <f t="shared" si="16"/>
        <v>0</v>
      </c>
      <c r="W69" s="968">
        <f t="shared" si="16"/>
        <v>0</v>
      </c>
      <c r="Y69" s="968">
        <f t="shared" si="16"/>
        <v>0</v>
      </c>
      <c r="AA69" s="968">
        <f t="shared" si="16"/>
        <v>0</v>
      </c>
      <c r="AC69" s="968">
        <f t="shared" si="16"/>
        <v>0</v>
      </c>
      <c r="AE69" s="968">
        <f t="shared" si="16"/>
        <v>0</v>
      </c>
      <c r="AG69" s="968">
        <f t="shared" si="16"/>
        <v>0</v>
      </c>
    </row>
    <row r="70" spans="1:34" s="960" customFormat="1">
      <c r="A70" s="962" t="s">
        <v>854</v>
      </c>
      <c r="C70" s="970"/>
      <c r="E70" s="960">
        <f>SUM(E66:E69)</f>
        <v>212784.95616924181</v>
      </c>
      <c r="G70" s="960">
        <f>SUM(G66:G69)</f>
        <v>248700.39466924174</v>
      </c>
      <c r="I70" s="960">
        <f>SUM(I66:I69)</f>
        <v>285208.27713174117</v>
      </c>
      <c r="K70" s="960">
        <f>SUM(K66:K69)</f>
        <v>322312.7241783035</v>
      </c>
      <c r="M70" s="960">
        <f>SUM(M66:M69)</f>
        <v>360017.58540104225</v>
      </c>
      <c r="O70" s="960">
        <f>SUM(O66:O69)</f>
        <v>398326.41950140346</v>
      </c>
      <c r="Q70" s="960">
        <f>SUM(Q66:Q69)</f>
        <v>437242.47347465286</v>
      </c>
      <c r="S70" s="960">
        <f>SUM(S66:S69)</f>
        <v>476768.66080020415</v>
      </c>
      <c r="U70" s="960">
        <f>SUM(U66:U69)</f>
        <v>516907.53859635675</v>
      </c>
      <c r="W70" s="960">
        <f>SUM(W66:W69)</f>
        <v>557661.28369639942</v>
      </c>
      <c r="Y70" s="960">
        <f>SUM(Y66:Y69)</f>
        <v>599031.66760135698</v>
      </c>
      <c r="AA70" s="960">
        <f>SUM(AA66:AA69)</f>
        <v>575038.01878005546</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9" t="s">
        <v>1722</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1800000</v>
      </c>
      <c r="C5" s="266">
        <f>'Sources and Uses Budget'!$C4</f>
        <v>1800000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1800000</v>
      </c>
      <c r="C9" s="270">
        <f>SUM(C5:C8)</f>
        <v>1800000</v>
      </c>
      <c r="D9" s="270">
        <f t="shared" si="0"/>
        <v>0</v>
      </c>
      <c r="E9" s="268"/>
      <c r="F9" s="267"/>
    </row>
    <row r="10" spans="1:6" s="352" customFormat="1">
      <c r="A10" s="364" t="s">
        <v>595</v>
      </c>
      <c r="B10" s="266">
        <f>'Sources and Uses Budget'!$C9</f>
        <v>24800000</v>
      </c>
      <c r="C10" s="266">
        <f>'Sources and Uses Budget'!$C9</f>
        <v>24800000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24800000</v>
      </c>
      <c r="C12" s="270">
        <f>SUM(C10:C11)</f>
        <v>24800000</v>
      </c>
      <c r="D12" s="270">
        <f t="shared" si="0"/>
        <v>0</v>
      </c>
      <c r="E12" s="268"/>
      <c r="F12" s="267"/>
    </row>
    <row r="13" spans="1:6" s="352" customFormat="1">
      <c r="A13" s="365" t="s">
        <v>84</v>
      </c>
      <c r="B13" s="270">
        <f>SUM(B9+B12)</f>
        <v>26600000</v>
      </c>
      <c r="C13" s="270">
        <f>SUM(C9+C12)</f>
        <v>26600000</v>
      </c>
      <c r="D13" s="270">
        <f t="shared" si="0"/>
        <v>0</v>
      </c>
      <c r="E13" s="268"/>
      <c r="F13" s="267"/>
    </row>
    <row r="14" spans="1:6" s="352" customFormat="1">
      <c r="A14" s="366" t="s">
        <v>903</v>
      </c>
      <c r="B14" s="266">
        <f>'Sources and Uses Budget'!$C13</f>
        <v>41000</v>
      </c>
      <c r="C14" s="266">
        <f>'Sources and Uses Budget'!$C13</f>
        <v>41000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37266156</v>
      </c>
      <c r="C31" s="266">
        <f>'Sources and Uses Budget'!$C30</f>
        <v>37266156</v>
      </c>
      <c r="D31" s="270">
        <f t="shared" si="0"/>
        <v>0</v>
      </c>
      <c r="E31" s="268"/>
      <c r="F31" s="267"/>
    </row>
    <row r="32" spans="1:6" s="352" customFormat="1">
      <c r="A32" s="145" t="s">
        <v>601</v>
      </c>
      <c r="B32" s="266">
        <f>'Sources and Uses Budget'!$C31</f>
        <v>1863308</v>
      </c>
      <c r="C32" s="266">
        <f>'Sources and Uses Budget'!$C31</f>
        <v>1863308</v>
      </c>
      <c r="D32" s="270">
        <f t="shared" si="0"/>
        <v>0</v>
      </c>
      <c r="E32" s="268"/>
      <c r="F32" s="267"/>
    </row>
    <row r="33" spans="1:6" s="352" customFormat="1">
      <c r="A33" s="145" t="s">
        <v>137</v>
      </c>
      <c r="B33" s="266">
        <f>'Sources and Uses Budget'!$C32</f>
        <v>1173883</v>
      </c>
      <c r="C33" s="266">
        <f>'Sources and Uses Budget'!$C32</f>
        <v>1173883</v>
      </c>
      <c r="D33" s="270">
        <f t="shared" si="0"/>
        <v>0</v>
      </c>
      <c r="E33" s="268"/>
      <c r="F33" s="267"/>
    </row>
    <row r="34" spans="1:6" s="352" customFormat="1">
      <c r="A34" s="145" t="s">
        <v>138</v>
      </c>
      <c r="B34" s="266">
        <f>'Sources and Uses Budget'!$C33</f>
        <v>2347768</v>
      </c>
      <c r="C34" s="266">
        <f>'Sources and Uses Budget'!$C33</f>
        <v>2347768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225000</v>
      </c>
      <c r="C36" s="266">
        <f>'Sources and Uses Budget'!$C35</f>
        <v>225000</v>
      </c>
      <c r="D36" s="270">
        <f t="shared" si="0"/>
        <v>0</v>
      </c>
      <c r="E36" s="268"/>
      <c r="F36" s="267"/>
    </row>
    <row r="37" spans="1:6" s="352" customFormat="1">
      <c r="A37" s="283" t="s">
        <v>1641</v>
      </c>
      <c r="B37" s="266">
        <f>'Sources and Uses Budget'!$C36</f>
        <v>250000</v>
      </c>
      <c r="C37" s="266">
        <f>'Sources and Uses Budget'!$C36</f>
        <v>250000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43126115</v>
      </c>
      <c r="C39" s="270">
        <f>SUM(C30:C38)</f>
        <v>43126115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1565000</v>
      </c>
      <c r="C41" s="266">
        <f>'Sources and Uses Budget'!$C40</f>
        <v>1565000</v>
      </c>
      <c r="D41" s="270">
        <f t="shared" si="0"/>
        <v>0</v>
      </c>
      <c r="E41" s="268"/>
      <c r="F41" s="267"/>
    </row>
    <row r="42" spans="1:6" s="352" customFormat="1">
      <c r="A42" s="269" t="s">
        <v>146</v>
      </c>
      <c r="B42" s="266">
        <f>'Sources and Uses Budget'!$C41</f>
        <v>435000</v>
      </c>
      <c r="C42" s="266">
        <f>'Sources and Uses Budget'!$C41</f>
        <v>435000</v>
      </c>
      <c r="D42" s="270">
        <f t="shared" si="0"/>
        <v>0</v>
      </c>
      <c r="E42" s="268"/>
      <c r="F42" s="267"/>
    </row>
    <row r="43" spans="1:6" s="352" customFormat="1">
      <c r="A43" s="271" t="s">
        <v>147</v>
      </c>
      <c r="B43" s="270">
        <f>SUM(B41:B42)</f>
        <v>2000000</v>
      </c>
      <c r="C43" s="270">
        <f>SUM(C41:C42)</f>
        <v>2000000</v>
      </c>
      <c r="D43" s="270">
        <f t="shared" si="0"/>
        <v>0</v>
      </c>
      <c r="E43" s="268"/>
      <c r="F43" s="267"/>
    </row>
    <row r="44" spans="1:6" s="352" customFormat="1">
      <c r="A44" s="271" t="s">
        <v>148</v>
      </c>
      <c r="B44" s="266">
        <f>'Sources and Uses Budget'!$C43</f>
        <v>336984</v>
      </c>
      <c r="C44" s="266">
        <f>'Sources and Uses Budget'!$C43</f>
        <v>336984</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6778339</v>
      </c>
      <c r="C46" s="266">
        <f>'Sources and Uses Budget'!$C45</f>
        <v>6778339</v>
      </c>
      <c r="D46" s="270">
        <f t="shared" si="0"/>
        <v>0</v>
      </c>
      <c r="E46" s="268"/>
      <c r="F46" s="267"/>
    </row>
    <row r="47" spans="1:6" s="352" customFormat="1">
      <c r="A47" s="145" t="s">
        <v>151</v>
      </c>
      <c r="B47" s="266">
        <f>'Sources and Uses Budget'!$C46</f>
        <v>833079</v>
      </c>
      <c r="C47" s="266">
        <f>'Sources and Uses Budget'!$C46</f>
        <v>833079</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427500</v>
      </c>
      <c r="C50" s="266">
        <f>'Sources and Uses Budget'!$C49</f>
        <v>427500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(Deputy Inspection)</v>
      </c>
      <c r="B54" s="266">
        <f>'Sources and Uses Budget'!$C53</f>
        <v>200000</v>
      </c>
      <c r="C54" s="266">
        <f>'Sources and Uses Budget'!$C53</f>
        <v>200000</v>
      </c>
      <c r="D54" s="270">
        <f t="shared" si="0"/>
        <v>0</v>
      </c>
      <c r="E54" s="268"/>
      <c r="F54" s="267"/>
    </row>
    <row r="55" spans="1:6" s="353" customFormat="1">
      <c r="A55" s="271" t="s">
        <v>157</v>
      </c>
      <c r="B55" s="273">
        <f>SUM(B46:B54)</f>
        <v>8338918</v>
      </c>
      <c r="C55" s="273">
        <f>SUM(C46:C54)</f>
        <v>8338918</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462188</v>
      </c>
      <c r="C57" s="266">
        <f>'Sources and Uses Budget'!$C56</f>
        <v>462188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777500</v>
      </c>
      <c r="C60" s="266">
        <f>'Sources and Uses Budget'!$C59</f>
        <v>777500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1289688</v>
      </c>
      <c r="C63" s="270">
        <f>SUM(C57:C62)</f>
        <v>1289688</v>
      </c>
      <c r="D63" s="270">
        <f t="shared" si="0"/>
        <v>0</v>
      </c>
      <c r="E63" s="268"/>
      <c r="F63" s="267"/>
    </row>
    <row r="64" spans="1:6" s="352" customFormat="1">
      <c r="A64" s="274" t="s">
        <v>302</v>
      </c>
      <c r="B64" s="270">
        <f>SUM(B9+B12+B14+B15+B17+B26+B28+B39+B43+B44+B55+B63)</f>
        <v>81732705</v>
      </c>
      <c r="C64" s="270">
        <f>SUM(C9+C12+C14+C15+C17+C26+C28+C39+C43+C44+C55+C63)</f>
        <v>81732705</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299100</v>
      </c>
      <c r="C66" s="266">
        <f>'Sources and Uses Budget'!$C65</f>
        <v>299100</v>
      </c>
      <c r="D66" s="270">
        <f t="shared" si="0"/>
        <v>0</v>
      </c>
      <c r="E66" s="268"/>
      <c r="F66" s="267"/>
    </row>
    <row r="67" spans="1:6" s="352" customFormat="1" ht="24">
      <c r="A67" s="283" t="s">
        <v>1642</v>
      </c>
      <c r="B67" s="266">
        <f>'Sources and Uses Budget'!$C66</f>
        <v>360000</v>
      </c>
      <c r="C67" s="266">
        <f>'Sources and Uses Budget'!$C66</f>
        <v>360000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659100</v>
      </c>
      <c r="C71" s="270">
        <f>SUM(C66:C70)</f>
        <v>659100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1224429</v>
      </c>
      <c r="C76" s="266">
        <f>'Sources and Uses Budget'!$C75</f>
        <v>1224429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1224429</v>
      </c>
      <c r="C78" s="270">
        <f>SUM(C73:C77)</f>
        <v>1224429</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1563308</v>
      </c>
      <c r="C80" s="266">
        <f>'Sources and Uses Budget'!$C79</f>
        <v>1563308</v>
      </c>
      <c r="D80" s="270">
        <f t="shared" si="1"/>
        <v>0</v>
      </c>
      <c r="E80" s="268"/>
      <c r="F80" s="267"/>
    </row>
    <row r="81" spans="1:6" s="352" customFormat="1">
      <c r="A81" s="510" t="s">
        <v>58</v>
      </c>
      <c r="B81" s="266">
        <f>'Sources and Uses Budget'!$C80</f>
        <v>914780</v>
      </c>
      <c r="C81" s="266">
        <f>'Sources and Uses Budget'!$C80</f>
        <v>914780</v>
      </c>
      <c r="D81" s="270">
        <f>C81-B81</f>
        <v>0</v>
      </c>
      <c r="E81" s="268"/>
      <c r="F81" s="267"/>
    </row>
    <row r="82" spans="1:6" s="352" customFormat="1">
      <c r="A82" s="271" t="s">
        <v>1210</v>
      </c>
      <c r="B82" s="270">
        <f>SUM(B80:B81)</f>
        <v>2478088</v>
      </c>
      <c r="C82" s="270">
        <f>SUM(C80:C81)</f>
        <v>2478088</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243148</v>
      </c>
      <c r="C84" s="266">
        <f>'Sources and Uses Budget'!$C83</f>
        <v>243148</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2556532</v>
      </c>
      <c r="C87" s="266">
        <f>'Sources and Uses Budget'!$C86</f>
        <v>2556532</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50000</v>
      </c>
      <c r="C89" s="266">
        <f>'Sources and Uses Budget'!$C88</f>
        <v>50000</v>
      </c>
      <c r="D89" s="270">
        <f t="shared" si="1"/>
        <v>0</v>
      </c>
      <c r="E89" s="268"/>
      <c r="F89" s="267"/>
    </row>
    <row r="90" spans="1:6" s="352" customFormat="1">
      <c r="A90" s="269" t="s">
        <v>773</v>
      </c>
      <c r="B90" s="266">
        <f>'Sources and Uses Budget'!$C89</f>
        <v>170627</v>
      </c>
      <c r="C90" s="266">
        <f>'Sources and Uses Budget'!$C89</f>
        <v>170627</v>
      </c>
      <c r="D90" s="270">
        <f t="shared" si="1"/>
        <v>0</v>
      </c>
      <c r="E90" s="268"/>
      <c r="F90" s="267"/>
    </row>
    <row r="91" spans="1:6" s="352" customFormat="1">
      <c r="A91" s="269" t="s">
        <v>774</v>
      </c>
      <c r="B91" s="266">
        <f>'Sources and Uses Budget'!$C90</f>
        <v>15000</v>
      </c>
      <c r="C91" s="266">
        <f>'Sources and Uses Budget'!$C90</f>
        <v>15000</v>
      </c>
      <c r="D91" s="270">
        <f t="shared" si="1"/>
        <v>0</v>
      </c>
      <c r="E91" s="268"/>
      <c r="F91" s="267"/>
    </row>
    <row r="92" spans="1:6" s="352" customFormat="1">
      <c r="A92" s="269" t="s">
        <v>372</v>
      </c>
      <c r="B92" s="266">
        <f>'Sources and Uses Budget'!$C91</f>
        <v>60000</v>
      </c>
      <c r="C92" s="266">
        <f>'Sources and Uses Budget'!$C91</f>
        <v>60000</v>
      </c>
      <c r="D92" s="270">
        <f t="shared" si="1"/>
        <v>0</v>
      </c>
      <c r="E92" s="268"/>
      <c r="F92" s="267"/>
    </row>
    <row r="93" spans="1:6" s="352" customFormat="1">
      <c r="A93" s="510" t="s">
        <v>1212</v>
      </c>
      <c r="B93" s="266">
        <f>'Sources and Uses Budget'!$C92</f>
        <v>8000</v>
      </c>
      <c r="C93" s="266">
        <f>'Sources and Uses Budget'!$C92</f>
        <v>8000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3103307</v>
      </c>
      <c r="C97" s="270">
        <f>SUM(C84:C96)</f>
        <v>3103307</v>
      </c>
      <c r="D97" s="270">
        <f t="shared" si="1"/>
        <v>0</v>
      </c>
      <c r="E97" s="268"/>
      <c r="F97" s="267"/>
    </row>
    <row r="98" spans="1:6" s="352" customFormat="1">
      <c r="A98" s="271" t="s">
        <v>776</v>
      </c>
      <c r="B98" s="270">
        <f>SUM(B64+B71+B78+B82+B97)</f>
        <v>89197629</v>
      </c>
      <c r="C98" s="270">
        <f>SUM(C64+C71+C78+C82+C97)</f>
        <v>89197629</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14598641</v>
      </c>
      <c r="C100" s="266">
        <f>'Sources and Uses Budget'!$C99</f>
        <v>14598641</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14598641</v>
      </c>
      <c r="C105" s="270">
        <f>SUM(C100:C104)</f>
        <v>14598641</v>
      </c>
      <c r="D105" s="270">
        <f t="shared" si="1"/>
        <v>0</v>
      </c>
      <c r="E105" s="268"/>
      <c r="F105" s="267"/>
    </row>
    <row r="106" spans="1:6" s="352" customFormat="1">
      <c r="A106" s="271" t="s">
        <v>781</v>
      </c>
      <c r="B106" s="273">
        <f>SUM(B98+B105)</f>
        <v>103796270</v>
      </c>
      <c r="C106" s="273">
        <f>SUM(C98+C105)</f>
        <v>103796270</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85" zoomScaleNormal="85"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7" t="s">
        <v>2045</v>
      </c>
      <c r="B72" s="1267"/>
      <c r="C72" s="1267"/>
      <c r="D72" s="1267"/>
      <c r="E72" s="1267"/>
    </row>
    <row r="73" spans="1:9" ht="12.75">
      <c r="A73" s="1267" t="s">
        <v>2046</v>
      </c>
      <c r="B73" s="1267"/>
      <c r="C73" s="1267"/>
      <c r="D73" s="1267"/>
      <c r="E73" s="1267"/>
    </row>
    <row r="74" spans="1:9" ht="12.75">
      <c r="A74" s="1267" t="s">
        <v>1871</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85" zoomScaleNormal="85" workbookViewId="0">
      <selection activeCell="I42" sqref="I4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2716</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25">
      <c r="A20" s="484"/>
      <c r="B20" s="485" t="s">
        <v>2716</v>
      </c>
      <c r="D20" s="1283" t="s">
        <v>1923</v>
      </c>
      <c r="E20" s="1283"/>
      <c r="F20" s="1283"/>
      <c r="I20" s="490"/>
    </row>
    <row r="21" spans="1:9" ht="14.25">
      <c r="A21" s="484"/>
      <c r="D21" s="1283"/>
      <c r="E21" s="1283"/>
      <c r="F21" s="1283"/>
      <c r="I21" s="490"/>
    </row>
    <row r="22" spans="1:9" ht="14.25">
      <c r="A22" s="484"/>
      <c r="D22" s="392"/>
      <c r="E22" s="96" t="s">
        <v>1919</v>
      </c>
      <c r="F22" s="392"/>
      <c r="I22" s="490"/>
    </row>
    <row r="23" spans="1:9" ht="14.25">
      <c r="A23" s="484"/>
      <c r="B23" s="484"/>
      <c r="D23" s="446"/>
      <c r="I23" s="490"/>
    </row>
    <row r="24" spans="1:9" ht="14.25">
      <c r="A24" s="484"/>
      <c r="B24" s="485" t="s">
        <v>2717</v>
      </c>
      <c r="D24" s="1283" t="s">
        <v>1092</v>
      </c>
      <c r="E24" s="1283"/>
      <c r="F24" s="1283"/>
      <c r="I24" s="490"/>
    </row>
    <row r="25" spans="1:9" ht="14.25">
      <c r="A25" s="484"/>
      <c r="B25" s="484"/>
      <c r="D25" s="1283"/>
      <c r="E25" s="1283"/>
      <c r="F25" s="1283"/>
      <c r="I25" s="490"/>
    </row>
    <row r="26" spans="1:9">
      <c r="I26" s="490"/>
    </row>
    <row r="27" spans="1:9" ht="14.25">
      <c r="A27" s="484"/>
      <c r="B27" s="485" t="s">
        <v>2716</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2716</v>
      </c>
      <c r="D33" s="1283" t="s">
        <v>2049</v>
      </c>
      <c r="E33" s="1283"/>
      <c r="F33" s="1283"/>
      <c r="I33" s="490"/>
    </row>
    <row r="34" spans="1:9">
      <c r="D34" s="1283"/>
      <c r="E34" s="1283"/>
      <c r="F34" s="1283"/>
      <c r="I34" s="490"/>
    </row>
    <row r="35" spans="1:9" ht="14.25">
      <c r="A35" s="484"/>
      <c r="B35" s="484"/>
      <c r="D35" s="447"/>
      <c r="I35" s="490"/>
    </row>
    <row r="36" spans="1:9" ht="14.45" customHeight="1">
      <c r="A36" s="484"/>
      <c r="B36" s="485" t="s">
        <v>2716</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2716</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2716</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2717</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2716</v>
      </c>
      <c r="D56" s="1307" t="s">
        <v>1096</v>
      </c>
      <c r="E56" s="1307"/>
      <c r="F56" s="1307"/>
      <c r="I56" s="490"/>
    </row>
    <row r="57" spans="1:9" ht="14.25">
      <c r="A57" s="484"/>
      <c r="B57" s="484"/>
      <c r="D57" s="1307"/>
      <c r="E57" s="1307"/>
      <c r="F57" s="1307"/>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2717</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2717</v>
      </c>
      <c r="D65" s="1283" t="s">
        <v>1098</v>
      </c>
      <c r="E65" s="1283"/>
      <c r="F65" s="1283"/>
      <c r="I65" s="490"/>
    </row>
    <row r="66" spans="1:9">
      <c r="D66" s="1283"/>
      <c r="E66" s="1283"/>
      <c r="F66" s="1283"/>
      <c r="I66" s="490"/>
    </row>
    <row r="67" spans="1:9">
      <c r="I67" s="490"/>
    </row>
    <row r="68" spans="1:9" ht="14.25">
      <c r="A68" s="484"/>
      <c r="B68" s="485" t="s">
        <v>2716</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2716</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2716</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2716</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2716</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2716</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2717</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2717</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2717</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2716</v>
      </c>
      <c r="C128" s="402"/>
      <c r="D128" s="1303" t="s">
        <v>2050</v>
      </c>
      <c r="E128" s="1303"/>
      <c r="F128" s="1303"/>
      <c r="I128" s="490"/>
    </row>
    <row r="129" spans="1:9" ht="14.25">
      <c r="A129" s="484"/>
      <c r="B129" s="484"/>
      <c r="C129" s="402"/>
      <c r="D129" s="1303"/>
      <c r="E129" s="1303"/>
      <c r="F129" s="1303"/>
      <c r="I129" s="490"/>
    </row>
    <row r="130" spans="1:9">
      <c r="I130" s="490"/>
    </row>
    <row r="131" spans="1:9" ht="14.25">
      <c r="A131" s="484"/>
      <c r="B131" s="485" t="s">
        <v>2716</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2716</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2717</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2073</v>
      </c>
      <c r="E169" s="1304"/>
      <c r="F169" s="1304"/>
      <c r="G169" s="507"/>
      <c r="I169" s="490"/>
    </row>
    <row r="170" spans="1:9" ht="13.7" customHeight="1">
      <c r="D170" s="1295"/>
      <c r="E170" s="1295"/>
      <c r="F170" s="1295"/>
      <c r="G170" s="1295"/>
      <c r="I170" s="490"/>
    </row>
    <row r="171" spans="1:9" ht="14.45" customHeight="1">
      <c r="A171" s="489"/>
      <c r="B171" s="485" t="s">
        <v>2717</v>
      </c>
      <c r="C171" s="476"/>
      <c r="D171" s="1263" t="s">
        <v>2213</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2717</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2717</v>
      </c>
      <c r="D182" s="1287" t="s">
        <v>2051</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2717</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2717</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2717</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2717</v>
      </c>
      <c r="D209" s="386" t="s">
        <v>1895</v>
      </c>
      <c r="E209" s="385"/>
      <c r="F209" s="385"/>
      <c r="I209" s="490"/>
    </row>
    <row r="210" spans="1:9" ht="14.25">
      <c r="A210" s="484"/>
      <c r="B210" s="484"/>
      <c r="D210" s="1300" t="s">
        <v>1902</v>
      </c>
      <c r="E210" s="1300"/>
      <c r="F210" s="1300"/>
      <c r="I210" s="490"/>
    </row>
    <row r="211" spans="1:9">
      <c r="D211" s="385"/>
      <c r="E211" s="1302" t="s">
        <v>1928</v>
      </c>
      <c r="F211" s="1302"/>
      <c r="I211" s="490"/>
    </row>
    <row r="212" spans="1:9">
      <c r="D212" s="447"/>
      <c r="I212" s="490"/>
    </row>
    <row r="213" spans="1:9">
      <c r="B213" s="485" t="s">
        <v>2717</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ht="14.25">
      <c r="A217" s="484"/>
      <c r="B217" s="485" t="s">
        <v>2717</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2716</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2716</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2717</v>
      </c>
      <c r="D245" s="1283" t="s">
        <v>2053</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2717</v>
      </c>
      <c r="D250" s="1283" t="s">
        <v>2054</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2716</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2716</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2716</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5" customHeight="1">
      <c r="A271" s="484"/>
      <c r="B271" s="485" t="s">
        <v>2717</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2717</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2716</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2716</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2717</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2717</v>
      </c>
      <c r="D305" s="1284" t="s">
        <v>1130</v>
      </c>
      <c r="E305" s="1284"/>
      <c r="F305" s="1284"/>
      <c r="I305" s="490"/>
    </row>
    <row r="306" spans="1:9" ht="14.25">
      <c r="A306" s="484"/>
      <c r="B306" s="484"/>
      <c r="D306" s="494"/>
      <c r="E306" s="495"/>
      <c r="F306" s="495"/>
      <c r="I306" s="490"/>
    </row>
    <row r="307" spans="1:9" ht="13.7" customHeight="1">
      <c r="B307" s="485" t="s">
        <v>2717</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2717</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2717</v>
      </c>
      <c r="D316" s="1284" t="s">
        <v>1132</v>
      </c>
      <c r="E316" s="1284"/>
      <c r="F316" s="1284"/>
      <c r="I316" s="490"/>
    </row>
    <row r="317" spans="1:9">
      <c r="E317" s="446"/>
      <c r="F317" s="446"/>
      <c r="I317" s="490"/>
    </row>
    <row r="318" spans="1:9" ht="14.25">
      <c r="A318" s="484"/>
      <c r="B318" s="485" t="s">
        <v>2717</v>
      </c>
      <c r="D318" s="1283" t="s">
        <v>2245</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2717</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2717</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2717</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2717</v>
      </c>
      <c r="C360" s="476"/>
      <c r="D360" s="1295" t="s">
        <v>2057</v>
      </c>
      <c r="E360" s="1295"/>
      <c r="F360" s="1295"/>
      <c r="I360" s="480"/>
    </row>
    <row r="361" spans="1:9">
      <c r="A361" s="476"/>
      <c r="B361" s="476"/>
      <c r="C361" s="476"/>
      <c r="D361" s="447"/>
      <c r="E361" s="447"/>
      <c r="F361" s="446"/>
      <c r="I361" s="490"/>
    </row>
    <row r="362" spans="1:9">
      <c r="A362" s="476"/>
      <c r="B362" s="485" t="s">
        <v>2717</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2717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2717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2717</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2717</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2717</v>
      </c>
      <c r="D423" s="1263" t="s">
        <v>1882</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2717</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25">
      <c r="A435" s="484"/>
      <c r="B435" s="485" t="s">
        <v>2717</v>
      </c>
      <c r="C435" s="487"/>
      <c r="D435" s="1283" t="s">
        <v>2059</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2717</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2717</v>
      </c>
      <c r="C471" s="484"/>
      <c r="D471" s="1283" t="s">
        <v>1198</v>
      </c>
      <c r="E471" s="1283"/>
      <c r="F471" s="1283"/>
      <c r="I471" s="490"/>
    </row>
    <row r="472" spans="1:9">
      <c r="D472" s="1283"/>
      <c r="E472" s="1283"/>
      <c r="F472" s="1283"/>
      <c r="I472" s="490"/>
    </row>
    <row r="473" spans="1:9">
      <c r="D473" s="446"/>
      <c r="E473" s="446"/>
      <c r="F473" s="446"/>
      <c r="I473" s="490"/>
    </row>
    <row r="474" spans="1:9" ht="14.25">
      <c r="B474" s="485" t="s">
        <v>2717</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2717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2717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2717</v>
      </c>
      <c r="C486" s="402"/>
      <c r="D486" s="1283"/>
      <c r="E486" s="1283"/>
      <c r="F486" s="1283"/>
      <c r="I486" s="490"/>
    </row>
    <row r="487" spans="1:9">
      <c r="A487" s="402"/>
      <c r="C487" s="402"/>
      <c r="D487" s="1283"/>
      <c r="E487" s="1283"/>
      <c r="F487" s="1283"/>
      <c r="I487" s="490"/>
    </row>
    <row r="488" spans="1:9">
      <c r="A488" s="402"/>
      <c r="B488" s="485" t="s">
        <v>2717</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2717</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2717</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2717</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2717</v>
      </c>
      <c r="D509" s="1284" t="s">
        <v>1144</v>
      </c>
      <c r="E509" s="1284"/>
      <c r="F509" s="1284"/>
      <c r="I509" s="490"/>
    </row>
    <row r="510" spans="1:9" ht="14.25">
      <c r="A510" s="484"/>
      <c r="B510" s="484"/>
      <c r="D510" s="446"/>
      <c r="I510" s="490"/>
    </row>
    <row r="511" spans="1:9" ht="14.25">
      <c r="A511" s="484"/>
      <c r="B511" s="485" t="s">
        <v>2717</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2717</v>
      </c>
      <c r="D514" s="1284" t="s">
        <v>1146</v>
      </c>
      <c r="E514" s="1284"/>
      <c r="F514" s="1284"/>
      <c r="I514" s="490"/>
    </row>
    <row r="515" spans="1:9">
      <c r="D515" s="446"/>
      <c r="E515" s="446"/>
      <c r="F515" s="446"/>
      <c r="I515" s="490"/>
    </row>
    <row r="516" spans="1:9">
      <c r="B516" s="485" t="s">
        <v>2717</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2716</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2716</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2716</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2716</v>
      </c>
      <c r="C548" s="487"/>
      <c r="D548" s="1284" t="s">
        <v>885</v>
      </c>
      <c r="E548" s="1284"/>
      <c r="F548" s="1284"/>
      <c r="I548" s="490"/>
    </row>
    <row r="549" spans="1:9" ht="13.7" customHeight="1">
      <c r="A549" s="487"/>
      <c r="B549" s="487"/>
      <c r="C549" s="487"/>
      <c r="D549" s="446"/>
      <c r="I549" s="490"/>
    </row>
    <row r="550" spans="1:9" ht="14.25">
      <c r="A550" s="484"/>
      <c r="B550" s="485" t="s">
        <v>2716</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2716</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2716</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2716</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2717</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2716</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2716</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2716</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2716</v>
      </c>
      <c r="C578" s="487"/>
      <c r="D578" s="1283" t="s">
        <v>2063</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2716</v>
      </c>
      <c r="D588" s="1287" t="s">
        <v>889</v>
      </c>
      <c r="E588" s="1287"/>
      <c r="F588" s="1287"/>
      <c r="I588" s="490"/>
    </row>
    <row r="589" spans="1:9">
      <c r="A589" s="490"/>
      <c r="B589" s="490"/>
      <c r="D589" s="476"/>
      <c r="I589" s="490"/>
    </row>
    <row r="590" spans="1:9">
      <c r="A590" s="490"/>
      <c r="B590" s="485" t="s">
        <v>2716</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2717</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2716</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2717</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2716</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2716</v>
      </c>
      <c r="D620" s="1308" t="s">
        <v>1112</v>
      </c>
      <c r="E620" s="1308"/>
      <c r="F620" s="1308"/>
      <c r="I620" s="490"/>
    </row>
    <row r="621" spans="1:9">
      <c r="D621" s="1308"/>
      <c r="E621" s="1308"/>
      <c r="F621" s="1308"/>
      <c r="I621" s="490"/>
    </row>
    <row r="622" spans="1:9">
      <c r="I622" s="490"/>
    </row>
    <row r="623" spans="1:9">
      <c r="B623" s="485" t="s">
        <v>2716</v>
      </c>
      <c r="D623" s="1308" t="s">
        <v>1113</v>
      </c>
      <c r="E623" s="1308"/>
      <c r="F623" s="1308"/>
      <c r="I623" s="490"/>
    </row>
    <row r="624" spans="1:9">
      <c r="C624" s="500"/>
      <c r="D624" s="1308"/>
      <c r="E624" s="1308"/>
      <c r="F624" s="1308"/>
      <c r="I624" s="490"/>
    </row>
    <row r="625" spans="1:9">
      <c r="C625" s="500"/>
      <c r="I625" s="490"/>
    </row>
    <row r="626" spans="1:9">
      <c r="B626" s="485" t="s">
        <v>2717</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2716</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2717</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2717</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2717</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2717</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2717</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2717</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2717</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2717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2717</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2716</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2717</v>
      </c>
      <c r="C698" s="483"/>
      <c r="D698" s="1284" t="s">
        <v>2469</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2717</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2717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2717</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2717</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2717</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2717</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2717</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2717</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2716</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2716</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2716</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2717</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2717</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2716</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2717</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2717</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2717</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2717</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2717</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2717</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2716</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2716</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2716</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2717</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2717</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2716</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2716</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2717</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2717</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2717</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2716</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2716</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2716</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2717</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2717</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2717</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2717</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2716</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2716</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2716</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2717</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2717</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2717</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2717</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2716</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2717</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2717</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2717</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2717</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2716</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2716</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2717</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2717</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2717</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2717</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2716</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2717</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2717</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2716</v>
      </c>
      <c r="C1062" s="402"/>
      <c r="D1062" s="402" t="s">
        <v>1813</v>
      </c>
      <c r="I1062" s="490"/>
    </row>
    <row r="1063" spans="1:9">
      <c r="A1063" s="402"/>
      <c r="B1063" s="402"/>
      <c r="C1063" s="402"/>
      <c r="I1063" s="490"/>
    </row>
    <row r="1064" spans="1:9">
      <c r="A1064" s="402"/>
      <c r="B1064" s="485" t="s">
        <v>2717</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2716</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2717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2717</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2717</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2717</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2717</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2717</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2717</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2716</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2716</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2717</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90" zoomScaleNormal="90" workbookViewId="0">
      <selection activeCell="A9" sqref="A9:AT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City of Los Angeles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84</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8"/>
      <c r="AV8" s="898"/>
      <c r="AW8" s="898"/>
      <c r="AX8" s="898"/>
      <c r="AY8" s="898"/>
      <c r="BD8" s="3" t="s">
        <v>2510</v>
      </c>
      <c r="BE8" s="1249">
        <f>SUMIF($AC$718:$AC$752,"&lt;=35%",$G$718:G$752)-SUM($BE$5:BE7)</f>
        <v>0</v>
      </c>
    </row>
    <row r="9" spans="1:58" ht="12.95" customHeight="1">
      <c r="A9" s="1837" t="s">
        <v>2077</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48" t="s">
        <v>2502</v>
      </c>
      <c r="BE9" s="1249">
        <f>SUMIF($AC$718:$AC$752,"&lt;=40%",$G$718:G$752)-SUM($BE$5:BE8)</f>
        <v>4</v>
      </c>
    </row>
    <row r="10" spans="1:58" ht="12.95" customHeight="1">
      <c r="A10" s="1837" t="s">
        <v>2459</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2511</v>
      </c>
      <c r="BE10" s="1249">
        <f>SUMIF($AC$718:$AC$752,"&lt;=45%",$G$718:G$752)-SUM($BE$5:BE9)</f>
        <v>0</v>
      </c>
    </row>
    <row r="11" spans="1:58" ht="12.95" customHeight="1">
      <c r="A11" s="1837" t="s">
        <v>2605</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47" t="s">
        <v>2503</v>
      </c>
      <c r="BE11" s="1249">
        <f>SUMIF($AC$718:$AC$752,"&lt;=50%",$G$718:G$752)-SUM($BE$5:BE10)</f>
        <v>39</v>
      </c>
    </row>
    <row r="12" spans="1:58" ht="12.95" customHeight="1">
      <c r="A12" s="1838" t="s">
        <v>2611</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2512</v>
      </c>
      <c r="BE12" s="1249">
        <f>SUMIF($AC$718:$AC$752,"&lt;=55%",$G$718:G$752)-SUM($BE$5:BE11)</f>
        <v>0</v>
      </c>
    </row>
    <row r="13" spans="1:58" ht="12.9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17</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29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95</v>
      </c>
    </row>
    <row r="16" spans="1:58" ht="12.95" customHeight="1">
      <c r="A16" s="57" t="s">
        <v>2079</v>
      </c>
      <c r="C16" s="4"/>
      <c r="D16" s="4"/>
      <c r="E16" s="4"/>
      <c r="F16" s="4"/>
      <c r="G16" s="4"/>
      <c r="H16" s="1842" t="s">
        <v>2613</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48" t="s">
        <v>657</v>
      </c>
      <c r="BE16" s="1249" t="str">
        <f>Application!H18</f>
        <v>Sky Castle II</v>
      </c>
    </row>
    <row r="17" spans="1:58" ht="12.95" customHeight="1">
      <c r="BD17" s="1247" t="s">
        <v>2519</v>
      </c>
      <c r="BE17" s="1249">
        <f>Application!AA934</f>
        <v>0</v>
      </c>
    </row>
    <row r="18" spans="1:58" ht="12.95" customHeight="1">
      <c r="A18" s="57" t="s">
        <v>101</v>
      </c>
      <c r="C18" s="4"/>
      <c r="D18" s="4"/>
      <c r="E18" s="4"/>
      <c r="F18" s="4"/>
      <c r="G18" s="4"/>
      <c r="H18" s="1524" t="s">
        <v>2614</v>
      </c>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BD18" s="1248" t="s">
        <v>2520</v>
      </c>
      <c r="BE18" s="1249">
        <f>'CalHFA Addendum'!N11</f>
        <v>0</v>
      </c>
    </row>
    <row r="19" spans="1:58" ht="12.95" customHeight="1">
      <c r="BD19" s="1247" t="s">
        <v>2521</v>
      </c>
      <c r="BE19" s="1249">
        <f>Application!M26</f>
        <v>4534936</v>
      </c>
    </row>
    <row r="20" spans="1:58" ht="12.95" customHeight="1">
      <c r="A20" s="1839" t="s">
        <v>874</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0"/>
      <c r="AV20" s="900"/>
      <c r="AW20" s="900"/>
      <c r="AX20" s="900"/>
      <c r="AY20" s="900"/>
      <c r="BD20" s="1248" t="s">
        <v>2522</v>
      </c>
      <c r="BE20" s="1249">
        <f>Application!M27</f>
        <v>0</v>
      </c>
    </row>
    <row r="21" spans="1:58" ht="12.95" customHeight="1">
      <c r="A21" s="1843" t="s">
        <v>1010</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1"/>
      <c r="AN21" s="901"/>
      <c r="AO21" s="901"/>
      <c r="AP21" s="901"/>
      <c r="AQ21" s="901"/>
      <c r="AR21" s="901"/>
      <c r="AS21" s="901"/>
      <c r="AT21" s="901"/>
      <c r="AU21" s="901"/>
      <c r="AV21" s="901"/>
      <c r="AW21" s="901"/>
      <c r="AX21" s="901"/>
      <c r="AY21" s="901"/>
      <c r="BD21" s="1247" t="s">
        <v>2523</v>
      </c>
      <c r="BE21" s="1249">
        <f>Application!AM554</f>
        <v>24853880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103796270</v>
      </c>
      <c r="BF22" s="3" t="s">
        <v>2596</v>
      </c>
    </row>
    <row r="23" spans="1:58" ht="12.9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1800000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155081</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841">
        <f>'Basis &amp; Credits'!AB56</f>
        <v>4534936</v>
      </c>
      <c r="N26" s="1841"/>
      <c r="O26" s="1841"/>
      <c r="P26" s="1841"/>
      <c r="Q26" s="1841"/>
      <c r="R26" s="4" t="s">
        <v>760</v>
      </c>
      <c r="S26" s="4"/>
      <c r="T26" s="4"/>
      <c r="U26" s="4"/>
      <c r="V26" s="4"/>
      <c r="W26" s="4"/>
      <c r="X26" s="4"/>
      <c r="Y26" s="4"/>
      <c r="Z26" s="4"/>
      <c r="AF26" s="4"/>
      <c r="AG26" s="4"/>
      <c r="AH26" s="4"/>
      <c r="AI26" s="4"/>
      <c r="AJ26" s="4"/>
      <c r="AK26" s="4"/>
      <c r="BD26" s="1248" t="s">
        <v>1640</v>
      </c>
      <c r="BE26" s="1249" t="b">
        <f>Application!M356="Yes"</f>
        <v>1</v>
      </c>
    </row>
    <row r="27" spans="1:58" ht="12.95"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538" t="s">
        <v>2148</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47" t="s">
        <v>2528</v>
      </c>
      <c r="BE29" s="1249" t="b">
        <f>Application!M358="Yes"</f>
        <v>0</v>
      </c>
    </row>
    <row r="30" spans="1:58" ht="12.95"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48" t="s">
        <v>28</v>
      </c>
      <c r="BE30" s="1249" t="b">
        <f>Application!AJ355="Yes"</f>
        <v>0</v>
      </c>
    </row>
    <row r="31" spans="1:58" ht="12.95"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47" t="s">
        <v>2529</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415" t="s">
        <v>670</v>
      </c>
      <c r="P33" s="1415"/>
      <c r="Q33" s="1840" t="s">
        <v>2149</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47" t="s">
        <v>2597</v>
      </c>
      <c r="BE33" s="1249" t="str">
        <f>Application!D220</f>
        <v>City of Los Angeles</v>
      </c>
    </row>
    <row r="34" spans="1:57" ht="12.95" customHeight="1">
      <c r="A34" s="1538" t="s">
        <v>2150</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48" t="s">
        <v>2531</v>
      </c>
      <c r="BE34" s="1249" t="str">
        <f>Application!I185</f>
        <v>350 S Figueroa St. (333 S Flower St.)</v>
      </c>
    </row>
    <row r="35" spans="1:57" ht="12.95"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47" t="s">
        <v>2532</v>
      </c>
      <c r="BE35" s="1249" t="str">
        <f>IF(Application!E187="","",Application!E187)</f>
        <v/>
      </c>
    </row>
    <row r="36" spans="1:57" ht="12.95"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48" t="s">
        <v>2533</v>
      </c>
      <c r="BE36" s="1249" t="str">
        <f>Application!I189</f>
        <v>Los Angeles</v>
      </c>
    </row>
    <row r="37" spans="1:57" ht="12.95"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47" t="s">
        <v>2534</v>
      </c>
      <c r="BE37" s="1249" t="str">
        <f>Application!T189</f>
        <v>Los Angeles</v>
      </c>
    </row>
    <row r="38" spans="1:57" ht="12.95" customHeight="1">
      <c r="A38" s="3"/>
      <c r="AZ38" s="20"/>
      <c r="BD38" s="1248" t="s">
        <v>2535</v>
      </c>
      <c r="BE38" s="1249">
        <f>Application!I190</f>
        <v>90071</v>
      </c>
    </row>
    <row r="39" spans="1:57" ht="12.9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271</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268</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0.57014925373134329</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0.57018058562151075</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383012.0664206642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Kingdom BF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Kingdom Development, Inc.</v>
      </c>
    </row>
    <row r="51" spans="1:57" ht="12.9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Sky Castle Partners II,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Garrett Lee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Gramercy Park Partners, Inc.</v>
      </c>
    </row>
    <row r="54" spans="1:57" ht="12.9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t="str">
        <f>Application!M259</f>
        <v>Spada Development, LLC</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t="str">
        <f>Application!M262</f>
        <v>Mihkel Garcia</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Arden Development, Inc.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3470 Wilshire Blvd., Suite 700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Los Angeles, CA 90010</v>
      </c>
    </row>
    <row r="60" spans="1:57" ht="12.9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Garrett Lee</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garrettlee@jamisonservices.com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0.86991300428495577</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548" t="s">
        <v>2157</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47" t="s">
        <v>2594</v>
      </c>
      <c r="BE65" s="1249" t="str">
        <f>Z205</f>
        <v>(select)</v>
      </c>
    </row>
    <row r="66" spans="1:57" ht="12.95"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48" t="s">
        <v>2559</v>
      </c>
      <c r="BE66" s="1249" t="b">
        <f>Application!Z205="State Farmworker Credit"</f>
        <v>0</v>
      </c>
    </row>
    <row r="67" spans="1:57" ht="12.95"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548" t="s">
        <v>2158</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47" t="s">
        <v>2562</v>
      </c>
      <c r="BE69" s="1249" t="str">
        <f>Application!W700</f>
        <v>California Municipal Finance Authority</v>
      </c>
    </row>
    <row r="70" spans="1:57" ht="12.95"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48" t="s">
        <v>2563</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538" t="s">
        <v>2159</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48" t="s">
        <v>2565</v>
      </c>
      <c r="BE72" s="1249">
        <f>'Points System'!AF805</f>
        <v>10</v>
      </c>
    </row>
    <row r="73" spans="1:57" ht="12.95"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547" t="s">
        <v>2160</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47" t="s">
        <v>2568</v>
      </c>
      <c r="BE75" s="1249">
        <f>'Points System'!AF808</f>
        <v>10</v>
      </c>
    </row>
    <row r="76" spans="1:57" ht="12.95"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48" t="s">
        <v>2569</v>
      </c>
      <c r="BE76" s="1249">
        <f>'Points System'!AF811</f>
        <v>10</v>
      </c>
    </row>
    <row r="77" spans="1:57" ht="12.95"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548" t="s">
        <v>2161</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47" t="s">
        <v>2572</v>
      </c>
      <c r="BE79" s="1249">
        <f>'Points System'!AF815</f>
        <v>9</v>
      </c>
    </row>
    <row r="80" spans="1:57" ht="12.95"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48" t="s">
        <v>2573</v>
      </c>
      <c r="BE80" s="1249">
        <f>'Points System'!AF817</f>
        <v>10</v>
      </c>
    </row>
    <row r="81" spans="1:57" ht="12.95"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3.3261276392104295</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Timothy Elliott</v>
      </c>
    </row>
    <row r="86" spans="1:57" ht="12.9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Los Angeles</v>
      </c>
    </row>
    <row r="89" spans="1:57" ht="12.95" customHeight="1">
      <c r="A89" s="1556" t="s">
        <v>2164</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47" t="s">
        <v>2582</v>
      </c>
      <c r="BE89" s="1249">
        <f>Application!O158</f>
        <v>90017</v>
      </c>
    </row>
    <row r="90" spans="1:57" ht="12.95"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48" t="s">
        <v>2583</v>
      </c>
      <c r="BE90" s="1249" t="str">
        <f>Application!H16</f>
        <v>Sky Castle II,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3470 Wilshire Blvd., Suite 700</v>
      </c>
    </row>
    <row r="92" spans="1:57" ht="12.95" customHeight="1">
      <c r="A92" s="1547" t="s">
        <v>2165</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48" t="s">
        <v>2585</v>
      </c>
      <c r="BE92" s="1249" t="str">
        <f>Application!M234</f>
        <v>Los Angeles</v>
      </c>
    </row>
    <row r="93" spans="1:57" ht="12.95"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47" t="s">
        <v>2586</v>
      </c>
      <c r="BE93" s="1249" t="str">
        <f>Application!W234</f>
        <v>CA</v>
      </c>
    </row>
    <row r="94" spans="1:57" ht="12.95"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48" t="s">
        <v>2587</v>
      </c>
      <c r="BE94" s="1249">
        <f>Application!AC234</f>
        <v>90010</v>
      </c>
    </row>
    <row r="95" spans="1:57" ht="12.95"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47" t="s">
        <v>2588</v>
      </c>
      <c r="BE95" s="1249" t="str">
        <f>Application!M235</f>
        <v>Garrett Lee</v>
      </c>
    </row>
    <row r="96" spans="1:57" ht="12.95"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48" t="s">
        <v>2589</v>
      </c>
      <c r="BE96" s="1249" t="str">
        <f>Application!M237</f>
        <v>garrett@jamisonservices.com</v>
      </c>
    </row>
    <row r="97" spans="1:57" ht="12.95"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47" t="s">
        <v>2590</v>
      </c>
      <c r="BE97" s="1249" t="str">
        <f>Application!M248</f>
        <v>william@kingdomdevelopment.net</v>
      </c>
    </row>
    <row r="98" spans="1:57" ht="12.95"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48" t="s">
        <v>2591</v>
      </c>
      <c r="BE98" s="1249" t="str">
        <f>Application!M256</f>
        <v>garrettlee@jamisonservices.com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t="str">
        <f>Application!M264</f>
        <v>mgarcia@spadadevelopment.com</v>
      </c>
    </row>
    <row r="100" spans="1:57" ht="12.95" customHeight="1">
      <c r="A100" s="1557" t="s">
        <v>2166</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48" t="s">
        <v>2593</v>
      </c>
      <c r="BE100" s="1249" t="str">
        <f>Application!L279</f>
        <v>william@kingdomdevelopment.net</v>
      </c>
    </row>
    <row r="101" spans="1:57" ht="12.95"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2598</v>
      </c>
      <c r="BE101">
        <f>'Sources and Uses Budget'!C105</f>
        <v>103796270</v>
      </c>
    </row>
    <row r="102" spans="1:57" ht="12.95"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2599</v>
      </c>
      <c r="BE102" t="b">
        <f>T197="Yes"</f>
        <v>0</v>
      </c>
    </row>
    <row r="103" spans="1:57" ht="12.95"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7" t="s">
        <v>2167</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2.95"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50">
        <v>10</v>
      </c>
      <c r="H113" s="1550"/>
      <c r="I113" s="3" t="s">
        <v>182</v>
      </c>
      <c r="L113" s="1550" t="s">
        <v>2615</v>
      </c>
      <c r="M113" s="1550"/>
      <c r="N113" s="1550"/>
      <c r="O113" s="1550"/>
      <c r="P113" s="1565" t="s">
        <v>2240</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1" t="s">
        <v>495</v>
      </c>
      <c r="D115" s="1551"/>
      <c r="E115" s="1551"/>
      <c r="F115" s="1551"/>
      <c r="G115" s="1551"/>
      <c r="H115" s="1551"/>
      <c r="I115" s="1551"/>
      <c r="J115" s="1551"/>
      <c r="K115" s="155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50"/>
      <c r="Z117" s="1550"/>
      <c r="AA117" s="1550"/>
      <c r="AB117" s="1550"/>
      <c r="AC117" s="1550"/>
      <c r="AD117" s="1550"/>
      <c r="AE117" s="1550"/>
      <c r="AF117" s="1550"/>
      <c r="AG117" s="1550"/>
      <c r="AH117" s="1550"/>
      <c r="AI117" s="1550"/>
      <c r="AJ117" s="1550"/>
      <c r="AK117" s="1550"/>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0" t="s">
        <v>2616</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4" t="s">
        <v>470</v>
      </c>
      <c r="CV122" s="1695"/>
      <c r="CW122" s="14"/>
      <c r="CX122" s="14" t="s">
        <v>635</v>
      </c>
      <c r="CY122" s="14"/>
      <c r="CZ122" s="14"/>
      <c r="DA122" s="14"/>
      <c r="DB122" s="14"/>
      <c r="DC122" s="14"/>
      <c r="DD122" s="14"/>
      <c r="DE122" s="14"/>
      <c r="DF122" s="14"/>
      <c r="DG122" s="1691" t="str">
        <f>T189</f>
        <v>Los Angeles</v>
      </c>
      <c r="DH122" s="1692"/>
      <c r="DI122" s="1692"/>
      <c r="DJ122" s="1692"/>
      <c r="DK122" s="1692"/>
      <c r="DL122" s="1692"/>
      <c r="DM122" s="1693"/>
    </row>
    <row r="123" spans="1:117" ht="12.95" customHeight="1">
      <c r="A123" s="3"/>
      <c r="B123" s="3"/>
      <c r="T123" s="3"/>
      <c r="U123" s="3"/>
      <c r="V123" s="3"/>
      <c r="W123" s="3"/>
      <c r="X123" s="3"/>
      <c r="Y123" s="1550" t="s">
        <v>2617</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528" t="s">
        <v>876</v>
      </c>
      <c r="P153" s="1528"/>
      <c r="Q153" s="1528"/>
      <c r="R153" s="1528"/>
      <c r="S153" s="1528"/>
      <c r="T153" s="1528"/>
      <c r="U153" s="1528"/>
      <c r="V153" s="1528"/>
      <c r="W153" s="1528"/>
      <c r="X153" s="1528"/>
      <c r="Y153" s="1528"/>
      <c r="Z153" s="1528"/>
      <c r="AA153" s="1528"/>
      <c r="AB153" s="1528"/>
      <c r="AC153" s="1528"/>
      <c r="AD153" s="1528"/>
      <c r="AE153" s="1528"/>
      <c r="AF153" s="1528"/>
      <c r="AG153" s="1528"/>
      <c r="AH153" s="1528"/>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73" t="s">
        <v>2618</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5" t="s">
        <v>441</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2619</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4" t="s">
        <v>495</v>
      </c>
      <c r="P157" s="1528"/>
      <c r="Q157" s="1528"/>
      <c r="R157" s="1528"/>
      <c r="S157" s="1528"/>
      <c r="T157" s="1528"/>
      <c r="U157" s="1528"/>
      <c r="V157" s="1528"/>
      <c r="W157" s="1528"/>
      <c r="X157" s="152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0">
        <v>90017</v>
      </c>
      <c r="P158" s="1560"/>
      <c r="Q158" s="1560"/>
      <c r="R158" s="1560"/>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5">
        <v>2138088596</v>
      </c>
      <c r="P159" s="1555"/>
      <c r="Q159" s="1555"/>
      <c r="R159" s="1555"/>
      <c r="S159" s="1555"/>
      <c r="T159" s="1555"/>
      <c r="V159" s="97" t="s">
        <v>271</v>
      </c>
      <c r="W159" s="1561"/>
      <c r="X159" s="1561"/>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5">
        <v>2138068910</v>
      </c>
      <c r="P160" s="1555"/>
      <c r="Q160" s="1555"/>
      <c r="R160" s="1555"/>
      <c r="S160" s="1555"/>
      <c r="T160" s="1555"/>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2" t="s">
        <v>2620</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2" t="s">
        <v>2217</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7" t="s">
        <v>540</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4" t="s">
        <v>371</v>
      </c>
      <c r="K173" s="1534"/>
      <c r="L173" s="1534"/>
      <c r="M173" s="1534"/>
      <c r="N173" s="1534"/>
      <c r="O173" s="1534"/>
      <c r="P173" s="1534"/>
      <c r="Q173" s="1534"/>
      <c r="R173" s="1534"/>
      <c r="S173" s="1534"/>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7" t="s">
        <v>2102</v>
      </c>
      <c r="K174" s="1407"/>
      <c r="L174" s="1407"/>
      <c r="M174" s="1407"/>
      <c r="N174" s="1407"/>
      <c r="O174" s="1407"/>
      <c r="P174" s="1407"/>
      <c r="Q174" s="1407"/>
      <c r="R174" s="1407"/>
      <c r="S174" s="1407"/>
      <c r="T174" s="1407"/>
      <c r="U174" s="1407"/>
      <c r="V174" s="1407"/>
      <c r="W174" s="1407"/>
      <c r="X174" s="1407"/>
      <c r="Y174" s="1407"/>
      <c r="Z174" s="1407"/>
      <c r="AA174" s="1407"/>
      <c r="AB174" s="1407"/>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546</v>
      </c>
      <c r="V175" s="1415"/>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11">
        <v>25</v>
      </c>
      <c r="V176" s="1511"/>
      <c r="W176" s="1" t="s">
        <v>306</v>
      </c>
      <c r="X176" s="1569">
        <v>564</v>
      </c>
      <c r="Y176" s="1569"/>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670</v>
      </c>
      <c r="S177" s="1415"/>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568"/>
      <c r="AG178" s="1568"/>
      <c r="AH178" s="1" t="s">
        <v>306</v>
      </c>
      <c r="AI178" s="1447"/>
      <c r="AJ178" s="1447"/>
      <c r="AK178" s="1447"/>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15" t="s">
        <v>670</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5" t="str">
        <f>H18</f>
        <v>Sky Castle II</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t="s">
        <v>2621</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2"/>
      <c r="F187" s="1532"/>
      <c r="G187" s="1532"/>
      <c r="H187" s="1532"/>
      <c r="I187" s="1532"/>
      <c r="J187" s="1532"/>
      <c r="K187" s="1532"/>
      <c r="L187" s="1532"/>
      <c r="M187" s="1532"/>
      <c r="N187" s="1532"/>
      <c r="O187" s="1532"/>
      <c r="P187" s="1532"/>
      <c r="Q187" s="1532"/>
      <c r="R187" s="1532"/>
      <c r="S187" s="1532"/>
      <c r="T187" s="1532"/>
      <c r="U187" s="1532"/>
      <c r="V187" s="1532"/>
      <c r="W187" s="1532"/>
      <c r="X187" s="1532"/>
      <c r="Y187" s="1532"/>
      <c r="Z187" s="1532"/>
      <c r="AA187" s="1532"/>
      <c r="AB187" s="1532"/>
      <c r="AC187" s="1532"/>
      <c r="AD187" s="1532"/>
      <c r="AE187" s="153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3"/>
      <c r="F188" s="1533"/>
      <c r="G188" s="1533"/>
      <c r="H188" s="1533"/>
      <c r="I188" s="1533"/>
      <c r="J188" s="1533"/>
      <c r="K188" s="1533"/>
      <c r="L188" s="1533"/>
      <c r="M188" s="1533"/>
      <c r="N188" s="1533"/>
      <c r="O188" s="1533"/>
      <c r="P188" s="1533"/>
      <c r="Q188" s="1533"/>
      <c r="R188" s="1533"/>
      <c r="S188" s="1533"/>
      <c r="T188" s="1533"/>
      <c r="U188" s="1533"/>
      <c r="V188" s="1533"/>
      <c r="W188" s="1533"/>
      <c r="X188" s="1533"/>
      <c r="Y188" s="1533"/>
      <c r="Z188" s="1533"/>
      <c r="AA188" s="1533"/>
      <c r="AB188" s="1533"/>
      <c r="AC188" s="1533"/>
      <c r="AD188" s="1533"/>
      <c r="AE188" s="153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4" t="s">
        <v>495</v>
      </c>
      <c r="J189" s="1407"/>
      <c r="K189" s="1407"/>
      <c r="L189" s="1407"/>
      <c r="M189" s="1407"/>
      <c r="N189" s="1407"/>
      <c r="O189" s="1407"/>
      <c r="P189" s="1407"/>
      <c r="Q189" t="s">
        <v>583</v>
      </c>
      <c r="T189" s="1407" t="s">
        <v>495</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90071</v>
      </c>
      <c r="J190" s="1371"/>
      <c r="K190" s="1371"/>
      <c r="L190" s="1371"/>
      <c r="M190" s="1371"/>
      <c r="N190" s="1371"/>
      <c r="O190" t="s">
        <v>586</v>
      </c>
      <c r="T190" s="1558">
        <v>2075.02</v>
      </c>
      <c r="U190" s="1558"/>
      <c r="V190" s="1558"/>
      <c r="W190" s="1558"/>
      <c r="X190" s="1558"/>
      <c r="Y190" s="1558"/>
      <c r="Z190" s="1558"/>
      <c r="AA190" s="1558"/>
      <c r="AB190" s="1558"/>
      <c r="AC190" s="1558"/>
      <c r="AD190" s="1558"/>
      <c r="AE190" s="1558"/>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32" t="s">
        <v>2622</v>
      </c>
      <c r="O191" s="1532"/>
      <c r="P191" s="1532"/>
      <c r="Q191" s="1532"/>
      <c r="R191" s="1532"/>
      <c r="S191" s="1532"/>
      <c r="T191" s="1532"/>
      <c r="U191" s="1532"/>
      <c r="V191" s="1532"/>
      <c r="W191" s="1532"/>
      <c r="X191" s="1532"/>
      <c r="Y191" s="1532"/>
      <c r="Z191" s="1532"/>
      <c r="AA191" s="1532"/>
      <c r="AB191" s="1532"/>
      <c r="AC191" s="1532"/>
      <c r="AD191" s="1532"/>
      <c r="AE191" s="1532"/>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3"/>
      <c r="O192" s="1533"/>
      <c r="P192" s="1533"/>
      <c r="Q192" s="1533"/>
      <c r="R192" s="1533"/>
      <c r="S192" s="1533"/>
      <c r="T192" s="1533"/>
      <c r="U192" s="1533"/>
      <c r="V192" s="1533"/>
      <c r="W192" s="1533"/>
      <c r="X192" s="1533"/>
      <c r="Y192" s="1533"/>
      <c r="Z192" s="1533"/>
      <c r="AA192" s="1533"/>
      <c r="AB192" s="1533"/>
      <c r="AC192" s="1533"/>
      <c r="AD192" s="1533"/>
      <c r="AE192" s="1533"/>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62" t="s">
        <v>1971</v>
      </c>
      <c r="U193" s="1562"/>
      <c r="V193" s="1562"/>
      <c r="W193" s="1562"/>
      <c r="X193" s="1562"/>
      <c r="Y193" s="1562"/>
      <c r="Z193" s="1562"/>
      <c r="AA193" s="1562"/>
      <c r="AB193" s="1562"/>
      <c r="AC193" s="1562"/>
      <c r="AD193" s="1562"/>
      <c r="AE193" s="1562"/>
      <c r="AF193" s="1562"/>
      <c r="AG193" s="1562"/>
      <c r="AH193" s="1562"/>
      <c r="AI193" s="1562"/>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15" t="s">
        <v>546</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5" t="s">
        <v>546</v>
      </c>
      <c r="U195" s="1415"/>
      <c r="W195" t="s">
        <v>685</v>
      </c>
      <c r="AH195" s="1415">
        <v>35</v>
      </c>
      <c r="AI195" s="1415"/>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7" t="s">
        <v>546</v>
      </c>
      <c r="U196" s="1427"/>
      <c r="W196" t="s">
        <v>686</v>
      </c>
      <c r="AH196" s="1415">
        <v>54</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7" t="s">
        <v>670</v>
      </c>
      <c r="U197" s="1427"/>
      <c r="W197" t="s">
        <v>687</v>
      </c>
      <c r="AH197" s="1415">
        <v>26</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7">
        <v>0</v>
      </c>
      <c r="U198" s="1427"/>
      <c r="V198"/>
      <c r="X198" s="1538" t="s">
        <v>2514</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415" t="s">
        <v>670</v>
      </c>
      <c r="U199" s="1415"/>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415" t="s">
        <v>670</v>
      </c>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5" t="s">
        <v>385</v>
      </c>
      <c r="E204" s="1485"/>
      <c r="F204" s="1485"/>
      <c r="G204" s="1485"/>
      <c r="H204" s="1485"/>
      <c r="I204" s="1485"/>
      <c r="J204" s="1485"/>
      <c r="K204" s="1485"/>
      <c r="L204" s="1485"/>
      <c r="M204" s="1485"/>
      <c r="P204" s="1553">
        <f>M26</f>
        <v>4534936</v>
      </c>
      <c r="Q204" s="1554"/>
      <c r="R204" s="1554"/>
      <c r="S204" s="1554"/>
      <c r="T204" s="1554"/>
      <c r="U204" s="1554"/>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40" t="s">
        <v>1248</v>
      </c>
      <c r="E205" s="1485"/>
      <c r="F205" s="1485"/>
      <c r="G205" s="1485"/>
      <c r="H205" s="1485"/>
      <c r="I205" s="1485"/>
      <c r="J205" s="1485"/>
      <c r="K205" s="1485"/>
      <c r="L205" s="1485"/>
      <c r="M205" s="1485"/>
      <c r="P205" s="1554">
        <f>M27</f>
        <v>0</v>
      </c>
      <c r="Q205" s="1554"/>
      <c r="R205" s="1554"/>
      <c r="S205" s="1554"/>
      <c r="T205" s="1554"/>
      <c r="U205" s="1554"/>
      <c r="V205" s="28"/>
      <c r="W205" s="3" t="s">
        <v>1721</v>
      </c>
      <c r="Z205" s="1536" t="s">
        <v>1185</v>
      </c>
      <c r="AA205" s="1536"/>
      <c r="AB205" s="1536"/>
      <c r="AC205" s="1536"/>
      <c r="AD205" s="1536"/>
      <c r="AE205" s="1536"/>
      <c r="AF205" s="1536"/>
      <c r="AG205" s="1536"/>
      <c r="AH205" s="1536"/>
      <c r="AI205" s="1536"/>
      <c r="AJ205" s="1536"/>
      <c r="AK205" s="1536"/>
      <c r="AL205" s="1536"/>
      <c r="AM205" s="1536"/>
      <c r="AN205" s="1536"/>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8" t="s">
        <v>2623</v>
      </c>
      <c r="E208" s="1528"/>
      <c r="F208" s="1528"/>
      <c r="G208" s="1528"/>
      <c r="H208" s="1528"/>
      <c r="I208" s="1528"/>
      <c r="J208" s="1528"/>
      <c r="K208" s="1528"/>
      <c r="L208" s="1528"/>
      <c r="M208" s="152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8" t="s">
        <v>1857</v>
      </c>
      <c r="E211" s="1528"/>
      <c r="F211" s="1528"/>
      <c r="G211" s="1528"/>
      <c r="H211" s="1528"/>
      <c r="I211" s="1528"/>
      <c r="J211" s="1528"/>
      <c r="K211" s="1528"/>
      <c r="L211" s="1528"/>
      <c r="M211" s="152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415">
        <v>0</v>
      </c>
      <c r="R212" s="1415"/>
      <c r="T212" s="1566">
        <f>IFERROR(Q212/AG440,0)</f>
        <v>0</v>
      </c>
      <c r="U212" s="1567"/>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9" t="s">
        <v>592</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528" t="s">
        <v>876</v>
      </c>
      <c r="E220" s="1528"/>
      <c r="F220" s="1528"/>
      <c r="G220" s="1528"/>
      <c r="H220" s="1528"/>
      <c r="I220" s="1528"/>
      <c r="J220" s="1528"/>
      <c r="K220" s="1528"/>
      <c r="L220" s="1528"/>
      <c r="M220" s="1528"/>
      <c r="N220" s="1528"/>
      <c r="O220" s="1528"/>
      <c r="P220" s="1528"/>
      <c r="Q220" s="1528"/>
      <c r="R220" s="1528"/>
      <c r="S220" s="1528"/>
      <c r="T220" s="1528"/>
      <c r="U220" s="1528"/>
      <c r="V220" s="1528"/>
      <c r="W220" s="1528"/>
      <c r="X220" s="1528"/>
      <c r="Y220" s="1528"/>
      <c r="Z220" s="1528"/>
      <c r="AC220" s="1539" t="s">
        <v>876</v>
      </c>
      <c r="AD220" s="1539"/>
      <c r="AE220" s="1539"/>
      <c r="AF220" s="1539"/>
      <c r="AG220" s="1539"/>
      <c r="AH220" s="1539"/>
      <c r="AI220" s="1539"/>
      <c r="AJ220" s="1539"/>
      <c r="AK220" s="1539"/>
      <c r="AL220" s="1539"/>
      <c r="AM220" s="1539"/>
      <c r="AN220" s="1539"/>
      <c r="AO220" s="1539"/>
      <c r="AP220" s="1539"/>
      <c r="AQ220" s="1539"/>
      <c r="BA220" s="3"/>
      <c r="BC220" t="s">
        <v>300</v>
      </c>
    </row>
    <row r="221" spans="1:108" ht="12.95" customHeight="1">
      <c r="A221" s="2"/>
      <c r="B221" s="14"/>
      <c r="C221" s="2"/>
      <c r="BA221" s="3"/>
    </row>
    <row r="222" spans="1:108" ht="12.95" customHeight="1">
      <c r="A222" s="1537" t="s">
        <v>541</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2.95"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592</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2</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9" t="str">
        <f>H16</f>
        <v>Sky Castle II, LP</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5" t="s">
        <v>539</v>
      </c>
      <c r="BG232" s="241">
        <f>IF(AND(AND($M$249="nonprofit",$M$257="nonprofit",$M$265="for profit")),2,0)</f>
        <v>0</v>
      </c>
    </row>
    <row r="233" spans="1:59" ht="12.95" customHeight="1">
      <c r="D233" s="4" t="s">
        <v>85</v>
      </c>
      <c r="E233" s="4"/>
      <c r="F233" s="4"/>
      <c r="G233" s="4"/>
      <c r="H233" s="4"/>
      <c r="I233" s="4"/>
      <c r="J233" s="4"/>
      <c r="K233" s="4"/>
      <c r="M233" s="1524" t="s">
        <v>2645</v>
      </c>
      <c r="N233" s="1528"/>
      <c r="O233" s="1528"/>
      <c r="P233" s="1528"/>
      <c r="Q233" s="1528"/>
      <c r="R233" s="1528"/>
      <c r="S233" s="1528"/>
      <c r="T233" s="1528"/>
      <c r="U233" s="1528"/>
      <c r="V233" s="1528"/>
      <c r="W233" s="1528"/>
      <c r="X233" s="1528"/>
      <c r="Y233" s="1528"/>
      <c r="Z233" s="1528"/>
      <c r="AA233" s="1528"/>
      <c r="AB233" s="1528"/>
      <c r="AC233" s="1528"/>
      <c r="AD233" s="1528"/>
      <c r="AE233" s="1528"/>
      <c r="BB233" s="205" t="s">
        <v>539</v>
      </c>
      <c r="BG233" s="241">
        <f>IF(AND(AND($M$249="nonprofit",$M$257="for profit",$M$265="nonprofit")),2,0)</f>
        <v>0</v>
      </c>
    </row>
    <row r="234" spans="1:59" ht="12.95" customHeight="1">
      <c r="D234" s="4" t="s">
        <v>581</v>
      </c>
      <c r="E234" s="4"/>
      <c r="M234" s="1524" t="s">
        <v>495</v>
      </c>
      <c r="N234" s="1528"/>
      <c r="O234" s="1528"/>
      <c r="P234" s="1528"/>
      <c r="Q234" s="1528"/>
      <c r="R234" s="1528"/>
      <c r="S234" s="1528"/>
      <c r="T234" s="1528"/>
      <c r="V234" s="33" t="s">
        <v>86</v>
      </c>
      <c r="W234" s="1546" t="s">
        <v>2624</v>
      </c>
      <c r="X234" s="1473"/>
      <c r="Y234" s="4" t="s">
        <v>584</v>
      </c>
      <c r="AC234" s="1528">
        <v>90010</v>
      </c>
      <c r="AD234" s="1528"/>
      <c r="AE234" s="152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4" t="s">
        <v>2625</v>
      </c>
      <c r="N235" s="1528"/>
      <c r="O235" s="1528"/>
      <c r="P235" s="1528"/>
      <c r="Q235" s="1528"/>
      <c r="R235" s="1528"/>
      <c r="S235" s="1528"/>
      <c r="T235" s="1528"/>
      <c r="U235" s="1528"/>
      <c r="V235" s="1528"/>
      <c r="W235" s="1528"/>
      <c r="X235" s="1528"/>
      <c r="Y235" s="1528"/>
      <c r="Z235" s="1528"/>
      <c r="AA235" s="1528"/>
      <c r="AB235" s="1528"/>
      <c r="AC235" s="1528"/>
      <c r="AD235" s="1528"/>
      <c r="AE235" s="1528"/>
      <c r="AI235" s="4"/>
      <c r="AJ235" s="4"/>
      <c r="AK235" s="4"/>
      <c r="AL235" s="4"/>
      <c r="AM235" s="4"/>
      <c r="AN235" s="4"/>
      <c r="AO235" s="4"/>
      <c r="AP235" s="4"/>
      <c r="AQ235" s="4"/>
      <c r="AR235" s="4"/>
      <c r="AS235" s="4"/>
      <c r="AT235" s="4"/>
      <c r="BB235" s="205"/>
      <c r="BG235" s="204"/>
    </row>
    <row r="236" spans="1:59" ht="12.95" customHeight="1">
      <c r="D236" s="4" t="s">
        <v>88</v>
      </c>
      <c r="E236" s="4"/>
      <c r="F236" s="4"/>
      <c r="M236" s="1489">
        <v>2133655000</v>
      </c>
      <c r="N236" s="1489"/>
      <c r="O236" s="1489"/>
      <c r="P236" s="1489"/>
      <c r="Q236" s="1489"/>
      <c r="R236" s="1489"/>
      <c r="S236" s="4" t="s">
        <v>206</v>
      </c>
      <c r="T236" s="4"/>
      <c r="U236" s="1473"/>
      <c r="V236" s="1473"/>
      <c r="W236" s="1473"/>
      <c r="X236" s="4" t="s">
        <v>89</v>
      </c>
      <c r="Z236" s="1489"/>
      <c r="AA236" s="1489"/>
      <c r="AB236" s="1489"/>
      <c r="AC236" s="1489"/>
      <c r="AD236" s="1489"/>
      <c r="AE236" s="1489"/>
      <c r="AU236" s="4"/>
      <c r="AV236" s="4"/>
      <c r="AW236" s="4"/>
      <c r="AX236" s="4"/>
      <c r="AY236" s="4"/>
      <c r="AZ236" s="4"/>
      <c r="BB236" s="204" t="s">
        <v>538</v>
      </c>
      <c r="BG236" s="241">
        <f>IF(AND(AND($M$249="nonprofit",$M$257="nonprofit",$M$265="(select one)")),1,0)</f>
        <v>0</v>
      </c>
    </row>
    <row r="237" spans="1:59" ht="12.95" customHeight="1">
      <c r="D237" s="4" t="s">
        <v>90</v>
      </c>
      <c r="E237" s="4"/>
      <c r="F237" s="4"/>
      <c r="M237" s="1542" t="s">
        <v>2626</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64"/>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4" t="s">
        <v>2628</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2634</v>
      </c>
      <c r="AG243" s="1544"/>
      <c r="AH243" s="1544"/>
      <c r="AI243" s="1544"/>
      <c r="AJ243" s="1544"/>
      <c r="AK243" s="1544"/>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8" t="s">
        <v>2627</v>
      </c>
      <c r="N244" s="1528"/>
      <c r="O244" s="1528"/>
      <c r="P244" s="1528"/>
      <c r="Q244" s="1528"/>
      <c r="R244" s="1528"/>
      <c r="S244" s="1528"/>
      <c r="T244" s="1528"/>
      <c r="U244" s="1528"/>
      <c r="V244" s="1528"/>
      <c r="W244" s="1528"/>
      <c r="X244" s="1528"/>
      <c r="Y244" s="1528"/>
      <c r="Z244" s="1528"/>
      <c r="AA244" s="1528"/>
      <c r="AB244" s="1528"/>
      <c r="AC244" s="1528"/>
      <c r="AD244" s="1528"/>
      <c r="AE244" s="1528"/>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4" t="s">
        <v>67</v>
      </c>
      <c r="N245" s="1528"/>
      <c r="O245" s="1528"/>
      <c r="P245" s="1528"/>
      <c r="Q245" s="1528"/>
      <c r="R245" s="1528"/>
      <c r="S245" s="1528"/>
      <c r="T245" s="1528"/>
      <c r="V245" s="33" t="s">
        <v>86</v>
      </c>
      <c r="W245" s="1546" t="s">
        <v>2630</v>
      </c>
      <c r="X245" s="1473"/>
      <c r="Y245" s="4" t="s">
        <v>584</v>
      </c>
      <c r="AC245" s="1528">
        <v>92507</v>
      </c>
      <c r="AD245" s="1528"/>
      <c r="AE245" s="1528"/>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4" t="s">
        <v>2631</v>
      </c>
      <c r="N246" s="1528"/>
      <c r="O246" s="1528"/>
      <c r="P246" s="1528"/>
      <c r="Q246" s="1528"/>
      <c r="R246" s="1528"/>
      <c r="S246" s="1528"/>
      <c r="T246" s="1528"/>
      <c r="U246" s="1528"/>
      <c r="V246" s="1528"/>
      <c r="W246" s="1528"/>
      <c r="X246" s="1528"/>
      <c r="Y246" s="1528"/>
      <c r="Z246" s="1528"/>
      <c r="AA246" s="1528"/>
      <c r="AB246" s="1528"/>
      <c r="AC246" s="1528"/>
      <c r="AD246" s="1528"/>
      <c r="AE246" s="1528"/>
      <c r="AH246" s="1541">
        <v>1E-3</v>
      </c>
      <c r="AI246" s="1541"/>
      <c r="AJ246" s="1541"/>
      <c r="AK246" s="1541"/>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9">
        <v>9515386244</v>
      </c>
      <c r="N247" s="1489"/>
      <c r="O247" s="1489"/>
      <c r="P247" s="1489"/>
      <c r="Q247" s="1489"/>
      <c r="R247" s="1489"/>
      <c r="S247" s="4" t="s">
        <v>206</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2.95" customHeight="1">
      <c r="A248" s="19"/>
      <c r="B248" s="4"/>
      <c r="C248" s="4"/>
      <c r="D248" s="4" t="s">
        <v>90</v>
      </c>
      <c r="E248" s="4"/>
      <c r="F248" s="4"/>
      <c r="M248" s="1542" t="s">
        <v>2632</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4" t="s">
        <v>907</v>
      </c>
      <c r="V249" s="204"/>
      <c r="W249" s="204"/>
      <c r="X249" s="204"/>
      <c r="Y249" s="204"/>
      <c r="Z249" s="204"/>
      <c r="AA249" s="1563" t="s">
        <v>2633</v>
      </c>
      <c r="AB249" s="1564"/>
      <c r="AC249" s="1564"/>
      <c r="AD249" s="1564"/>
      <c r="AE249" s="1564"/>
      <c r="AF249" s="1564"/>
      <c r="AG249" s="1564"/>
      <c r="AH249" s="1564"/>
      <c r="AI249" s="1564"/>
      <c r="AJ249" s="1564"/>
      <c r="AK249" s="1564"/>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4" t="s">
        <v>2629</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2635</v>
      </c>
      <c r="AG251" s="1544"/>
      <c r="AH251" s="1544"/>
      <c r="AI251" s="1544"/>
      <c r="AJ251" s="1544"/>
      <c r="AK251" s="1544"/>
      <c r="AU251" s="4"/>
      <c r="AV251" s="4"/>
      <c r="AW251" s="4"/>
      <c r="AX251" s="4"/>
      <c r="AY251" s="4"/>
      <c r="BN251" s="34"/>
    </row>
    <row r="252" spans="1:67" ht="12.95" customHeight="1">
      <c r="A252" s="19"/>
      <c r="B252" s="4"/>
      <c r="C252" s="4"/>
      <c r="D252" s="4" t="s">
        <v>85</v>
      </c>
      <c r="E252" s="4"/>
      <c r="F252" s="4"/>
      <c r="G252" s="4"/>
      <c r="H252" s="4"/>
      <c r="I252" s="4"/>
      <c r="J252" s="4"/>
      <c r="K252" s="4"/>
      <c r="L252" s="4"/>
      <c r="M252" s="1524" t="s">
        <v>2645</v>
      </c>
      <c r="N252" s="1528"/>
      <c r="O252" s="1528"/>
      <c r="P252" s="1528"/>
      <c r="Q252" s="1528"/>
      <c r="R252" s="1528"/>
      <c r="S252" s="1528"/>
      <c r="T252" s="1528"/>
      <c r="U252" s="1528"/>
      <c r="V252" s="1528"/>
      <c r="W252" s="1528"/>
      <c r="X252" s="1528"/>
      <c r="Y252" s="1528"/>
      <c r="Z252" s="1528"/>
      <c r="AA252" s="1528"/>
      <c r="AB252" s="1528"/>
      <c r="AC252" s="1528"/>
      <c r="AD252" s="1528"/>
      <c r="AE252" s="1528"/>
      <c r="AF252" s="3" t="s">
        <v>1180</v>
      </c>
      <c r="AL252" s="4"/>
      <c r="AM252" s="4"/>
      <c r="AN252" s="4"/>
      <c r="AO252" s="4"/>
      <c r="AP252" s="4"/>
      <c r="AQ252" s="4"/>
      <c r="AR252" s="4"/>
      <c r="AS252" s="4"/>
      <c r="AT252" s="4"/>
      <c r="BN252" s="34"/>
    </row>
    <row r="253" spans="1:67" ht="12.95" customHeight="1">
      <c r="A253" s="19"/>
      <c r="B253" s="4"/>
      <c r="C253" s="4"/>
      <c r="D253" s="4" t="s">
        <v>581</v>
      </c>
      <c r="E253" s="4"/>
      <c r="M253" s="1524" t="s">
        <v>495</v>
      </c>
      <c r="N253" s="1528"/>
      <c r="O253" s="1528"/>
      <c r="P253" s="1528"/>
      <c r="Q253" s="1528"/>
      <c r="R253" s="1528"/>
      <c r="S253" s="1528"/>
      <c r="T253" s="1528"/>
      <c r="V253" s="33" t="s">
        <v>86</v>
      </c>
      <c r="W253" s="1546" t="s">
        <v>2624</v>
      </c>
      <c r="X253" s="1473"/>
      <c r="Y253" s="4" t="s">
        <v>584</v>
      </c>
      <c r="AC253" s="1528">
        <v>90010</v>
      </c>
      <c r="AD253" s="1528"/>
      <c r="AE253" s="1528"/>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4" t="s">
        <v>2625</v>
      </c>
      <c r="N254" s="1528"/>
      <c r="O254" s="1528"/>
      <c r="P254" s="1528"/>
      <c r="Q254" s="1528"/>
      <c r="R254" s="1528"/>
      <c r="S254" s="1528"/>
      <c r="T254" s="1528"/>
      <c r="U254" s="1528"/>
      <c r="V254" s="1528"/>
      <c r="W254" s="1528"/>
      <c r="X254" s="1528"/>
      <c r="Y254" s="1528"/>
      <c r="Z254" s="1528"/>
      <c r="AA254" s="1528"/>
      <c r="AB254" s="1528"/>
      <c r="AC254" s="1528"/>
      <c r="AD254" s="1528"/>
      <c r="AE254" s="1528"/>
      <c r="AH254" s="1541">
        <v>8.0000000000000002E-3</v>
      </c>
      <c r="AI254" s="1541"/>
      <c r="AJ254" s="1541"/>
      <c r="AK254" s="1541"/>
      <c r="AL254" s="4"/>
      <c r="AM254" s="4"/>
      <c r="AN254" s="4"/>
      <c r="AO254" s="4"/>
      <c r="AP254" s="4"/>
      <c r="AQ254" s="4"/>
      <c r="AR254" s="4"/>
      <c r="AS254" s="4"/>
      <c r="AT254" s="4"/>
    </row>
    <row r="255" spans="1:67" ht="12.95" customHeight="1">
      <c r="A255" s="19"/>
      <c r="B255" s="4"/>
      <c r="C255" s="4"/>
      <c r="D255" s="4" t="s">
        <v>88</v>
      </c>
      <c r="E255" s="4"/>
      <c r="F255" s="4"/>
      <c r="M255" s="1489">
        <v>2133655000</v>
      </c>
      <c r="N255" s="1489"/>
      <c r="O255" s="1489"/>
      <c r="P255" s="1489"/>
      <c r="Q255" s="1489"/>
      <c r="R255" s="1489"/>
      <c r="S255" s="4" t="s">
        <v>206</v>
      </c>
      <c r="T255" s="4"/>
      <c r="U255" s="1473"/>
      <c r="V255" s="1473"/>
      <c r="W255" s="1473"/>
      <c r="X255" s="4" t="s">
        <v>89</v>
      </c>
      <c r="Z255" s="1489"/>
      <c r="AA255" s="1489"/>
      <c r="AB255" s="1489"/>
      <c r="AC255" s="1489"/>
      <c r="AD255" s="1489"/>
      <c r="AE255" s="1489"/>
      <c r="AU255" s="4"/>
      <c r="AV255" s="4"/>
      <c r="AW255" s="4"/>
      <c r="AX255" s="4"/>
      <c r="AY255" s="4"/>
      <c r="BN255" s="34"/>
    </row>
    <row r="256" spans="1:67" ht="12.95" customHeight="1">
      <c r="A256" s="19"/>
      <c r="B256" s="4"/>
      <c r="C256" s="4"/>
      <c r="D256" s="4" t="s">
        <v>90</v>
      </c>
      <c r="E256" s="4"/>
      <c r="F256" s="4"/>
      <c r="M256" s="1542" t="s">
        <v>2636</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537</v>
      </c>
      <c r="N257" s="1371"/>
      <c r="O257" s="1371"/>
      <c r="P257" s="1371"/>
      <c r="Q257" s="1371"/>
      <c r="R257" s="1371"/>
      <c r="S257" s="1371"/>
      <c r="T257" s="1371"/>
      <c r="U257" s="204" t="s">
        <v>907</v>
      </c>
      <c r="V257" s="204"/>
      <c r="W257" s="204"/>
      <c r="X257" s="204"/>
      <c r="Y257" s="204"/>
      <c r="Z257" s="204"/>
      <c r="AA257" s="1563" t="s">
        <v>2637</v>
      </c>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4" t="s">
        <v>2638</v>
      </c>
      <c r="N259" s="1544"/>
      <c r="O259" s="1544"/>
      <c r="P259" s="1544"/>
      <c r="Q259" s="1544"/>
      <c r="R259" s="1544"/>
      <c r="S259" s="1544"/>
      <c r="T259" s="1544"/>
      <c r="U259" s="1544"/>
      <c r="V259" s="1544"/>
      <c r="W259" s="1544"/>
      <c r="X259" s="1544"/>
      <c r="Y259" s="1544"/>
      <c r="Z259" s="1544"/>
      <c r="AA259" s="1544"/>
      <c r="AB259" s="1544"/>
      <c r="AC259" s="1544"/>
      <c r="AD259" s="1544"/>
      <c r="AE259" s="1544"/>
      <c r="AF259" s="1544" t="s">
        <v>2635</v>
      </c>
      <c r="AG259" s="1544"/>
      <c r="AH259" s="1544"/>
      <c r="AI259" s="1544"/>
      <c r="AJ259" s="1544"/>
      <c r="AK259" s="1544"/>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8" t="s">
        <v>2639</v>
      </c>
      <c r="N260" s="1528"/>
      <c r="O260" s="1528"/>
      <c r="P260" s="1528"/>
      <c r="Q260" s="1528"/>
      <c r="R260" s="1528"/>
      <c r="S260" s="1528"/>
      <c r="T260" s="1528"/>
      <c r="U260" s="1528"/>
      <c r="V260" s="1528"/>
      <c r="W260" s="1528"/>
      <c r="X260" s="1528"/>
      <c r="Y260" s="1528"/>
      <c r="Z260" s="1528"/>
      <c r="AA260" s="1528"/>
      <c r="AB260" s="1528"/>
      <c r="AC260" s="1528"/>
      <c r="AD260" s="1528"/>
      <c r="AE260" s="1528"/>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4" t="s">
        <v>2640</v>
      </c>
      <c r="N261" s="1528"/>
      <c r="O261" s="1528"/>
      <c r="P261" s="1528"/>
      <c r="Q261" s="1528"/>
      <c r="R261" s="1528"/>
      <c r="S261" s="1528"/>
      <c r="T261" s="1528"/>
      <c r="V261" s="33" t="s">
        <v>86</v>
      </c>
      <c r="W261" s="1546" t="s">
        <v>2624</v>
      </c>
      <c r="X261" s="1473"/>
      <c r="Y261" s="4" t="s">
        <v>584</v>
      </c>
      <c r="AC261" s="1528">
        <v>91750</v>
      </c>
      <c r="AD261" s="1528"/>
      <c r="AE261" s="1528"/>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4" t="s">
        <v>2641</v>
      </c>
      <c r="N262" s="1528"/>
      <c r="O262" s="1528"/>
      <c r="P262" s="1528"/>
      <c r="Q262" s="1528"/>
      <c r="R262" s="1528"/>
      <c r="S262" s="1528"/>
      <c r="T262" s="1528"/>
      <c r="U262" s="1528"/>
      <c r="V262" s="1528"/>
      <c r="W262" s="1528"/>
      <c r="X262" s="1528"/>
      <c r="Y262" s="1528"/>
      <c r="Z262" s="1528"/>
      <c r="AA262" s="1528"/>
      <c r="AB262" s="1528"/>
      <c r="AC262" s="1528"/>
      <c r="AD262" s="1528"/>
      <c r="AE262" s="1528"/>
      <c r="AH262" s="1541">
        <v>1E-3</v>
      </c>
      <c r="AI262" s="1541"/>
      <c r="AJ262" s="1541"/>
      <c r="AK262" s="1541"/>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9">
        <v>8057549699</v>
      </c>
      <c r="N263" s="1489"/>
      <c r="O263" s="1489"/>
      <c r="P263" s="1489"/>
      <c r="Q263" s="1489"/>
      <c r="R263" s="1489"/>
      <c r="S263" s="4" t="s">
        <v>206</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2" t="s">
        <v>2642</v>
      </c>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537</v>
      </c>
      <c r="N265" s="1371"/>
      <c r="O265" s="1371"/>
      <c r="P265" s="1371"/>
      <c r="Q265" s="1371"/>
      <c r="R265" s="1371"/>
      <c r="S265" s="1371"/>
      <c r="T265" s="1371"/>
      <c r="U265" s="204" t="s">
        <v>907</v>
      </c>
      <c r="V265" s="204"/>
      <c r="W265" s="204"/>
      <c r="X265" s="204"/>
      <c r="Y265" s="204"/>
      <c r="Z265" s="204"/>
      <c r="AA265" s="1576"/>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70" t="str">
        <f>IFERROR(BO245,"")</f>
        <v>Joint Venture</v>
      </c>
      <c r="U267" s="1570"/>
      <c r="V267" s="1570"/>
      <c r="W267" s="1570"/>
      <c r="X267" s="1570"/>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8" t="s">
        <v>280</v>
      </c>
      <c r="E270" s="1528"/>
      <c r="F270" s="1528"/>
      <c r="G270" s="1528"/>
      <c r="H270" s="1528"/>
      <c r="J270" t="s">
        <v>279</v>
      </c>
      <c r="X270" s="1508"/>
      <c r="Y270" s="1508"/>
      <c r="Z270" s="1508"/>
      <c r="AA270" s="1508"/>
      <c r="AB270" s="1508"/>
      <c r="AC270" s="1508"/>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4" t="s">
        <v>2633</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8" t="s">
        <v>2627</v>
      </c>
      <c r="M275" s="1528"/>
      <c r="N275" s="1528"/>
      <c r="O275" s="1528"/>
      <c r="P275" s="1528"/>
      <c r="Q275" s="1528"/>
      <c r="R275" s="1528"/>
      <c r="S275" s="1528"/>
      <c r="T275" s="1528"/>
      <c r="U275" s="1528"/>
      <c r="V275" s="1528"/>
      <c r="W275" s="1528"/>
      <c r="X275" s="1528"/>
      <c r="Y275" s="1528"/>
      <c r="Z275" s="1528"/>
      <c r="AA275" s="1528"/>
      <c r="AB275" s="1528"/>
      <c r="AC275" s="1528"/>
      <c r="AD275" s="1528"/>
      <c r="AK275" s="3"/>
      <c r="AL275" s="3"/>
      <c r="AM275" s="3"/>
      <c r="AN275" s="3"/>
      <c r="AO275" s="3"/>
      <c r="AP275" s="3"/>
      <c r="AQ275" s="3"/>
      <c r="AR275" s="3"/>
      <c r="AS275" s="3"/>
      <c r="AT275" s="3"/>
      <c r="AU275" s="3"/>
      <c r="AV275" s="3"/>
      <c r="AW275" s="3"/>
      <c r="AX275" s="3"/>
      <c r="AY275" s="3"/>
    </row>
    <row r="276" spans="1:51" ht="12.95" customHeight="1">
      <c r="D276" s="4" t="s">
        <v>581</v>
      </c>
      <c r="E276" s="4"/>
      <c r="L276" s="1524" t="s">
        <v>67</v>
      </c>
      <c r="M276" s="1528"/>
      <c r="N276" s="1528"/>
      <c r="O276" s="1528"/>
      <c r="P276" s="1528"/>
      <c r="Q276" s="1528"/>
      <c r="R276" s="1528"/>
      <c r="S276" s="1528"/>
      <c r="U276" s="33" t="s">
        <v>86</v>
      </c>
      <c r="V276" s="1546" t="s">
        <v>2624</v>
      </c>
      <c r="W276" s="1473"/>
      <c r="X276" s="4" t="s">
        <v>584</v>
      </c>
      <c r="AB276" s="1528">
        <v>92507</v>
      </c>
      <c r="AC276" s="1528"/>
      <c r="AD276" s="152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4" t="s">
        <v>2631</v>
      </c>
      <c r="M277" s="1528"/>
      <c r="N277" s="1528"/>
      <c r="O277" s="1528"/>
      <c r="P277" s="1528"/>
      <c r="Q277" s="1528"/>
      <c r="R277" s="1528"/>
      <c r="S277" s="1528"/>
      <c r="T277" s="1528"/>
      <c r="U277" s="1528"/>
      <c r="V277" s="1528"/>
      <c r="W277" s="1528"/>
      <c r="X277" s="1528"/>
      <c r="Y277" s="1528"/>
      <c r="Z277" s="1528"/>
      <c r="AA277" s="1528"/>
      <c r="AB277" s="1528"/>
      <c r="AC277" s="1528"/>
      <c r="AD277" s="1528"/>
      <c r="AI277" s="4"/>
      <c r="AJ277" s="4"/>
      <c r="AK277" s="3"/>
      <c r="AL277" s="3"/>
      <c r="AM277" s="3"/>
      <c r="AN277" s="3"/>
      <c r="AO277" s="3"/>
      <c r="AP277" s="3"/>
      <c r="AQ277" s="3"/>
      <c r="AR277" s="3"/>
      <c r="AS277" s="3"/>
      <c r="AT277" s="3"/>
    </row>
    <row r="278" spans="1:51" ht="12.95" customHeight="1">
      <c r="D278" s="4" t="s">
        <v>88</v>
      </c>
      <c r="E278" s="4"/>
      <c r="F278" s="4"/>
      <c r="L278" s="1489">
        <v>9515386244</v>
      </c>
      <c r="M278" s="1489"/>
      <c r="N278" s="1489"/>
      <c r="O278" s="1489"/>
      <c r="P278" s="1489"/>
      <c r="Q278" s="1489"/>
      <c r="R278" s="4" t="s">
        <v>206</v>
      </c>
      <c r="S278" s="4"/>
      <c r="T278" s="1473"/>
      <c r="U278" s="1473"/>
      <c r="V278" s="1473"/>
      <c r="W278" s="4" t="s">
        <v>89</v>
      </c>
      <c r="Y278" s="1489"/>
      <c r="Z278" s="1489"/>
      <c r="AA278" s="1489"/>
      <c r="AB278" s="1489"/>
      <c r="AC278" s="1489"/>
      <c r="AD278" s="1489"/>
    </row>
    <row r="279" spans="1:51" ht="12.95" customHeight="1">
      <c r="D279" s="4" t="s">
        <v>90</v>
      </c>
      <c r="E279" s="4"/>
      <c r="F279" s="4"/>
      <c r="L279" s="1542" t="s">
        <v>2632</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5" customHeight="1">
      <c r="D280" s="3" t="s">
        <v>624</v>
      </c>
      <c r="E280" s="3"/>
      <c r="F280" s="3"/>
      <c r="G280" s="3"/>
      <c r="H280" s="3"/>
      <c r="I280" s="3"/>
      <c r="L280" s="1546" t="s">
        <v>2643</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7" t="s">
        <v>542</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2.95"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
        <v>2644</v>
      </c>
      <c r="I287" s="1407"/>
      <c r="J287" s="1407"/>
      <c r="K287" s="1407"/>
      <c r="L287" s="1407"/>
      <c r="M287" s="1407"/>
      <c r="N287" s="1407"/>
      <c r="O287" s="1407"/>
      <c r="P287" s="1407"/>
      <c r="Q287" s="1407"/>
      <c r="R287" s="1407"/>
      <c r="T287" s="3" t="s">
        <v>568</v>
      </c>
      <c r="V287" s="3"/>
      <c r="W287" s="3"/>
      <c r="X287" s="3"/>
      <c r="Y287" s="3"/>
      <c r="AA287" s="1407" t="s">
        <v>2647</v>
      </c>
      <c r="AB287" s="1407"/>
      <c r="AC287" s="1407"/>
      <c r="AD287" s="1407"/>
      <c r="AE287" s="1407"/>
      <c r="AF287" s="1407"/>
      <c r="AG287" s="1407"/>
      <c r="AH287" s="1407"/>
      <c r="AI287" s="1407"/>
      <c r="AJ287" s="1407"/>
      <c r="AK287" s="1407"/>
    </row>
    <row r="288" spans="1:51" ht="12.95" customHeight="1">
      <c r="B288" s="3" t="s">
        <v>472</v>
      </c>
      <c r="C288" s="3"/>
      <c r="D288" s="3"/>
      <c r="E288" s="3"/>
      <c r="F288" s="3"/>
      <c r="H288" s="1371" t="s">
        <v>2645</v>
      </c>
      <c r="I288" s="1371"/>
      <c r="J288" s="1371"/>
      <c r="K288" s="1371"/>
      <c r="L288" s="1371"/>
      <c r="M288" s="1371"/>
      <c r="N288" s="1371"/>
      <c r="O288" s="1371"/>
      <c r="P288" s="1371"/>
      <c r="Q288" s="1371"/>
      <c r="R288" s="1371"/>
      <c r="T288" s="3" t="s">
        <v>472</v>
      </c>
      <c r="V288" s="3"/>
      <c r="W288" s="3"/>
      <c r="X288" s="3"/>
      <c r="Y288" s="3"/>
      <c r="AA288" s="1371" t="s">
        <v>2648</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2646</v>
      </c>
      <c r="I289" s="1371"/>
      <c r="J289" s="1371"/>
      <c r="K289" s="1371"/>
      <c r="L289" s="1371"/>
      <c r="M289" s="1371"/>
      <c r="N289" s="1371"/>
      <c r="O289" s="1371"/>
      <c r="P289" s="1371"/>
      <c r="Q289" s="1371"/>
      <c r="R289" s="1371"/>
      <c r="T289" s="3" t="s">
        <v>75</v>
      </c>
      <c r="V289" s="3"/>
      <c r="W289" s="3"/>
      <c r="X289" s="3"/>
      <c r="Y289" s="3"/>
      <c r="AA289" s="1371" t="s">
        <v>2649</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2625</v>
      </c>
      <c r="I290" s="1371"/>
      <c r="J290" s="1371"/>
      <c r="K290" s="1371"/>
      <c r="L290" s="1371"/>
      <c r="M290" s="1371"/>
      <c r="N290" s="1371"/>
      <c r="O290" s="1371"/>
      <c r="P290" s="1371"/>
      <c r="Q290" s="1371"/>
      <c r="R290" s="1371"/>
      <c r="T290" s="3" t="s">
        <v>87</v>
      </c>
      <c r="V290" s="3"/>
      <c r="W290" s="3"/>
      <c r="X290" s="3"/>
      <c r="Y290" s="3"/>
      <c r="AA290" s="1371" t="s">
        <v>2650</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5">
        <v>2133655000</v>
      </c>
      <c r="I291" s="1545"/>
      <c r="J291" s="1545"/>
      <c r="K291" s="1545"/>
      <c r="L291" s="1545"/>
      <c r="M291" s="1545"/>
      <c r="N291" s="4" t="s">
        <v>206</v>
      </c>
      <c r="O291" s="4"/>
      <c r="P291" s="1528"/>
      <c r="Q291" s="1528"/>
      <c r="R291" s="1528"/>
      <c r="S291" s="3"/>
      <c r="T291" s="3" t="s">
        <v>88</v>
      </c>
      <c r="V291" s="3"/>
      <c r="W291" s="3"/>
      <c r="X291" s="3"/>
      <c r="Y291" s="3"/>
      <c r="AA291" s="1545">
        <v>3103356000</v>
      </c>
      <c r="AB291" s="1545"/>
      <c r="AC291" s="1545"/>
      <c r="AD291" s="1545"/>
      <c r="AE291" s="1545"/>
      <c r="AF291" s="1545"/>
      <c r="AG291" s="4" t="s">
        <v>206</v>
      </c>
      <c r="AH291" s="4"/>
      <c r="AI291" s="1528"/>
      <c r="AJ291" s="1528"/>
      <c r="AK291" s="1528"/>
    </row>
    <row r="292" spans="2:37" ht="12.95" customHeight="1">
      <c r="B292" s="3" t="s">
        <v>89</v>
      </c>
      <c r="C292" s="3"/>
      <c r="D292" s="3"/>
      <c r="E292" s="3"/>
      <c r="F292" s="3"/>
      <c r="G292" s="3"/>
      <c r="H292" s="1526" t="s">
        <v>2661</v>
      </c>
      <c r="I292" s="1489"/>
      <c r="J292" s="1489"/>
      <c r="K292" s="1489"/>
      <c r="L292" s="1489"/>
      <c r="M292" s="1489"/>
      <c r="N292" s="4"/>
      <c r="O292" s="4"/>
      <c r="P292" s="35"/>
      <c r="Q292" s="35"/>
      <c r="R292" s="35"/>
      <c r="S292" s="3"/>
      <c r="T292" s="3" t="s">
        <v>89</v>
      </c>
      <c r="V292" s="3"/>
      <c r="W292" s="3"/>
      <c r="X292" s="3"/>
      <c r="Y292" s="3"/>
      <c r="AA292" s="1526" t="s">
        <v>2661</v>
      </c>
      <c r="AB292" s="1489"/>
      <c r="AC292" s="1489"/>
      <c r="AD292" s="1489"/>
      <c r="AE292" s="1489"/>
      <c r="AF292" s="1489"/>
      <c r="AG292" s="4"/>
      <c r="AH292" s="4"/>
      <c r="AI292" s="35"/>
      <c r="AJ292" s="35"/>
      <c r="AK292" s="35"/>
    </row>
    <row r="293" spans="2:37" ht="12.95" customHeight="1">
      <c r="B293" s="3" t="s">
        <v>76</v>
      </c>
      <c r="C293" s="3"/>
      <c r="D293" s="3"/>
      <c r="E293" s="3"/>
      <c r="F293" s="3"/>
      <c r="G293" s="3"/>
      <c r="H293" s="1371" t="s">
        <v>2636</v>
      </c>
      <c r="I293" s="1371"/>
      <c r="J293" s="1371"/>
      <c r="K293" s="1371"/>
      <c r="L293" s="1371"/>
      <c r="M293" s="1371"/>
      <c r="N293" s="1407"/>
      <c r="O293" s="1407"/>
      <c r="P293" s="1407"/>
      <c r="Q293" s="1407"/>
      <c r="R293" s="1407"/>
      <c r="S293" s="3"/>
      <c r="T293" s="3" t="s">
        <v>76</v>
      </c>
      <c r="V293" s="3"/>
      <c r="W293" s="3"/>
      <c r="X293" s="3"/>
      <c r="Y293" s="3"/>
      <c r="AA293" s="1371" t="s">
        <v>2671</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2651</v>
      </c>
      <c r="I295" s="1407"/>
      <c r="J295" s="1407"/>
      <c r="K295" s="1407"/>
      <c r="L295" s="1407"/>
      <c r="M295" s="1407"/>
      <c r="N295" s="1407"/>
      <c r="O295" s="1407"/>
      <c r="P295" s="1407"/>
      <c r="Q295" s="1407"/>
      <c r="R295" s="1407"/>
      <c r="T295" s="3" t="s">
        <v>364</v>
      </c>
      <c r="V295" s="3"/>
      <c r="W295" s="3"/>
      <c r="X295" s="3"/>
      <c r="Y295" s="3"/>
      <c r="AA295" s="1407" t="s">
        <v>2655</v>
      </c>
      <c r="AB295" s="1407"/>
      <c r="AC295" s="1407"/>
      <c r="AD295" s="1407"/>
      <c r="AE295" s="1407"/>
      <c r="AF295" s="1407"/>
      <c r="AG295" s="1407"/>
      <c r="AH295" s="1407"/>
      <c r="AI295" s="1407"/>
      <c r="AJ295" s="1407"/>
      <c r="AK295" s="1407"/>
    </row>
    <row r="296" spans="2:37" ht="12.95" customHeight="1">
      <c r="B296" s="3" t="s">
        <v>472</v>
      </c>
      <c r="C296" s="3"/>
      <c r="D296" s="3"/>
      <c r="E296" s="3"/>
      <c r="F296" s="3"/>
      <c r="H296" s="1371" t="s">
        <v>2652</v>
      </c>
      <c r="I296" s="1371"/>
      <c r="J296" s="1371"/>
      <c r="K296" s="1371"/>
      <c r="L296" s="1371"/>
      <c r="M296" s="1371"/>
      <c r="N296" s="1371"/>
      <c r="O296" s="1371"/>
      <c r="P296" s="1371"/>
      <c r="Q296" s="1371"/>
      <c r="R296" s="1371"/>
      <c r="T296" s="3" t="s">
        <v>472</v>
      </c>
      <c r="V296" s="3"/>
      <c r="W296" s="3"/>
      <c r="X296" s="3"/>
      <c r="Y296" s="3"/>
      <c r="AA296" s="1371" t="s">
        <v>2656</v>
      </c>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2653</v>
      </c>
      <c r="I297" s="1371"/>
      <c r="J297" s="1371"/>
      <c r="K297" s="1371"/>
      <c r="L297" s="1371"/>
      <c r="M297" s="1371"/>
      <c r="N297" s="1371"/>
      <c r="O297" s="1371"/>
      <c r="P297" s="1371"/>
      <c r="Q297" s="1371"/>
      <c r="R297" s="1371"/>
      <c r="T297" s="3" t="s">
        <v>75</v>
      </c>
      <c r="V297" s="3"/>
      <c r="W297" s="3"/>
      <c r="X297" s="3"/>
      <c r="Y297" s="3"/>
      <c r="AA297" s="1371" t="s">
        <v>2646</v>
      </c>
      <c r="AB297" s="1371"/>
      <c r="AC297" s="1371"/>
      <c r="AD297" s="1371"/>
      <c r="AE297" s="1371"/>
      <c r="AF297" s="1371"/>
      <c r="AG297" s="1371"/>
      <c r="AH297" s="1371"/>
      <c r="AI297" s="1371"/>
      <c r="AJ297" s="1371"/>
      <c r="AK297" s="1371"/>
    </row>
    <row r="298" spans="2:37" ht="12.95" customHeight="1">
      <c r="B298" s="3" t="s">
        <v>87</v>
      </c>
      <c r="C298" s="3"/>
      <c r="D298" s="3"/>
      <c r="E298" s="3"/>
      <c r="F298" s="3"/>
      <c r="H298" s="1371" t="s">
        <v>2654</v>
      </c>
      <c r="I298" s="1371"/>
      <c r="J298" s="1371"/>
      <c r="K298" s="1371"/>
      <c r="L298" s="1371"/>
      <c r="M298" s="1371"/>
      <c r="N298" s="1371"/>
      <c r="O298" s="1371"/>
      <c r="P298" s="1371"/>
      <c r="Q298" s="1371"/>
      <c r="R298" s="1371"/>
      <c r="T298" s="3" t="s">
        <v>87</v>
      </c>
      <c r="V298" s="3"/>
      <c r="W298" s="3"/>
      <c r="X298" s="3"/>
      <c r="Y298" s="3"/>
      <c r="AA298" s="1371" t="s">
        <v>2625</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5">
        <v>2132398048</v>
      </c>
      <c r="I299" s="1545"/>
      <c r="J299" s="1545"/>
      <c r="K299" s="1545"/>
      <c r="L299" s="1545"/>
      <c r="M299" s="1545"/>
      <c r="N299" s="4" t="s">
        <v>206</v>
      </c>
      <c r="O299" s="4"/>
      <c r="P299" s="1528"/>
      <c r="Q299" s="1528"/>
      <c r="R299" s="1528"/>
      <c r="S299" s="3"/>
      <c r="T299" s="3" t="s">
        <v>88</v>
      </c>
      <c r="V299" s="3"/>
      <c r="W299" s="3"/>
      <c r="X299" s="3"/>
      <c r="Y299" s="3"/>
      <c r="AA299" s="1545">
        <v>2133655000</v>
      </c>
      <c r="AB299" s="1545"/>
      <c r="AC299" s="1545"/>
      <c r="AD299" s="1545"/>
      <c r="AE299" s="1545"/>
      <c r="AF299" s="1545"/>
      <c r="AG299" s="4" t="s">
        <v>206</v>
      </c>
      <c r="AH299" s="4"/>
      <c r="AI299" s="1528"/>
      <c r="AJ299" s="1528"/>
      <c r="AK299" s="1528"/>
    </row>
    <row r="300" spans="2:37" ht="12.95" customHeight="1">
      <c r="B300" s="3" t="s">
        <v>89</v>
      </c>
      <c r="C300" s="3"/>
      <c r="D300" s="3"/>
      <c r="E300" s="3"/>
      <c r="F300" s="3"/>
      <c r="G300" s="3"/>
      <c r="H300" s="1489">
        <v>2135590747</v>
      </c>
      <c r="I300" s="1489"/>
      <c r="J300" s="1489"/>
      <c r="K300" s="1489"/>
      <c r="L300" s="1489"/>
      <c r="M300" s="1489"/>
      <c r="N300" s="4"/>
      <c r="O300" s="4"/>
      <c r="P300" s="35"/>
      <c r="Q300" s="35"/>
      <c r="R300" s="35"/>
      <c r="S300" s="3"/>
      <c r="T300" s="3" t="s">
        <v>89</v>
      </c>
      <c r="V300" s="3"/>
      <c r="W300" s="3"/>
      <c r="X300" s="3"/>
      <c r="Y300" s="3"/>
      <c r="AA300" s="1489" t="s">
        <v>2661</v>
      </c>
      <c r="AB300" s="1489"/>
      <c r="AC300" s="1489"/>
      <c r="AD300" s="1489"/>
      <c r="AE300" s="1489"/>
      <c r="AF300" s="1489"/>
      <c r="AG300" s="4"/>
      <c r="AH300" s="4"/>
      <c r="AI300" s="35"/>
      <c r="AJ300" s="35"/>
      <c r="AK300" s="35"/>
    </row>
    <row r="301" spans="2:37" ht="12.95" customHeight="1">
      <c r="B301" s="3" t="s">
        <v>76</v>
      </c>
      <c r="C301" s="3"/>
      <c r="D301" s="3"/>
      <c r="E301" s="3"/>
      <c r="F301" s="3"/>
      <c r="G301" s="3"/>
      <c r="H301" s="1371" t="s">
        <v>2672</v>
      </c>
      <c r="I301" s="1371"/>
      <c r="J301" s="1371"/>
      <c r="K301" s="1371"/>
      <c r="L301" s="1371"/>
      <c r="M301" s="1371"/>
      <c r="N301" s="1407"/>
      <c r="O301" s="1407"/>
      <c r="P301" s="1407"/>
      <c r="Q301" s="1407"/>
      <c r="R301" s="1407"/>
      <c r="S301" s="3"/>
      <c r="T301" s="3" t="s">
        <v>76</v>
      </c>
      <c r="V301" s="3"/>
      <c r="W301" s="3"/>
      <c r="X301" s="3"/>
      <c r="Y301" s="3"/>
      <c r="AA301" s="1371" t="s">
        <v>2636</v>
      </c>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2657</v>
      </c>
      <c r="I303" s="1407"/>
      <c r="J303" s="1407"/>
      <c r="K303" s="1407"/>
      <c r="L303" s="1407"/>
      <c r="M303" s="1407"/>
      <c r="N303" s="1407"/>
      <c r="O303" s="1407"/>
      <c r="P303" s="1407"/>
      <c r="Q303" s="1407"/>
      <c r="R303" s="1407"/>
      <c r="T303" s="4" t="s">
        <v>879</v>
      </c>
      <c r="V303" s="3"/>
      <c r="W303" s="3"/>
      <c r="X303" s="3"/>
      <c r="Y303" s="3"/>
      <c r="AA303" s="1407" t="s">
        <v>2661</v>
      </c>
      <c r="AB303" s="1407"/>
      <c r="AC303" s="1407"/>
      <c r="AD303" s="1407"/>
      <c r="AE303" s="1407"/>
      <c r="AF303" s="1407"/>
      <c r="AG303" s="1407"/>
      <c r="AH303" s="1407"/>
      <c r="AI303" s="1407"/>
      <c r="AJ303" s="1407"/>
      <c r="AK303" s="1407"/>
    </row>
    <row r="304" spans="2:37" ht="12.95" customHeight="1">
      <c r="B304" s="3" t="s">
        <v>472</v>
      </c>
      <c r="C304" s="3"/>
      <c r="D304" s="3"/>
      <c r="E304" s="3"/>
      <c r="F304" s="3"/>
      <c r="H304" s="1371" t="s">
        <v>2658</v>
      </c>
      <c r="I304" s="1371"/>
      <c r="J304" s="1371"/>
      <c r="K304" s="1371"/>
      <c r="L304" s="1371"/>
      <c r="M304" s="1371"/>
      <c r="N304" s="1371"/>
      <c r="O304" s="1371"/>
      <c r="P304" s="1371"/>
      <c r="Q304" s="1371"/>
      <c r="R304" s="1371"/>
      <c r="T304" s="3" t="s">
        <v>472</v>
      </c>
      <c r="V304" s="3"/>
      <c r="W304" s="3"/>
      <c r="X304" s="3"/>
      <c r="Y304" s="3"/>
      <c r="AA304" s="1371" t="s">
        <v>2661</v>
      </c>
      <c r="AB304" s="1371"/>
      <c r="AC304" s="1371"/>
      <c r="AD304" s="1371"/>
      <c r="AE304" s="1371"/>
      <c r="AF304" s="1371"/>
      <c r="AG304" s="1371"/>
      <c r="AH304" s="1371"/>
      <c r="AI304" s="1371"/>
      <c r="AJ304" s="1371"/>
      <c r="AK304" s="1371"/>
    </row>
    <row r="305" spans="2:37" ht="12.95" customHeight="1">
      <c r="B305" s="3" t="s">
        <v>473</v>
      </c>
      <c r="C305" s="3"/>
      <c r="D305" s="3"/>
      <c r="E305" s="3"/>
      <c r="F305" s="3"/>
      <c r="H305" s="1371" t="s">
        <v>2659</v>
      </c>
      <c r="I305" s="1371"/>
      <c r="J305" s="1371"/>
      <c r="K305" s="1371"/>
      <c r="L305" s="1371"/>
      <c r="M305" s="1371"/>
      <c r="N305" s="1371"/>
      <c r="O305" s="1371"/>
      <c r="P305" s="1371"/>
      <c r="Q305" s="1371"/>
      <c r="R305" s="1371"/>
      <c r="T305" s="3" t="s">
        <v>75</v>
      </c>
      <c r="V305" s="3"/>
      <c r="W305" s="3"/>
      <c r="X305" s="3"/>
      <c r="Y305" s="3"/>
      <c r="AA305" s="1371" t="s">
        <v>2661</v>
      </c>
      <c r="AB305" s="1371"/>
      <c r="AC305" s="1371"/>
      <c r="AD305" s="1371"/>
      <c r="AE305" s="1371"/>
      <c r="AF305" s="1371"/>
      <c r="AG305" s="1371"/>
      <c r="AH305" s="1371"/>
      <c r="AI305" s="1371"/>
      <c r="AJ305" s="1371"/>
      <c r="AK305" s="1371"/>
    </row>
    <row r="306" spans="2:37" ht="12.95" customHeight="1">
      <c r="B306" s="3" t="s">
        <v>87</v>
      </c>
      <c r="C306" s="3"/>
      <c r="D306" s="3"/>
      <c r="E306" s="3"/>
      <c r="F306" s="3"/>
      <c r="H306" s="1371" t="s">
        <v>2660</v>
      </c>
      <c r="I306" s="1371"/>
      <c r="J306" s="1371"/>
      <c r="K306" s="1371"/>
      <c r="L306" s="1371"/>
      <c r="M306" s="1371"/>
      <c r="N306" s="1371"/>
      <c r="O306" s="1371"/>
      <c r="P306" s="1371"/>
      <c r="Q306" s="1371"/>
      <c r="R306" s="1371"/>
      <c r="T306" s="3" t="s">
        <v>87</v>
      </c>
      <c r="V306" s="3"/>
      <c r="W306" s="3"/>
      <c r="X306" s="3"/>
      <c r="Y306" s="3"/>
      <c r="AA306" s="1371" t="s">
        <v>2661</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5">
        <v>4153568000</v>
      </c>
      <c r="I307" s="1545"/>
      <c r="J307" s="1545"/>
      <c r="K307" s="1545"/>
      <c r="L307" s="1545"/>
      <c r="M307" s="1545"/>
      <c r="N307" s="4" t="s">
        <v>206</v>
      </c>
      <c r="O307" s="4"/>
      <c r="P307" s="1528"/>
      <c r="Q307" s="1528"/>
      <c r="R307" s="1528"/>
      <c r="S307" s="3"/>
      <c r="T307" s="3" t="s">
        <v>88</v>
      </c>
      <c r="V307" s="3"/>
      <c r="W307" s="3"/>
      <c r="X307" s="3"/>
      <c r="Y307" s="3"/>
      <c r="AA307" s="1545" t="s">
        <v>2661</v>
      </c>
      <c r="AB307" s="1545"/>
      <c r="AC307" s="1545"/>
      <c r="AD307" s="1545"/>
      <c r="AE307" s="1545"/>
      <c r="AF307" s="1545"/>
      <c r="AG307" s="4" t="s">
        <v>206</v>
      </c>
      <c r="AH307" s="4"/>
      <c r="AI307" s="1528"/>
      <c r="AJ307" s="1528"/>
      <c r="AK307" s="1528"/>
    </row>
    <row r="308" spans="2:37" ht="12.95" customHeight="1">
      <c r="B308" s="3" t="s">
        <v>89</v>
      </c>
      <c r="C308" s="3"/>
      <c r="D308" s="3"/>
      <c r="E308" s="3"/>
      <c r="F308" s="3"/>
      <c r="G308" s="3"/>
      <c r="H308" s="1489">
        <v>4153568001</v>
      </c>
      <c r="I308" s="1489"/>
      <c r="J308" s="1489"/>
      <c r="K308" s="1489"/>
      <c r="L308" s="1489"/>
      <c r="M308" s="1489"/>
      <c r="N308" s="4"/>
      <c r="O308" s="4"/>
      <c r="P308" s="35"/>
      <c r="Q308" s="35"/>
      <c r="R308" s="35"/>
      <c r="S308" s="3"/>
      <c r="T308" s="3" t="s">
        <v>89</v>
      </c>
      <c r="V308" s="3"/>
      <c r="W308" s="3"/>
      <c r="X308" s="3"/>
      <c r="Y308" s="3"/>
      <c r="AA308" s="1489" t="s">
        <v>2661</v>
      </c>
      <c r="AB308" s="1489"/>
      <c r="AC308" s="1489"/>
      <c r="AD308" s="1489"/>
      <c r="AE308" s="1489"/>
      <c r="AF308" s="1489"/>
      <c r="AG308" s="4"/>
      <c r="AH308" s="4"/>
      <c r="AI308" s="35"/>
      <c r="AJ308" s="35"/>
      <c r="AK308" s="35"/>
    </row>
    <row r="309" spans="2:37" ht="12.95" customHeight="1">
      <c r="B309" s="3" t="s">
        <v>76</v>
      </c>
      <c r="C309" s="3"/>
      <c r="D309" s="3"/>
      <c r="E309" s="3"/>
      <c r="F309" s="3"/>
      <c r="G309" s="3"/>
      <c r="H309" s="1371" t="s">
        <v>2673</v>
      </c>
      <c r="I309" s="1371"/>
      <c r="J309" s="1371"/>
      <c r="K309" s="1371"/>
      <c r="L309" s="1371"/>
      <c r="M309" s="1371"/>
      <c r="N309" s="1407"/>
      <c r="O309" s="1407"/>
      <c r="P309" s="1407"/>
      <c r="Q309" s="1407"/>
      <c r="R309" s="1407"/>
      <c r="S309" s="3"/>
      <c r="T309" s="3" t="s">
        <v>76</v>
      </c>
      <c r="V309" s="3"/>
      <c r="W309" s="3"/>
      <c r="X309" s="3"/>
      <c r="Y309" s="3"/>
      <c r="AA309" s="1371" t="s">
        <v>2661</v>
      </c>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t="s">
        <v>2657</v>
      </c>
      <c r="I311" s="1407"/>
      <c r="J311" s="1407"/>
      <c r="K311" s="1407"/>
      <c r="L311" s="1407"/>
      <c r="M311" s="1407"/>
      <c r="N311" s="1407"/>
      <c r="O311" s="1407"/>
      <c r="P311" s="1407"/>
      <c r="Q311" s="1407"/>
      <c r="R311" s="1407"/>
      <c r="S311" s="3"/>
      <c r="T311" s="3" t="s">
        <v>365</v>
      </c>
      <c r="V311" s="3"/>
      <c r="W311" s="3"/>
      <c r="X311" s="3"/>
      <c r="Y311" s="3"/>
      <c r="AA311" s="1407" t="s">
        <v>2663</v>
      </c>
      <c r="AB311" s="1407"/>
      <c r="AC311" s="1407"/>
      <c r="AD311" s="1407"/>
      <c r="AE311" s="1407"/>
      <c r="AF311" s="1407"/>
      <c r="AG311" s="1407"/>
      <c r="AH311" s="1407"/>
      <c r="AI311" s="1407"/>
      <c r="AJ311" s="1407"/>
      <c r="AK311" s="1407"/>
    </row>
    <row r="312" spans="2:37" ht="12.95" customHeight="1">
      <c r="B312" s="3" t="s">
        <v>472</v>
      </c>
      <c r="C312" s="3"/>
      <c r="D312" s="3"/>
      <c r="E312" s="3"/>
      <c r="F312" s="3"/>
      <c r="H312" s="1371" t="s">
        <v>2658</v>
      </c>
      <c r="I312" s="1371"/>
      <c r="J312" s="1371"/>
      <c r="K312" s="1371"/>
      <c r="L312" s="1371"/>
      <c r="M312" s="1371"/>
      <c r="N312" s="1371"/>
      <c r="O312" s="1371"/>
      <c r="P312" s="1371"/>
      <c r="Q312" s="1371"/>
      <c r="R312" s="1371"/>
      <c r="S312" s="3"/>
      <c r="T312" s="3" t="s">
        <v>472</v>
      </c>
      <c r="V312" s="3"/>
      <c r="W312" s="3"/>
      <c r="X312" s="3"/>
      <c r="Y312" s="3"/>
      <c r="AA312" s="1371" t="s">
        <v>2664</v>
      </c>
      <c r="AB312" s="1371"/>
      <c r="AC312" s="1371"/>
      <c r="AD312" s="1371"/>
      <c r="AE312" s="1371"/>
      <c r="AF312" s="1371"/>
      <c r="AG312" s="1371"/>
      <c r="AH312" s="1371"/>
      <c r="AI312" s="1371"/>
      <c r="AJ312" s="1371"/>
      <c r="AK312" s="1371"/>
    </row>
    <row r="313" spans="2:37" ht="12.95" customHeight="1">
      <c r="B313" s="3" t="s">
        <v>473</v>
      </c>
      <c r="C313" s="3"/>
      <c r="D313" s="3"/>
      <c r="E313" s="3"/>
      <c r="F313" s="3"/>
      <c r="H313" s="1371" t="s">
        <v>2659</v>
      </c>
      <c r="I313" s="1371"/>
      <c r="J313" s="1371"/>
      <c r="K313" s="1371"/>
      <c r="L313" s="1371"/>
      <c r="M313" s="1371"/>
      <c r="N313" s="1371"/>
      <c r="O313" s="1371"/>
      <c r="P313" s="1371"/>
      <c r="Q313" s="1371"/>
      <c r="R313" s="1371"/>
      <c r="S313" s="3"/>
      <c r="T313" s="3" t="s">
        <v>75</v>
      </c>
      <c r="V313" s="3"/>
      <c r="W313" s="3"/>
      <c r="X313" s="3"/>
      <c r="Y313" s="3"/>
      <c r="AA313" s="1371" t="s">
        <v>2665</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2662</v>
      </c>
      <c r="I314" s="1371"/>
      <c r="J314" s="1371"/>
      <c r="K314" s="1371"/>
      <c r="L314" s="1371"/>
      <c r="M314" s="1371"/>
      <c r="N314" s="1371"/>
      <c r="O314" s="1371"/>
      <c r="P314" s="1371"/>
      <c r="Q314" s="1371"/>
      <c r="R314" s="1371"/>
      <c r="S314" s="3"/>
      <c r="T314" s="3" t="s">
        <v>87</v>
      </c>
      <c r="V314" s="3"/>
      <c r="W314" s="3"/>
      <c r="X314" s="3"/>
      <c r="Y314" s="3"/>
      <c r="AA314" s="1371" t="s">
        <v>2666</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5">
        <v>2067760855</v>
      </c>
      <c r="I315" s="1545"/>
      <c r="J315" s="1545"/>
      <c r="K315" s="1545"/>
      <c r="L315" s="1545"/>
      <c r="M315" s="1545"/>
      <c r="N315" s="4" t="s">
        <v>206</v>
      </c>
      <c r="O315" s="4"/>
      <c r="P315" s="1528"/>
      <c r="Q315" s="1528"/>
      <c r="R315" s="1528"/>
      <c r="S315" s="3"/>
      <c r="T315" s="3" t="s">
        <v>88</v>
      </c>
      <c r="V315" s="3"/>
      <c r="W315" s="3"/>
      <c r="X315" s="3"/>
      <c r="Y315" s="3"/>
      <c r="AA315" s="1545">
        <v>9167900246</v>
      </c>
      <c r="AB315" s="1545"/>
      <c r="AC315" s="1545"/>
      <c r="AD315" s="1545"/>
      <c r="AE315" s="1545"/>
      <c r="AF315" s="1545"/>
      <c r="AG315" s="4" t="s">
        <v>206</v>
      </c>
      <c r="AH315" s="4"/>
      <c r="AI315" s="1528"/>
      <c r="AJ315" s="1528"/>
      <c r="AK315" s="1528"/>
    </row>
    <row r="316" spans="2:37" ht="12.95" customHeight="1">
      <c r="B316" s="3" t="s">
        <v>89</v>
      </c>
      <c r="C316" s="3"/>
      <c r="D316" s="3"/>
      <c r="E316" s="3"/>
      <c r="F316" s="3"/>
      <c r="G316" s="3"/>
      <c r="H316" s="1489" t="s">
        <v>2661</v>
      </c>
      <c r="I316" s="1489"/>
      <c r="J316" s="1489"/>
      <c r="K316" s="1489"/>
      <c r="L316" s="1489"/>
      <c r="M316" s="1489"/>
      <c r="N316" s="4"/>
      <c r="O316" s="4"/>
      <c r="P316" s="35"/>
      <c r="Q316" s="35"/>
      <c r="R316" s="35"/>
      <c r="S316" s="3"/>
      <c r="T316" s="3" t="s">
        <v>89</v>
      </c>
      <c r="V316" s="3"/>
      <c r="W316" s="3"/>
      <c r="X316" s="3"/>
      <c r="Y316" s="3"/>
      <c r="AA316" s="1489" t="s">
        <v>2661</v>
      </c>
      <c r="AB316" s="1489"/>
      <c r="AC316" s="1489"/>
      <c r="AD316" s="1489"/>
      <c r="AE316" s="1489"/>
      <c r="AF316" s="1489"/>
      <c r="AG316" s="4"/>
      <c r="AH316" s="4"/>
      <c r="AI316" s="35"/>
      <c r="AJ316" s="35"/>
      <c r="AK316" s="35"/>
    </row>
    <row r="317" spans="2:37" ht="12.95" customHeight="1">
      <c r="B317" s="3" t="s">
        <v>76</v>
      </c>
      <c r="C317" s="3"/>
      <c r="D317" s="3"/>
      <c r="E317" s="3"/>
      <c r="F317" s="3"/>
      <c r="G317" s="3"/>
      <c r="H317" s="1371" t="s">
        <v>2675</v>
      </c>
      <c r="I317" s="1371"/>
      <c r="J317" s="1371"/>
      <c r="K317" s="1371"/>
      <c r="L317" s="1371"/>
      <c r="M317" s="1371"/>
      <c r="N317" s="1407"/>
      <c r="O317" s="1407"/>
      <c r="P317" s="1407"/>
      <c r="Q317" s="1407"/>
      <c r="R317" s="1407"/>
      <c r="S317" s="3"/>
      <c r="T317" s="3" t="s">
        <v>76</v>
      </c>
      <c r="V317" s="3"/>
      <c r="W317" s="3"/>
      <c r="X317" s="3"/>
      <c r="Y317" s="3"/>
      <c r="AA317" s="1371" t="s">
        <v>2674</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t="s">
        <v>2633</v>
      </c>
      <c r="I319" s="1407"/>
      <c r="J319" s="1407"/>
      <c r="K319" s="1407"/>
      <c r="L319" s="1407"/>
      <c r="M319" s="1407"/>
      <c r="N319" s="1407"/>
      <c r="O319" s="1407"/>
      <c r="P319" s="1407"/>
      <c r="Q319" s="1407"/>
      <c r="R319" s="1407"/>
      <c r="T319" s="3" t="s">
        <v>366</v>
      </c>
      <c r="V319" s="3"/>
      <c r="W319" s="3"/>
      <c r="X319" s="3"/>
      <c r="Y319" s="3"/>
      <c r="AA319" s="1407" t="s">
        <v>2657</v>
      </c>
      <c r="AB319" s="1407"/>
      <c r="AC319" s="1407"/>
      <c r="AD319" s="1407"/>
      <c r="AE319" s="1407"/>
      <c r="AF319" s="1407"/>
      <c r="AG319" s="1407"/>
      <c r="AH319" s="1407"/>
      <c r="AI319" s="1407"/>
      <c r="AJ319" s="1407"/>
      <c r="AK319" s="1407"/>
    </row>
    <row r="320" spans="2:37" ht="12.95" customHeight="1">
      <c r="B320" s="3" t="s">
        <v>472</v>
      </c>
      <c r="C320" s="3"/>
      <c r="D320" s="3"/>
      <c r="E320" s="3"/>
      <c r="F320" s="3"/>
      <c r="H320" s="1371" t="s">
        <v>2627</v>
      </c>
      <c r="I320" s="1371"/>
      <c r="J320" s="1371"/>
      <c r="K320" s="1371"/>
      <c r="L320" s="1371"/>
      <c r="M320" s="1371"/>
      <c r="N320" s="1371"/>
      <c r="O320" s="1371"/>
      <c r="P320" s="1371"/>
      <c r="Q320" s="1371"/>
      <c r="R320" s="1371"/>
      <c r="T320" s="3" t="s">
        <v>472</v>
      </c>
      <c r="V320" s="3"/>
      <c r="W320" s="3"/>
      <c r="X320" s="3"/>
      <c r="Y320" s="3"/>
      <c r="AA320" s="1371" t="s">
        <v>2668</v>
      </c>
      <c r="AB320" s="1371"/>
      <c r="AC320" s="1371"/>
      <c r="AD320" s="1371"/>
      <c r="AE320" s="1371"/>
      <c r="AF320" s="1371"/>
      <c r="AG320" s="1371"/>
      <c r="AH320" s="1371"/>
      <c r="AI320" s="1371"/>
      <c r="AJ320" s="1371"/>
      <c r="AK320" s="1371"/>
    </row>
    <row r="321" spans="2:37" ht="12.95" customHeight="1">
      <c r="B321" s="3" t="s">
        <v>473</v>
      </c>
      <c r="C321" s="3"/>
      <c r="D321" s="3"/>
      <c r="E321" s="3"/>
      <c r="F321" s="3"/>
      <c r="H321" s="1371" t="s">
        <v>2667</v>
      </c>
      <c r="I321" s="1371"/>
      <c r="J321" s="1371"/>
      <c r="K321" s="1371"/>
      <c r="L321" s="1371"/>
      <c r="M321" s="1371"/>
      <c r="N321" s="1371"/>
      <c r="O321" s="1371"/>
      <c r="P321" s="1371"/>
      <c r="Q321" s="1371"/>
      <c r="R321" s="1371"/>
      <c r="T321" s="3" t="s">
        <v>75</v>
      </c>
      <c r="V321" s="3"/>
      <c r="W321" s="3"/>
      <c r="X321" s="3"/>
      <c r="Y321" s="3"/>
      <c r="AA321" s="1371" t="s">
        <v>2669</v>
      </c>
      <c r="AB321" s="1371"/>
      <c r="AC321" s="1371"/>
      <c r="AD321" s="1371"/>
      <c r="AE321" s="1371"/>
      <c r="AF321" s="1371"/>
      <c r="AG321" s="1371"/>
      <c r="AH321" s="1371"/>
      <c r="AI321" s="1371"/>
      <c r="AJ321" s="1371"/>
      <c r="AK321" s="1371"/>
    </row>
    <row r="322" spans="2:37" ht="12.95" customHeight="1">
      <c r="B322" s="3" t="s">
        <v>87</v>
      </c>
      <c r="C322" s="3"/>
      <c r="D322" s="3"/>
      <c r="E322" s="3"/>
      <c r="F322" s="3"/>
      <c r="H322" s="1371" t="s">
        <v>2631</v>
      </c>
      <c r="I322" s="1371"/>
      <c r="J322" s="1371"/>
      <c r="K322" s="1371"/>
      <c r="L322" s="1371"/>
      <c r="M322" s="1371"/>
      <c r="N322" s="1371"/>
      <c r="O322" s="1371"/>
      <c r="P322" s="1371"/>
      <c r="Q322" s="1371"/>
      <c r="R322" s="1371"/>
      <c r="T322" s="3" t="s">
        <v>87</v>
      </c>
      <c r="V322" s="3"/>
      <c r="W322" s="3"/>
      <c r="X322" s="3"/>
      <c r="Y322" s="3"/>
      <c r="AA322" s="1371" t="s">
        <v>2670</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5">
        <v>9515386244</v>
      </c>
      <c r="I323" s="1545"/>
      <c r="J323" s="1545"/>
      <c r="K323" s="1545"/>
      <c r="L323" s="1545"/>
      <c r="M323" s="1545"/>
      <c r="N323" s="4" t="s">
        <v>206</v>
      </c>
      <c r="O323" s="4"/>
      <c r="P323" s="1528"/>
      <c r="Q323" s="1528"/>
      <c r="R323" s="1528"/>
      <c r="S323" s="3"/>
      <c r="T323" s="3" t="s">
        <v>88</v>
      </c>
      <c r="V323" s="3"/>
      <c r="W323" s="3"/>
      <c r="X323" s="3"/>
      <c r="Y323" s="3"/>
      <c r="AA323" s="1545">
        <v>9133124615</v>
      </c>
      <c r="AB323" s="1545"/>
      <c r="AC323" s="1545"/>
      <c r="AD323" s="1545"/>
      <c r="AE323" s="1545"/>
      <c r="AF323" s="1545"/>
      <c r="AG323" s="4" t="s">
        <v>206</v>
      </c>
      <c r="AH323" s="4"/>
      <c r="AI323" s="1528"/>
      <c r="AJ323" s="1528"/>
      <c r="AK323" s="1528"/>
    </row>
    <row r="324" spans="2:37" ht="12.95" customHeight="1">
      <c r="B324" s="3" t="s">
        <v>89</v>
      </c>
      <c r="C324" s="3"/>
      <c r="D324" s="3"/>
      <c r="E324" s="3"/>
      <c r="F324" s="3"/>
      <c r="G324" s="3"/>
      <c r="H324" s="1489" t="s">
        <v>2661</v>
      </c>
      <c r="I324" s="1489"/>
      <c r="J324" s="1489"/>
      <c r="K324" s="1489"/>
      <c r="L324" s="1489"/>
      <c r="M324" s="1489"/>
      <c r="N324" s="4"/>
      <c r="O324" s="4"/>
      <c r="P324" s="35"/>
      <c r="Q324" s="35"/>
      <c r="R324" s="35"/>
      <c r="S324" s="3"/>
      <c r="T324" s="3" t="s">
        <v>89</v>
      </c>
      <c r="V324" s="3"/>
      <c r="W324" s="3"/>
      <c r="X324" s="3"/>
      <c r="Y324" s="3"/>
      <c r="AA324" s="1489" t="s">
        <v>2661</v>
      </c>
      <c r="AB324" s="1489"/>
      <c r="AC324" s="1489"/>
      <c r="AD324" s="1489"/>
      <c r="AE324" s="1489"/>
      <c r="AF324" s="1489"/>
      <c r="AG324" s="4"/>
      <c r="AH324" s="4"/>
      <c r="AI324" s="35"/>
      <c r="AJ324" s="35"/>
      <c r="AK324" s="35"/>
    </row>
    <row r="325" spans="2:37" ht="12.95" customHeight="1">
      <c r="B325" s="3" t="s">
        <v>76</v>
      </c>
      <c r="C325" s="3"/>
      <c r="D325" s="3"/>
      <c r="E325" s="3"/>
      <c r="F325" s="3"/>
      <c r="G325" s="3"/>
      <c r="H325" s="1371" t="s">
        <v>2632</v>
      </c>
      <c r="I325" s="1371"/>
      <c r="J325" s="1371"/>
      <c r="K325" s="1371"/>
      <c r="L325" s="1371"/>
      <c r="M325" s="1371"/>
      <c r="N325" s="1407"/>
      <c r="O325" s="1407"/>
      <c r="P325" s="1407"/>
      <c r="Q325" s="1407"/>
      <c r="R325" s="1407"/>
      <c r="S325" s="3"/>
      <c r="T325" s="3" t="s">
        <v>76</v>
      </c>
      <c r="V325" s="3"/>
      <c r="W325" s="3"/>
      <c r="X325" s="3"/>
      <c r="Y325" s="3"/>
      <c r="AA325" s="1371" t="s">
        <v>2676</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t="s">
        <v>2677</v>
      </c>
      <c r="I327" s="1407"/>
      <c r="J327" s="1407"/>
      <c r="K327" s="1407"/>
      <c r="L327" s="1407"/>
      <c r="M327" s="1407"/>
      <c r="N327" s="1407"/>
      <c r="O327" s="1407"/>
      <c r="P327" s="1407"/>
      <c r="Q327" s="1407"/>
      <c r="R327" s="1407"/>
      <c r="T327" s="3" t="s">
        <v>368</v>
      </c>
      <c r="V327" s="3"/>
      <c r="W327" s="3"/>
      <c r="X327" s="3"/>
      <c r="Y327" s="3"/>
      <c r="AA327" s="1407" t="s">
        <v>2661</v>
      </c>
      <c r="AB327" s="1407"/>
      <c r="AC327" s="1407"/>
      <c r="AD327" s="1407"/>
      <c r="AE327" s="1407"/>
      <c r="AF327" s="1407"/>
      <c r="AG327" s="1407"/>
      <c r="AH327" s="1407"/>
      <c r="AI327" s="1407"/>
      <c r="AJ327" s="1407"/>
      <c r="AK327" s="1407"/>
    </row>
    <row r="328" spans="2:37" ht="12.95" customHeight="1">
      <c r="B328" s="3" t="s">
        <v>472</v>
      </c>
      <c r="C328" s="3"/>
      <c r="D328" s="3"/>
      <c r="E328" s="3"/>
      <c r="F328" s="3"/>
      <c r="H328" s="1371" t="s">
        <v>2678</v>
      </c>
      <c r="I328" s="1371"/>
      <c r="J328" s="1371"/>
      <c r="K328" s="1371"/>
      <c r="L328" s="1371"/>
      <c r="M328" s="1371"/>
      <c r="N328" s="1371"/>
      <c r="O328" s="1371"/>
      <c r="P328" s="1371"/>
      <c r="Q328" s="1371"/>
      <c r="R328" s="1371"/>
      <c r="T328" s="3" t="s">
        <v>472</v>
      </c>
      <c r="V328" s="3"/>
      <c r="W328" s="3"/>
      <c r="X328" s="3"/>
      <c r="Y328" s="3"/>
      <c r="AA328" s="1371" t="s">
        <v>2661</v>
      </c>
      <c r="AB328" s="1371"/>
      <c r="AC328" s="1371"/>
      <c r="AD328" s="1371"/>
      <c r="AE328" s="1371"/>
      <c r="AF328" s="1371"/>
      <c r="AG328" s="1371"/>
      <c r="AH328" s="1371"/>
      <c r="AI328" s="1371"/>
      <c r="AJ328" s="1371"/>
      <c r="AK328" s="1371"/>
    </row>
    <row r="329" spans="2:37" ht="12.95" customHeight="1">
      <c r="B329" s="3" t="s">
        <v>473</v>
      </c>
      <c r="C329" s="3"/>
      <c r="D329" s="3"/>
      <c r="E329" s="3"/>
      <c r="F329" s="3"/>
      <c r="H329" s="1371" t="s">
        <v>2679</v>
      </c>
      <c r="I329" s="1371"/>
      <c r="J329" s="1371"/>
      <c r="K329" s="1371"/>
      <c r="L329" s="1371"/>
      <c r="M329" s="1371"/>
      <c r="N329" s="1371"/>
      <c r="O329" s="1371"/>
      <c r="P329" s="1371"/>
      <c r="Q329" s="1371"/>
      <c r="R329" s="1371"/>
      <c r="T329" s="3" t="s">
        <v>75</v>
      </c>
      <c r="V329" s="3"/>
      <c r="W329" s="3"/>
      <c r="X329" s="3"/>
      <c r="Y329" s="3"/>
      <c r="AA329" s="1371" t="s">
        <v>2661</v>
      </c>
      <c r="AB329" s="1371"/>
      <c r="AC329" s="1371"/>
      <c r="AD329" s="1371"/>
      <c r="AE329" s="1371"/>
      <c r="AF329" s="1371"/>
      <c r="AG329" s="1371"/>
      <c r="AH329" s="1371"/>
      <c r="AI329" s="1371"/>
      <c r="AJ329" s="1371"/>
      <c r="AK329" s="1371"/>
    </row>
    <row r="330" spans="2:37" ht="12.95" customHeight="1">
      <c r="B330" s="3" t="s">
        <v>87</v>
      </c>
      <c r="C330" s="3"/>
      <c r="D330" s="3"/>
      <c r="E330" s="3"/>
      <c r="F330" s="3"/>
      <c r="H330" s="1371" t="s">
        <v>2680</v>
      </c>
      <c r="I330" s="1371"/>
      <c r="J330" s="1371"/>
      <c r="K330" s="1371"/>
      <c r="L330" s="1371"/>
      <c r="M330" s="1371"/>
      <c r="N330" s="1371"/>
      <c r="O330" s="1371"/>
      <c r="P330" s="1371"/>
      <c r="Q330" s="1371"/>
      <c r="R330" s="1371"/>
      <c r="T330" s="3" t="s">
        <v>87</v>
      </c>
      <c r="V330" s="3"/>
      <c r="W330" s="3"/>
      <c r="X330" s="3"/>
      <c r="Y330" s="3"/>
      <c r="AA330" s="1371" t="s">
        <v>2661</v>
      </c>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5">
        <v>2132257245</v>
      </c>
      <c r="I331" s="1545"/>
      <c r="J331" s="1545"/>
      <c r="K331" s="1545"/>
      <c r="L331" s="1545"/>
      <c r="M331" s="1545"/>
      <c r="N331" s="4" t="s">
        <v>206</v>
      </c>
      <c r="O331" s="4"/>
      <c r="P331" s="1528"/>
      <c r="Q331" s="1528"/>
      <c r="R331" s="1528"/>
      <c r="S331" s="3"/>
      <c r="T331" s="3" t="s">
        <v>88</v>
      </c>
      <c r="V331" s="3"/>
      <c r="W331" s="3"/>
      <c r="X331" s="3"/>
      <c r="Y331" s="3"/>
      <c r="AA331" s="1545" t="s">
        <v>2661</v>
      </c>
      <c r="AB331" s="1545"/>
      <c r="AC331" s="1545"/>
      <c r="AD331" s="1545"/>
      <c r="AE331" s="1545"/>
      <c r="AF331" s="1545"/>
      <c r="AG331" s="4" t="s">
        <v>206</v>
      </c>
      <c r="AH331" s="4"/>
      <c r="AI331" s="1528"/>
      <c r="AJ331" s="1528"/>
      <c r="AK331" s="1528"/>
    </row>
    <row r="332" spans="2:37" ht="12.95" customHeight="1">
      <c r="B332" s="3" t="s">
        <v>89</v>
      </c>
      <c r="C332" s="3"/>
      <c r="D332" s="3"/>
      <c r="E332" s="3"/>
      <c r="F332" s="3"/>
      <c r="G332" s="3"/>
      <c r="H332" s="1489" t="s">
        <v>2661</v>
      </c>
      <c r="I332" s="1489"/>
      <c r="J332" s="1489"/>
      <c r="K332" s="1489"/>
      <c r="L332" s="1489"/>
      <c r="M332" s="1489"/>
      <c r="N332" s="4"/>
      <c r="O332" s="4"/>
      <c r="P332" s="35"/>
      <c r="Q332" s="35"/>
      <c r="R332" s="35"/>
      <c r="S332" s="3"/>
      <c r="T332" s="3" t="s">
        <v>89</v>
      </c>
      <c r="V332" s="3"/>
      <c r="W332" s="3"/>
      <c r="X332" s="3"/>
      <c r="Y332" s="3"/>
      <c r="AA332" s="1489" t="s">
        <v>2661</v>
      </c>
      <c r="AB332" s="1489"/>
      <c r="AC332" s="1489"/>
      <c r="AD332" s="1489"/>
      <c r="AE332" s="1489"/>
      <c r="AF332" s="1489"/>
      <c r="AG332" s="4"/>
      <c r="AH332" s="4"/>
      <c r="AI332" s="35"/>
      <c r="AJ332" s="35"/>
      <c r="AK332" s="35"/>
    </row>
    <row r="333" spans="2:37" ht="12.95" customHeight="1">
      <c r="B333" s="3" t="s">
        <v>76</v>
      </c>
      <c r="C333" s="3"/>
      <c r="D333" s="3"/>
      <c r="E333" s="3"/>
      <c r="F333" s="3"/>
      <c r="G333" s="3"/>
      <c r="H333" s="1371" t="s">
        <v>2681</v>
      </c>
      <c r="I333" s="1371"/>
      <c r="J333" s="1371"/>
      <c r="K333" s="1371"/>
      <c r="L333" s="1371"/>
      <c r="M333" s="1371"/>
      <c r="N333" s="1407"/>
      <c r="O333" s="1407"/>
      <c r="P333" s="1407"/>
      <c r="Q333" s="1407"/>
      <c r="R333" s="1407"/>
      <c r="S333" s="3"/>
      <c r="T333" s="3" t="s">
        <v>76</v>
      </c>
      <c r="V333" s="3"/>
      <c r="W333" s="3"/>
      <c r="X333" s="3"/>
      <c r="Y333" s="3"/>
      <c r="AA333" s="1371" t="s">
        <v>2661</v>
      </c>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2682</v>
      </c>
      <c r="I335" s="1407"/>
      <c r="J335" s="1407"/>
      <c r="K335" s="1407"/>
      <c r="L335" s="1407"/>
      <c r="M335" s="1407"/>
      <c r="N335" s="1407"/>
      <c r="O335" s="1407"/>
      <c r="P335" s="1407"/>
      <c r="Q335" s="1407"/>
      <c r="R335" s="1407"/>
      <c r="T335" s="204" t="s">
        <v>887</v>
      </c>
      <c r="V335" s="3"/>
      <c r="W335" s="3"/>
      <c r="X335" s="3"/>
      <c r="Y335" s="3"/>
      <c r="AA335" s="1407" t="s">
        <v>2687</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2683</v>
      </c>
      <c r="I336" s="1371"/>
      <c r="J336" s="1371"/>
      <c r="K336" s="1371"/>
      <c r="L336" s="1371"/>
      <c r="M336" s="1371"/>
      <c r="N336" s="1371"/>
      <c r="O336" s="1371"/>
      <c r="P336" s="1371"/>
      <c r="Q336" s="1371"/>
      <c r="R336" s="1371"/>
      <c r="T336" s="3" t="s">
        <v>472</v>
      </c>
      <c r="V336" s="3"/>
      <c r="W336" s="3"/>
      <c r="X336" s="3"/>
      <c r="Y336" s="3"/>
      <c r="AA336" s="1371" t="s">
        <v>2688</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2684</v>
      </c>
      <c r="I337" s="1371"/>
      <c r="J337" s="1371"/>
      <c r="K337" s="1371"/>
      <c r="L337" s="1371"/>
      <c r="M337" s="1371"/>
      <c r="N337" s="1371"/>
      <c r="O337" s="1371"/>
      <c r="P337" s="1371"/>
      <c r="Q337" s="1371"/>
      <c r="R337" s="1371"/>
      <c r="T337" s="3" t="s">
        <v>75</v>
      </c>
      <c r="V337" s="3"/>
      <c r="W337" s="3"/>
      <c r="X337" s="3"/>
      <c r="Y337" s="3"/>
      <c r="AA337" s="1371" t="s">
        <v>2689</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2685</v>
      </c>
      <c r="I338" s="1371"/>
      <c r="J338" s="1371"/>
      <c r="K338" s="1371"/>
      <c r="L338" s="1371"/>
      <c r="M338" s="1371"/>
      <c r="N338" s="1371"/>
      <c r="O338" s="1371"/>
      <c r="P338" s="1371"/>
      <c r="Q338" s="1371"/>
      <c r="R338" s="1371"/>
      <c r="T338" s="3" t="s">
        <v>87</v>
      </c>
      <c r="V338" s="3"/>
      <c r="W338" s="3"/>
      <c r="X338" s="3"/>
      <c r="Y338" s="3"/>
      <c r="AA338" s="1371" t="s">
        <v>2690</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5">
        <v>7609301333</v>
      </c>
      <c r="I339" s="1545"/>
      <c r="J339" s="1545"/>
      <c r="K339" s="1545"/>
      <c r="L339" s="1545"/>
      <c r="M339" s="1545"/>
      <c r="N339" s="4" t="s">
        <v>206</v>
      </c>
      <c r="O339" s="4"/>
      <c r="P339" s="1528"/>
      <c r="Q339" s="1528"/>
      <c r="R339" s="1528"/>
      <c r="S339" s="3"/>
      <c r="T339" s="3" t="s">
        <v>88</v>
      </c>
      <c r="V339" s="3"/>
      <c r="W339" s="3"/>
      <c r="X339" s="3"/>
      <c r="Y339" s="3"/>
      <c r="AA339" s="1545">
        <v>9498734200</v>
      </c>
      <c r="AB339" s="1545"/>
      <c r="AC339" s="1545"/>
      <c r="AD339" s="1545"/>
      <c r="AE339" s="1545"/>
      <c r="AF339" s="1545"/>
      <c r="AG339" s="4" t="s">
        <v>206</v>
      </c>
      <c r="AH339" s="4"/>
      <c r="AI339" s="1528"/>
      <c r="AJ339" s="1528"/>
      <c r="AK339" s="1528"/>
    </row>
    <row r="340" spans="1:66" ht="12.95" customHeight="1">
      <c r="B340" s="3" t="s">
        <v>89</v>
      </c>
      <c r="C340" s="3"/>
      <c r="D340" s="3"/>
      <c r="E340" s="3"/>
      <c r="F340" s="3"/>
      <c r="G340" s="3"/>
      <c r="H340" s="1489" t="s">
        <v>2661</v>
      </c>
      <c r="I340" s="1489"/>
      <c r="J340" s="1489"/>
      <c r="K340" s="1489"/>
      <c r="L340" s="1489"/>
      <c r="M340" s="1489"/>
      <c r="N340" s="4"/>
      <c r="O340" s="4"/>
      <c r="P340" s="35"/>
      <c r="Q340" s="35"/>
      <c r="R340" s="35"/>
      <c r="S340" s="3"/>
      <c r="T340" s="3" t="s">
        <v>89</v>
      </c>
      <c r="V340" s="3"/>
      <c r="W340" s="3"/>
      <c r="X340" s="3"/>
      <c r="Y340" s="3"/>
      <c r="AA340" s="1489" t="s">
        <v>2661</v>
      </c>
      <c r="AB340" s="1489"/>
      <c r="AC340" s="1489"/>
      <c r="AD340" s="1489"/>
      <c r="AE340" s="1489"/>
      <c r="AF340" s="1489"/>
      <c r="AG340" s="4"/>
      <c r="AH340" s="4"/>
      <c r="AI340" s="35"/>
      <c r="AJ340" s="35"/>
      <c r="AK340" s="35"/>
    </row>
    <row r="341" spans="1:66" ht="12.95" customHeight="1">
      <c r="B341" s="3" t="s">
        <v>76</v>
      </c>
      <c r="C341" s="3"/>
      <c r="D341" s="3"/>
      <c r="E341" s="3"/>
      <c r="F341" s="3"/>
      <c r="G341" s="3"/>
      <c r="H341" s="1371" t="s">
        <v>2686</v>
      </c>
      <c r="I341" s="1371"/>
      <c r="J341" s="1371"/>
      <c r="K341" s="1371"/>
      <c r="L341" s="1371"/>
      <c r="M341" s="1371"/>
      <c r="N341" s="1407"/>
      <c r="O341" s="1407"/>
      <c r="P341" s="1407"/>
      <c r="Q341" s="1407"/>
      <c r="R341" s="1407"/>
      <c r="S341" s="3"/>
      <c r="T341" s="3" t="s">
        <v>76</v>
      </c>
      <c r="V341" s="3"/>
      <c r="W341" s="3"/>
      <c r="X341" s="3"/>
      <c r="Y341" s="3"/>
      <c r="AA341" s="1371" t="s">
        <v>2691</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t="s">
        <v>2661</v>
      </c>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t="s">
        <v>2661</v>
      </c>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t="s">
        <v>2661</v>
      </c>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t="s">
        <v>2661</v>
      </c>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9" t="s">
        <v>2661</v>
      </c>
      <c r="Q347" s="1489"/>
      <c r="R347" s="1489"/>
      <c r="S347" s="1489"/>
      <c r="T347" s="1489"/>
      <c r="U347" s="1489"/>
      <c r="V347" s="1489"/>
      <c r="W347" s="1489"/>
      <c r="X347" s="1489"/>
      <c r="Y347" s="1489"/>
      <c r="Z347" s="1489"/>
      <c r="AA347" s="4" t="s">
        <v>206</v>
      </c>
      <c r="AB347" s="4"/>
      <c r="AC347" s="1473"/>
      <c r="AD347" s="1473"/>
      <c r="AE347" s="1473"/>
      <c r="AF347" s="302"/>
      <c r="AG347" s="4"/>
      <c r="AH347" s="4"/>
      <c r="AI347" s="4"/>
      <c r="AJ347" s="4"/>
      <c r="AK347" s="4"/>
    </row>
    <row r="348" spans="1:66" ht="12.95" customHeight="1">
      <c r="B348" s="4"/>
      <c r="C348" s="4"/>
      <c r="D348" s="4"/>
      <c r="E348" s="4"/>
      <c r="F348" s="4"/>
      <c r="G348" s="4"/>
      <c r="H348" s="302"/>
      <c r="I348" s="4" t="s">
        <v>89</v>
      </c>
      <c r="P348" s="1489" t="s">
        <v>2661</v>
      </c>
      <c r="Q348" s="1489"/>
      <c r="R348" s="1489"/>
      <c r="S348" s="1489"/>
      <c r="T348" s="1489"/>
      <c r="U348" s="1489"/>
      <c r="V348" s="1489"/>
      <c r="W348" s="1489"/>
      <c r="X348" s="1489"/>
      <c r="Y348" s="1489"/>
      <c r="Z348" s="1489"/>
      <c r="AF348" s="302"/>
      <c r="AG348" s="4"/>
      <c r="AH348" s="4"/>
      <c r="AI348" s="35"/>
      <c r="AJ348" s="35"/>
      <c r="AK348" s="35"/>
    </row>
    <row r="349" spans="1:66" ht="12.95" customHeight="1">
      <c r="B349" s="4"/>
      <c r="C349" s="4"/>
      <c r="D349" s="4"/>
      <c r="E349" s="4"/>
      <c r="F349" s="4"/>
      <c r="G349" s="4"/>
      <c r="I349" s="4" t="s">
        <v>76</v>
      </c>
      <c r="P349" s="1407" t="s">
        <v>2661</v>
      </c>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7" t="s">
        <v>543</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2.95"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415" t="s">
        <v>546</v>
      </c>
      <c r="N355" s="1415"/>
      <c r="P355" t="s">
        <v>1651</v>
      </c>
      <c r="AJ355" s="1415" t="s">
        <v>592</v>
      </c>
      <c r="AK355" s="1415"/>
    </row>
    <row r="356" spans="1:46" ht="12.95" customHeight="1">
      <c r="D356" s="3" t="s">
        <v>1640</v>
      </c>
      <c r="M356" s="1415" t="s">
        <v>546</v>
      </c>
      <c r="N356" s="1415"/>
      <c r="P356" s="3" t="s">
        <v>1720</v>
      </c>
      <c r="AJ356" s="1382">
        <v>0</v>
      </c>
      <c r="AK356" s="1382"/>
    </row>
    <row r="357" spans="1:46" ht="12.95" customHeight="1">
      <c r="D357" s="3" t="s">
        <v>705</v>
      </c>
      <c r="M357" s="1415" t="s">
        <v>592</v>
      </c>
      <c r="N357" s="1415"/>
      <c r="P357" t="s">
        <v>1650</v>
      </c>
      <c r="AJ357" s="1415" t="s">
        <v>592</v>
      </c>
      <c r="AK357" s="1415"/>
    </row>
    <row r="358" spans="1:46" ht="12.95" customHeight="1">
      <c r="D358" s="3" t="s">
        <v>706</v>
      </c>
      <c r="M358" s="1415" t="s">
        <v>592</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546</v>
      </c>
      <c r="O363" s="1415"/>
      <c r="P363" s="40"/>
      <c r="Q363" s="40"/>
      <c r="R363" s="40"/>
      <c r="S363" s="40"/>
      <c r="T363" s="40"/>
      <c r="U363" s="40"/>
      <c r="V363" s="40"/>
      <c r="W363" s="40"/>
      <c r="X363" s="40"/>
      <c r="Y363" s="40"/>
      <c r="Z363" s="40"/>
      <c r="AC363" s="40"/>
      <c r="AD363" s="40"/>
      <c r="AE363" s="40"/>
    </row>
    <row r="364" spans="1:46" ht="12.95" customHeight="1">
      <c r="E364" t="s">
        <v>370</v>
      </c>
      <c r="Y364" s="1415" t="s">
        <v>592</v>
      </c>
      <c r="Z364" s="1415"/>
    </row>
    <row r="365" spans="1:46" ht="12.95" customHeight="1">
      <c r="D365" s="4" t="s">
        <v>979</v>
      </c>
      <c r="Q365" s="1407" t="s">
        <v>2692</v>
      </c>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8" t="s">
        <v>707</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5"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5" customHeight="1">
      <c r="E370" s="4" t="s">
        <v>449</v>
      </c>
      <c r="F370" s="4"/>
      <c r="G370" s="4"/>
      <c r="H370" s="4"/>
      <c r="I370" s="4"/>
      <c r="J370" s="4"/>
      <c r="K370" s="4"/>
      <c r="L370" s="4"/>
      <c r="N370" s="1390">
        <v>52</v>
      </c>
      <c r="O370" s="1390"/>
      <c r="P370" s="1390"/>
      <c r="Q370" s="1390"/>
      <c r="R370" s="4"/>
      <c r="U370" s="4" t="s">
        <v>450</v>
      </c>
      <c r="V370" s="4"/>
      <c r="W370" s="4"/>
      <c r="X370" s="4"/>
      <c r="Y370" s="4"/>
      <c r="Z370" s="4"/>
      <c r="AA370" s="4"/>
      <c r="AB370" s="4"/>
      <c r="AC370" s="1390">
        <v>1</v>
      </c>
      <c r="AD370" s="1390"/>
      <c r="AE370" s="1390"/>
      <c r="AF370" s="1390"/>
    </row>
    <row r="371" spans="1:34" ht="12.95" customHeight="1">
      <c r="E371" s="4" t="s">
        <v>451</v>
      </c>
      <c r="F371" s="4"/>
      <c r="G371" s="4"/>
      <c r="H371" s="4"/>
      <c r="I371" s="4"/>
      <c r="J371" s="4"/>
      <c r="K371" s="4"/>
      <c r="L371" s="4"/>
      <c r="N371" s="1390">
        <v>0</v>
      </c>
      <c r="O371" s="1390"/>
      <c r="P371" s="1390"/>
      <c r="Q371" s="1390"/>
      <c r="R371" s="4"/>
      <c r="U371" s="4" t="s">
        <v>0</v>
      </c>
      <c r="V371" s="4"/>
      <c r="W371" s="4"/>
      <c r="X371" s="4"/>
      <c r="Y371" s="4"/>
      <c r="Z371" s="4"/>
      <c r="AA371" s="4"/>
      <c r="AB371" s="4"/>
      <c r="AC371" s="1390">
        <v>0</v>
      </c>
      <c r="AD371" s="1390"/>
      <c r="AE371" s="1390"/>
      <c r="AF371" s="1390"/>
    </row>
    <row r="372" spans="1:34" ht="12.95" customHeight="1">
      <c r="E372" s="4" t="s">
        <v>1</v>
      </c>
      <c r="F372" s="4"/>
      <c r="G372" s="4"/>
      <c r="H372" s="4"/>
      <c r="I372" s="4"/>
      <c r="J372" s="4"/>
      <c r="K372" s="4"/>
      <c r="L372" s="4"/>
      <c r="N372" s="1390">
        <v>13</v>
      </c>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9" t="s">
        <v>2693</v>
      </c>
      <c r="O373" s="1530"/>
      <c r="P373" s="1530"/>
      <c r="Q373" s="1530"/>
      <c r="R373" s="1530"/>
      <c r="S373" s="1530"/>
      <c r="T373" s="1530"/>
      <c r="U373" s="1530"/>
      <c r="V373" s="1530"/>
      <c r="W373" s="1530"/>
      <c r="X373" s="1530"/>
      <c r="Y373" s="1530"/>
      <c r="Z373" s="1530"/>
      <c r="AA373" s="1530"/>
      <c r="AB373" s="1530"/>
      <c r="AC373" s="1530"/>
      <c r="AD373" s="1530"/>
      <c r="AE373" s="1530"/>
      <c r="AF373" s="1530"/>
    </row>
    <row r="374" spans="1:34" ht="12.95" customHeight="1">
      <c r="E374" s="4"/>
      <c r="F374" s="4"/>
      <c r="G374" s="4"/>
      <c r="H374" s="4"/>
      <c r="I374" s="4"/>
      <c r="J374" s="4"/>
      <c r="K374" s="4"/>
      <c r="L374" s="4"/>
      <c r="N374" s="1531"/>
      <c r="O374" s="1531"/>
      <c r="P374" s="1531"/>
      <c r="Q374" s="1531"/>
      <c r="R374" s="1531"/>
      <c r="S374" s="1531"/>
      <c r="T374" s="1531"/>
      <c r="U374" s="1531"/>
      <c r="V374" s="1531"/>
      <c r="W374" s="1531"/>
      <c r="X374" s="1531"/>
      <c r="Y374" s="1531"/>
      <c r="Z374" s="1531"/>
      <c r="AA374" s="1531"/>
      <c r="AB374" s="1531"/>
      <c r="AC374" s="1531"/>
      <c r="AD374" s="1531"/>
      <c r="AE374" s="1531"/>
      <c r="AF374" s="1531"/>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44"/>
      <c r="T377" s="1444"/>
      <c r="U377" s="1" t="s">
        <v>306</v>
      </c>
      <c r="V377" s="1444"/>
      <c r="W377" s="1444"/>
      <c r="Y377" t="s">
        <v>2080</v>
      </c>
      <c r="AC377" s="27" t="s">
        <v>305</v>
      </c>
      <c r="AD377" s="1444"/>
      <c r="AE377" s="1444"/>
      <c r="AF377" s="1" t="s">
        <v>306</v>
      </c>
      <c r="AG377" s="1444"/>
      <c r="AH377" s="1444"/>
    </row>
    <row r="378" spans="1:34" ht="12.95" customHeight="1">
      <c r="E378" s="4" t="s">
        <v>988</v>
      </c>
      <c r="F378" s="4"/>
      <c r="G378" s="4"/>
      <c r="H378" s="4"/>
      <c r="I378" s="4"/>
      <c r="J378" s="4"/>
      <c r="K378" s="4"/>
      <c r="L378" s="4"/>
      <c r="N378" s="1443" t="s">
        <v>2661</v>
      </c>
      <c r="O378" s="1444"/>
      <c r="P378" s="1444"/>
    </row>
    <row r="379" spans="1:34" ht="12.95" customHeight="1">
      <c r="E379" s="204" t="s">
        <v>2086</v>
      </c>
      <c r="F379" s="4"/>
      <c r="G379" s="4"/>
      <c r="H379" s="4"/>
      <c r="I379" s="4"/>
      <c r="J379" s="4"/>
      <c r="K379" s="4"/>
      <c r="L379" s="4"/>
      <c r="AG379" s="1447" t="s">
        <v>592</v>
      </c>
      <c r="AH379" s="1447"/>
    </row>
    <row r="380" spans="1:34" ht="12.95" customHeight="1">
      <c r="E380" s="4"/>
      <c r="F380" s="4"/>
      <c r="G380" s="4" t="s">
        <v>2087</v>
      </c>
      <c r="H380" s="4"/>
      <c r="I380" s="4"/>
      <c r="J380" s="4"/>
      <c r="K380" s="4"/>
      <c r="L380" s="4"/>
      <c r="AG380" s="1447" t="s">
        <v>592</v>
      </c>
      <c r="AH380" s="1447"/>
    </row>
    <row r="381" spans="1:34" ht="12.95" customHeight="1">
      <c r="E381" s="4"/>
      <c r="F381" s="4"/>
      <c r="G381" s="320" t="s">
        <v>989</v>
      </c>
      <c r="H381" s="4"/>
      <c r="I381" s="4"/>
      <c r="J381" s="4"/>
      <c r="K381" s="4"/>
      <c r="L381" s="4"/>
      <c r="V381" s="1415" t="s">
        <v>592</v>
      </c>
      <c r="W381" s="1415"/>
      <c r="Y381" s="22" t="s">
        <v>981</v>
      </c>
    </row>
    <row r="382" spans="1:34" ht="12.95" customHeight="1">
      <c r="E382" s="4" t="s">
        <v>982</v>
      </c>
      <c r="F382" s="4"/>
      <c r="G382" s="4"/>
      <c r="H382" s="4"/>
      <c r="I382" s="4"/>
      <c r="J382" s="4"/>
      <c r="K382" s="4"/>
      <c r="L382" s="4"/>
      <c r="V382" s="1415" t="s">
        <v>592</v>
      </c>
      <c r="W382" s="1415"/>
      <c r="Y382" s="4" t="s">
        <v>983</v>
      </c>
    </row>
    <row r="383" spans="1:34" ht="12.95" customHeight="1"/>
    <row r="384" spans="1:34" ht="12.95" customHeight="1">
      <c r="A384" s="2" t="s">
        <v>78</v>
      </c>
      <c r="B384" s="2"/>
    </row>
    <row r="385" spans="4:36" ht="12.95" customHeight="1">
      <c r="D385" t="s">
        <v>428</v>
      </c>
      <c r="J385" s="1407" t="s">
        <v>2694</v>
      </c>
      <c r="K385" s="1407"/>
      <c r="L385" s="1407"/>
      <c r="M385" s="1407"/>
      <c r="N385" s="1407"/>
      <c r="O385" s="1407"/>
      <c r="P385" s="1407"/>
      <c r="Q385" s="1407"/>
      <c r="R385" s="1407"/>
      <c r="S385" s="1407"/>
      <c r="T385" s="1407"/>
      <c r="U385" s="1407"/>
      <c r="V385" s="8" t="s">
        <v>83</v>
      </c>
      <c r="W385" s="8"/>
      <c r="X385" s="8"/>
      <c r="Y385" s="8"/>
      <c r="Z385" s="8"/>
      <c r="AA385" s="8"/>
      <c r="AB385" s="8"/>
      <c r="AC385" s="1407" t="s">
        <v>2695</v>
      </c>
      <c r="AD385" s="1407"/>
      <c r="AE385" s="1407"/>
      <c r="AF385" s="1407"/>
      <c r="AG385" s="1407"/>
      <c r="AH385" s="1407"/>
      <c r="AI385" s="1407"/>
      <c r="AJ385" s="1407"/>
    </row>
    <row r="386" spans="4:36" ht="12.95" customHeight="1">
      <c r="D386" s="3" t="s">
        <v>1183</v>
      </c>
      <c r="J386" s="1371" t="s">
        <v>2695</v>
      </c>
      <c r="K386" s="1371"/>
      <c r="L386" s="1371"/>
      <c r="M386" s="1371"/>
      <c r="N386" s="1371"/>
      <c r="O386" s="1371"/>
      <c r="P386" s="1371"/>
      <c r="Q386" s="1371"/>
      <c r="R386" s="1371"/>
      <c r="S386" s="1371"/>
      <c r="T386" s="1371"/>
      <c r="U386" s="1371"/>
      <c r="V386" s="3" t="s">
        <v>1183</v>
      </c>
      <c r="W386" s="8"/>
      <c r="X386" s="8"/>
      <c r="Y386" s="8"/>
      <c r="Z386" s="8"/>
      <c r="AA386" s="8"/>
      <c r="AB386" s="8"/>
      <c r="AC386" s="1407" t="s">
        <v>2695</v>
      </c>
      <c r="AD386" s="1407"/>
      <c r="AE386" s="1407"/>
      <c r="AF386" s="1407"/>
      <c r="AG386" s="1407"/>
      <c r="AH386" s="1407"/>
      <c r="AI386" s="1407"/>
      <c r="AJ386" s="1407"/>
    </row>
    <row r="387" spans="4:36" ht="12.95" customHeight="1">
      <c r="D387" s="3" t="s">
        <v>442</v>
      </c>
      <c r="J387" s="1371" t="s">
        <v>2696</v>
      </c>
      <c r="K387" s="1371"/>
      <c r="L387" s="1371"/>
      <c r="M387" s="1371"/>
      <c r="N387" s="1371"/>
      <c r="O387" s="1371"/>
      <c r="P387" s="1371"/>
      <c r="Q387" s="1371"/>
      <c r="R387" s="1371"/>
      <c r="S387" s="1371"/>
      <c r="T387" s="1371"/>
      <c r="U387" s="1371"/>
      <c r="V387" s="3" t="s">
        <v>442</v>
      </c>
      <c r="W387" s="8"/>
      <c r="X387" s="8"/>
      <c r="Y387" s="8"/>
      <c r="Z387" s="8"/>
      <c r="AA387" s="8"/>
      <c r="AB387" s="8"/>
      <c r="AC387" s="1407" t="s">
        <v>2696</v>
      </c>
      <c r="AD387" s="1407"/>
      <c r="AE387" s="1407"/>
      <c r="AF387" s="1407"/>
      <c r="AG387" s="1407"/>
      <c r="AH387" s="1407"/>
      <c r="AI387" s="1407"/>
      <c r="AJ387" s="1407"/>
    </row>
    <row r="388" spans="4:36" ht="12.95" customHeight="1">
      <c r="D388" t="s">
        <v>1179</v>
      </c>
      <c r="J388" s="1427" t="s">
        <v>2697</v>
      </c>
      <c r="K388" s="1427"/>
      <c r="L388" s="1427"/>
      <c r="M388" s="1427"/>
      <c r="N388" s="1427"/>
      <c r="O388" s="1427"/>
      <c r="P388" s="1427"/>
      <c r="Q388" s="1427"/>
      <c r="R388" s="1427"/>
      <c r="S388" s="1427"/>
      <c r="T388" s="1427"/>
      <c r="U388" s="1427"/>
      <c r="V388" s="1407" t="s">
        <v>2646</v>
      </c>
      <c r="W388" s="1407"/>
      <c r="X388" s="1407"/>
      <c r="Y388" s="1407"/>
      <c r="Z388" s="1407"/>
      <c r="AA388" s="1407"/>
      <c r="AB388" s="1407"/>
      <c r="AC388" s="1407"/>
      <c r="AD388" s="1407"/>
      <c r="AE388" s="1407"/>
      <c r="AF388" s="1407"/>
      <c r="AG388" s="1407"/>
      <c r="AH388" s="1407"/>
      <c r="AI388" s="1407"/>
      <c r="AJ388" s="1407"/>
    </row>
    <row r="389" spans="4:36" ht="12.95" customHeight="1">
      <c r="D389" t="s">
        <v>4</v>
      </c>
      <c r="Q389" s="1590">
        <v>45792</v>
      </c>
      <c r="R389" s="1590"/>
      <c r="S389" s="1590"/>
      <c r="T389" s="1590"/>
      <c r="U389" s="1590"/>
      <c r="V389" t="s">
        <v>309</v>
      </c>
      <c r="AI389" s="1415" t="s">
        <v>670</v>
      </c>
      <c r="AJ389" s="1415"/>
    </row>
    <row r="390" spans="4:36" ht="12.95" customHeight="1">
      <c r="D390" t="s">
        <v>5</v>
      </c>
      <c r="Q390" s="1522">
        <v>46054</v>
      </c>
      <c r="R390" s="1523"/>
      <c r="S390" s="1523"/>
      <c r="T390" s="1523"/>
      <c r="U390" s="1523"/>
      <c r="W390" s="21" t="s">
        <v>74</v>
      </c>
      <c r="AG390" s="1450"/>
      <c r="AH390" s="1450"/>
      <c r="AI390" s="1450"/>
      <c r="AJ390" s="1450"/>
    </row>
    <row r="391" spans="4:36" ht="12.95" customHeight="1">
      <c r="D391" t="s">
        <v>427</v>
      </c>
      <c r="Q391" s="1451">
        <v>26600000</v>
      </c>
      <c r="R391" s="1451"/>
      <c r="S391" s="1451"/>
      <c r="T391" s="1451"/>
      <c r="U391" s="1451"/>
      <c r="V391" s="3" t="s">
        <v>1182</v>
      </c>
      <c r="AG391" s="1520"/>
      <c r="AH391" s="1520"/>
      <c r="AI391" s="1520"/>
      <c r="AJ391" s="1520"/>
    </row>
    <row r="392" spans="4:36" ht="12.95" customHeight="1">
      <c r="D392" t="s">
        <v>88</v>
      </c>
      <c r="I392" s="1545">
        <v>21336550000</v>
      </c>
      <c r="J392" s="1545"/>
      <c r="K392" s="1545"/>
      <c r="L392" s="1545"/>
      <c r="M392" s="1545"/>
      <c r="N392" s="1545"/>
      <c r="Q392" s="4" t="s">
        <v>206</v>
      </c>
      <c r="S392" s="1448" t="s">
        <v>2661</v>
      </c>
      <c r="T392" s="1449"/>
      <c r="U392" s="1449"/>
      <c r="V392" t="s">
        <v>73</v>
      </c>
      <c r="AI392" s="1415" t="s">
        <v>670</v>
      </c>
      <c r="AJ392" s="1415"/>
    </row>
    <row r="393" spans="4:36" ht="12.95" customHeight="1">
      <c r="D393" t="s">
        <v>310</v>
      </c>
      <c r="Q393" s="1527">
        <v>4100</v>
      </c>
      <c r="R393" s="1527"/>
      <c r="S393" s="1527"/>
      <c r="T393" s="1527"/>
      <c r="U393" s="1527"/>
      <c r="V393" t="s">
        <v>311</v>
      </c>
      <c r="AG393" s="1450">
        <v>41000</v>
      </c>
      <c r="AH393" s="1450"/>
      <c r="AI393" s="1450"/>
      <c r="AJ393" s="1450"/>
    </row>
    <row r="394" spans="4:36" ht="12.95" customHeight="1">
      <c r="D394" t="s">
        <v>312</v>
      </c>
      <c r="Q394" s="1580">
        <v>0.01</v>
      </c>
      <c r="R394" s="1580"/>
      <c r="S394" s="1580"/>
      <c r="T394" s="1580"/>
      <c r="U394" s="1580"/>
      <c r="V394" t="s">
        <v>1164</v>
      </c>
      <c r="AG394" s="1450">
        <v>0</v>
      </c>
      <c r="AH394" s="1450"/>
      <c r="AI394" s="1450"/>
      <c r="AJ394" s="1450"/>
    </row>
    <row r="395" spans="4:36" ht="12.95" customHeight="1">
      <c r="D395" t="s">
        <v>1163</v>
      </c>
      <c r="AG395" s="1450">
        <v>0</v>
      </c>
      <c r="AH395" s="1450"/>
      <c r="AI395" s="1450"/>
      <c r="AJ395" s="1450"/>
    </row>
    <row r="396" spans="4:36" ht="12.95" customHeight="1">
      <c r="AG396" s="456"/>
      <c r="AH396" s="456"/>
      <c r="AI396" s="456"/>
      <c r="AJ396" s="456"/>
    </row>
    <row r="397" spans="4:36" ht="12.95" customHeight="1">
      <c r="D397" s="3" t="s">
        <v>2143</v>
      </c>
      <c r="AG397" s="456"/>
      <c r="AH397" s="456"/>
      <c r="AI397" s="1415" t="s">
        <v>670</v>
      </c>
      <c r="AJ397" s="1415"/>
    </row>
    <row r="398" spans="4:36" ht="12.95" customHeight="1">
      <c r="D398" s="3" t="s">
        <v>1668</v>
      </c>
      <c r="T398" s="1434" t="s">
        <v>2661</v>
      </c>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1667</v>
      </c>
      <c r="T399" s="1434" t="s">
        <v>2661</v>
      </c>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1661</v>
      </c>
      <c r="S401" s="1434" t="s">
        <v>670</v>
      </c>
      <c r="T401" s="1434"/>
      <c r="U401" s="1434"/>
      <c r="V401" t="s">
        <v>1662</v>
      </c>
      <c r="AG401" s="1525"/>
      <c r="AH401" s="1525"/>
      <c r="AI401" s="1525"/>
      <c r="AJ401" s="1525"/>
    </row>
    <row r="402" spans="1:36" ht="12.95" customHeight="1">
      <c r="D402" s="3" t="s">
        <v>1659</v>
      </c>
      <c r="S402" s="1434" t="s">
        <v>592</v>
      </c>
      <c r="T402" s="1434"/>
      <c r="U402" s="1434"/>
      <c r="V402" t="s">
        <v>1664</v>
      </c>
      <c r="AE402" s="1519"/>
      <c r="AF402" s="1519"/>
      <c r="AG402" s="1519"/>
      <c r="AH402" s="1519"/>
      <c r="AI402" s="1519"/>
      <c r="AJ402" s="1519"/>
    </row>
    <row r="403" spans="1:36" ht="12.95" customHeight="1">
      <c r="D403" s="3" t="s">
        <v>1660</v>
      </c>
      <c r="K403" s="1521" t="s">
        <v>2661</v>
      </c>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2.95" customHeight="1">
      <c r="D404" s="3" t="s">
        <v>1663</v>
      </c>
      <c r="K404" s="1521" t="s">
        <v>2661</v>
      </c>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2.95" customHeight="1">
      <c r="D405" s="3" t="s">
        <v>1666</v>
      </c>
      <c r="E405" s="477"/>
      <c r="F405" s="477"/>
      <c r="G405" s="477"/>
      <c r="H405" s="477"/>
      <c r="I405" s="477"/>
      <c r="J405" s="477"/>
      <c r="K405" s="477"/>
      <c r="L405" s="477"/>
      <c r="M405" s="477"/>
      <c r="N405" s="477"/>
      <c r="O405" s="477"/>
      <c r="P405" s="477"/>
      <c r="Q405" s="477"/>
      <c r="R405" s="477"/>
      <c r="S405" s="1446" t="s">
        <v>1185</v>
      </c>
      <c r="T405" s="1446"/>
      <c r="U405" s="1446"/>
      <c r="V405" s="1446"/>
      <c r="W405" s="1446"/>
      <c r="X405" s="1446"/>
      <c r="Y405" s="1446"/>
      <c r="Z405" s="1446"/>
      <c r="AA405" s="1446"/>
      <c r="AB405" s="1446"/>
      <c r="AC405" s="1446"/>
      <c r="AD405" s="1446"/>
      <c r="AE405" s="1446"/>
      <c r="AF405" s="1446"/>
      <c r="AG405" s="1446"/>
      <c r="AH405" s="1446"/>
      <c r="AI405" s="1446"/>
      <c r="AJ405" s="1446"/>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24" t="s">
        <v>2698</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2.95" customHeight="1">
      <c r="E411" t="s">
        <v>106</v>
      </c>
      <c r="R411" s="1415" t="s">
        <v>546</v>
      </c>
      <c r="S411" s="1415"/>
      <c r="AC411" s="27" t="s">
        <v>571</v>
      </c>
      <c r="AD411" s="1390">
        <v>8</v>
      </c>
      <c r="AE411" s="1390"/>
    </row>
    <row r="412" spans="1:36" ht="12.95" customHeight="1">
      <c r="E412" t="s">
        <v>107</v>
      </c>
      <c r="R412" s="1415" t="s">
        <v>592</v>
      </c>
      <c r="S412" s="1415"/>
      <c r="AC412" s="27" t="s">
        <v>571</v>
      </c>
      <c r="AD412" s="1390"/>
      <c r="AE412" s="1390"/>
    </row>
    <row r="413" spans="1:36" ht="12.95" customHeight="1">
      <c r="E413" t="s">
        <v>108</v>
      </c>
      <c r="S413" s="1415" t="s">
        <v>592</v>
      </c>
      <c r="T413" s="1415"/>
    </row>
    <row r="414" spans="1:36" ht="12.95" customHeight="1">
      <c r="E414" t="s">
        <v>170</v>
      </c>
      <c r="H414" s="1581" t="s">
        <v>2699</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2.95"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2.95" customHeight="1"/>
    <row r="417" spans="1:39" ht="12.95" customHeight="1">
      <c r="A417" s="2" t="s">
        <v>591</v>
      </c>
      <c r="B417" s="2"/>
      <c r="C417" s="2"/>
      <c r="D417" s="2" t="s">
        <v>114</v>
      </c>
      <c r="AF417" s="2" t="s">
        <v>958</v>
      </c>
    </row>
    <row r="418" spans="1:39" ht="12.95" customHeight="1">
      <c r="E418" s="1444"/>
      <c r="F418" s="1444"/>
      <c r="G418" s="1444"/>
      <c r="H418" s="13" t="s">
        <v>115</v>
      </c>
      <c r="I418" s="1444"/>
      <c r="J418" s="1444"/>
      <c r="K418" s="1444"/>
      <c r="L418" t="s">
        <v>116</v>
      </c>
      <c r="N418" s="27" t="s">
        <v>576</v>
      </c>
      <c r="P418" s="1584">
        <v>3.68</v>
      </c>
      <c r="Q418" s="1584"/>
      <c r="R418" s="1584"/>
      <c r="S418" t="s">
        <v>117</v>
      </c>
      <c r="W418" s="1445">
        <f>IF(E418&gt;0,(E418*I418),(P418*43560))</f>
        <v>160300.80000000002</v>
      </c>
      <c r="X418" s="1445"/>
      <c r="Y418" s="1445"/>
      <c r="Z418" t="s">
        <v>118</v>
      </c>
      <c r="AF418" s="1585">
        <f>IFERROR(IF(P418&gt;0,(AG437/P418),(AG437/(W418/43560))),0)</f>
        <v>73.641304347826079</v>
      </c>
      <c r="AG418" s="1585"/>
      <c r="AH418" s="1585"/>
      <c r="AM418" s="3"/>
    </row>
    <row r="419" spans="1:39" ht="12.95" customHeight="1">
      <c r="E419" t="s">
        <v>51</v>
      </c>
    </row>
    <row r="420" spans="1:39" ht="12.95"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2.95" customHeight="1">
      <c r="E421" s="118" t="s">
        <v>1737</v>
      </c>
      <c r="F421" s="1013"/>
      <c r="G421" s="1013"/>
      <c r="H421" s="1013"/>
      <c r="I421" s="1583">
        <v>3.6760000000000002</v>
      </c>
      <c r="J421" s="1583"/>
      <c r="K421" s="1583"/>
      <c r="L421" s="1013"/>
      <c r="M421" s="118"/>
      <c r="N421" s="1013"/>
      <c r="O421" s="1013"/>
      <c r="P421" s="1835">
        <f>(DU755+DU778+DU800)/I421</f>
        <v>87.323177366702936</v>
      </c>
      <c r="Q421" s="1835"/>
      <c r="R421" s="1835"/>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5">
        <v>1</v>
      </c>
      <c r="Q424" s="1415"/>
      <c r="S424" t="s">
        <v>189</v>
      </c>
      <c r="AE424" s="1415">
        <v>1</v>
      </c>
      <c r="AF424" s="1415"/>
    </row>
    <row r="425" spans="1:39" ht="12.95" customHeight="1">
      <c r="E425" t="s">
        <v>190</v>
      </c>
      <c r="P425" s="1415">
        <v>0</v>
      </c>
      <c r="Q425" s="1415"/>
      <c r="S425" t="s">
        <v>131</v>
      </c>
      <c r="AE425" s="1415" t="s">
        <v>592</v>
      </c>
      <c r="AF425" s="1415"/>
    </row>
    <row r="426" spans="1:39" ht="12.95" customHeight="1">
      <c r="F426" s="28" t="s">
        <v>132</v>
      </c>
    </row>
    <row r="427" spans="1:39" ht="12.95" customHeight="1">
      <c r="F427" s="1532"/>
      <c r="G427" s="1532"/>
      <c r="H427" s="1532"/>
      <c r="I427" s="1532"/>
      <c r="J427" s="1532"/>
      <c r="K427" s="1532"/>
      <c r="L427" s="1532"/>
      <c r="M427" s="1532"/>
      <c r="N427" s="1532"/>
      <c r="O427" s="1532"/>
      <c r="P427" s="1532"/>
      <c r="Q427" s="1532"/>
      <c r="R427" s="1532"/>
      <c r="S427" s="1532"/>
      <c r="T427" s="1532"/>
      <c r="U427" s="1532"/>
      <c r="V427" s="1532"/>
      <c r="W427" s="1532"/>
      <c r="X427" s="1532"/>
      <c r="Y427" s="1532"/>
      <c r="Z427" s="1532"/>
      <c r="AA427" s="1532"/>
      <c r="AB427" s="1532"/>
      <c r="AC427" s="1532"/>
      <c r="AD427" s="1532"/>
      <c r="AE427" s="1532"/>
      <c r="AF427" s="1532"/>
      <c r="AG427" s="1532"/>
      <c r="AH427" s="1532"/>
    </row>
    <row r="428" spans="1:39" ht="12.95" customHeight="1">
      <c r="F428" s="1533"/>
      <c r="G428" s="1533"/>
      <c r="H428" s="1533"/>
      <c r="I428" s="1533"/>
      <c r="J428" s="1533"/>
      <c r="K428" s="1533"/>
      <c r="L428" s="1533"/>
      <c r="M428" s="1533"/>
      <c r="N428" s="1533"/>
      <c r="O428" s="1533"/>
      <c r="P428" s="1533"/>
      <c r="Q428" s="1533"/>
      <c r="R428" s="1533"/>
      <c r="S428" s="1533"/>
      <c r="T428" s="1533"/>
      <c r="U428" s="1533"/>
      <c r="V428" s="1533"/>
      <c r="W428" s="1533"/>
      <c r="X428" s="1533"/>
      <c r="Y428" s="1533"/>
      <c r="Z428" s="1533"/>
      <c r="AA428" s="1533"/>
      <c r="AB428" s="1533"/>
      <c r="AC428" s="1533"/>
      <c r="AD428" s="1533"/>
      <c r="AE428" s="1533"/>
      <c r="AF428" s="1533"/>
      <c r="AG428" s="1533"/>
      <c r="AH428" s="1533"/>
    </row>
    <row r="429" spans="1:39" ht="12.95" customHeight="1">
      <c r="E429" t="s">
        <v>609</v>
      </c>
      <c r="P429" s="1"/>
      <c r="Q429" s="1415" t="s">
        <v>546</v>
      </c>
      <c r="R429" s="1415"/>
    </row>
    <row r="430" spans="1:39" ht="12.95" customHeight="1">
      <c r="F430" t="s">
        <v>610</v>
      </c>
      <c r="P430" s="1"/>
      <c r="Q430" s="1"/>
      <c r="AF430" s="1415" t="s">
        <v>592</v>
      </c>
      <c r="AG430" s="1507"/>
    </row>
    <row r="431" spans="1:39" ht="12.95" customHeight="1"/>
    <row r="432" spans="1:39" ht="12.95" customHeight="1">
      <c r="A432" s="2"/>
      <c r="B432" s="2"/>
      <c r="C432" s="2"/>
      <c r="E432" s="4" t="s">
        <v>308</v>
      </c>
      <c r="Z432" s="1415" t="s">
        <v>670</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5" customHeight="1"/>
    <row r="436" spans="1:55" ht="12.95" customHeight="1">
      <c r="A436" s="2" t="s">
        <v>468</v>
      </c>
      <c r="B436" s="2"/>
      <c r="C436" s="2"/>
      <c r="D436" s="2" t="s">
        <v>765</v>
      </c>
      <c r="AF436" s="48"/>
    </row>
    <row r="437" spans="1:55" ht="12.95" customHeight="1">
      <c r="D437" s="1506"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271</v>
      </c>
      <c r="AH437" s="1385"/>
      <c r="AI437" s="1385"/>
      <c r="AJ437" s="1385"/>
    </row>
    <row r="438" spans="1:55" ht="12.9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5">
        <v>0</v>
      </c>
      <c r="AH438" s="1466"/>
      <c r="AI438" s="1466"/>
      <c r="AJ438" s="1466"/>
    </row>
    <row r="439" spans="1:55" ht="12.9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3</v>
      </c>
      <c r="AH439" s="1385"/>
      <c r="AI439" s="1385"/>
      <c r="AJ439" s="1385"/>
    </row>
    <row r="440" spans="1:55" ht="12.9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268</v>
      </c>
      <c r="AH440" s="1385"/>
      <c r="AI440" s="1385"/>
      <c r="AJ440" s="1385"/>
    </row>
    <row r="441" spans="1:55" ht="12.9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89.333333333333329</v>
      </c>
      <c r="AH441" s="1417"/>
      <c r="AI441" s="1417"/>
      <c r="AJ441" s="1417"/>
    </row>
    <row r="442" spans="1:55" ht="12.9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150677</v>
      </c>
      <c r="AH442" s="1416"/>
      <c r="AI442" s="1416"/>
      <c r="AJ442" s="1416"/>
    </row>
    <row r="443" spans="1:55" ht="12.9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150677</v>
      </c>
      <c r="AH443" s="1416"/>
      <c r="AI443" s="1416"/>
      <c r="AJ443" s="1416"/>
    </row>
    <row r="444" spans="1:55" ht="12.9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2088</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f>1472</f>
        <v>1472</v>
      </c>
      <c r="AH446" s="1416"/>
      <c r="AI446" s="1416"/>
      <c r="AJ446" s="1416"/>
      <c r="AZ446" s="34"/>
      <c r="BA446" s="34"/>
      <c r="BB446" s="34"/>
      <c r="BC446" s="34"/>
    </row>
    <row r="447" spans="1:55" ht="12.95" customHeight="1">
      <c r="D447" s="1506"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f>1460+AG446</f>
        <v>2932</v>
      </c>
      <c r="AH448" s="1416"/>
      <c r="AI448" s="1416"/>
      <c r="AJ448" s="1416"/>
      <c r="AZ448" s="3"/>
      <c r="BA448" s="3"/>
      <c r="BB448" s="3"/>
      <c r="BC448" s="3"/>
    </row>
    <row r="449" spans="1:55" ht="12.9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7" t="s">
        <v>1040</v>
      </c>
      <c r="E450" s="1578"/>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F450" s="1579"/>
      <c r="AG450" s="1429">
        <f>AG442+AG446+AG448+AG449</f>
        <v>155081</v>
      </c>
      <c r="AH450" s="1429"/>
      <c r="AI450" s="1429"/>
      <c r="AJ450" s="1429"/>
      <c r="AZ450" s="3"/>
      <c r="BA450" s="3"/>
      <c r="BB450" s="3"/>
      <c r="BC450" s="3"/>
    </row>
    <row r="451" spans="1:55" ht="12.95" customHeight="1">
      <c r="D451" s="1586" t="s">
        <v>1207</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2.95"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383012.0664206642</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383012.0664206642</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346095.37269372691</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67</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2"/>
      <c r="H474" s="1673"/>
      <c r="I474" s="1673"/>
      <c r="J474" s="1673"/>
      <c r="K474" s="1673"/>
      <c r="L474" s="1673"/>
      <c r="M474" s="1673"/>
      <c r="N474" s="1673"/>
      <c r="O474" s="1673"/>
      <c r="P474" s="1673"/>
      <c r="Q474" s="1673"/>
      <c r="R474" s="1673"/>
      <c r="S474" s="1673"/>
      <c r="T474" s="1673"/>
      <c r="U474" s="1673"/>
      <c r="V474" s="1674"/>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7" t="s">
        <v>811</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2.95"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2700</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2701</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2702</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5" t="s">
        <v>397</v>
      </c>
      <c r="C489" s="1456"/>
      <c r="D489" s="1456"/>
      <c r="E489" s="1456"/>
      <c r="F489" s="1456"/>
      <c r="G489" s="1456"/>
      <c r="H489" s="1456"/>
      <c r="I489" s="1456"/>
      <c r="J489" s="1456"/>
      <c r="K489" s="1456"/>
      <c r="L489" s="1456"/>
      <c r="M489" s="1456"/>
      <c r="N489" s="1456"/>
      <c r="O489" s="1456"/>
      <c r="P489" s="1457"/>
      <c r="Q489" s="1461" t="s">
        <v>670</v>
      </c>
      <c r="R489" s="1462"/>
      <c r="S489" s="1571" t="s">
        <v>166</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2.95" customHeight="1">
      <c r="B490" s="1458"/>
      <c r="C490" s="1459"/>
      <c r="D490" s="1459"/>
      <c r="E490" s="1459"/>
      <c r="F490" s="1459"/>
      <c r="G490" s="1459"/>
      <c r="H490" s="1459"/>
      <c r="I490" s="1459"/>
      <c r="J490" s="1459"/>
      <c r="K490" s="1459"/>
      <c r="L490" s="1459"/>
      <c r="M490" s="1459"/>
      <c r="N490" s="1459"/>
      <c r="O490" s="1459"/>
      <c r="P490" s="1460"/>
      <c r="Q490" s="1463"/>
      <c r="R490" s="1464"/>
      <c r="S490" s="1574"/>
      <c r="T490" s="1533"/>
      <c r="U490" s="1533"/>
      <c r="V490" s="1533"/>
      <c r="W490" s="1533"/>
      <c r="X490" s="1533"/>
      <c r="Y490" s="1533"/>
      <c r="Z490" s="1533"/>
      <c r="AA490" s="1533"/>
      <c r="AB490" s="1533"/>
      <c r="AC490" s="1533"/>
      <c r="AD490" s="1533"/>
      <c r="AE490" s="1533"/>
      <c r="AF490" s="1533"/>
      <c r="AG490" s="1533"/>
      <c r="AH490" s="1533"/>
      <c r="AI490" s="1533"/>
      <c r="AJ490" s="1533"/>
      <c r="AK490" s="1575"/>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2703</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v>0</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v>0</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v>0</v>
      </c>
      <c r="N495" s="1382"/>
      <c r="O495" s="1382"/>
      <c r="P495" s="1383"/>
      <c r="Q495" s="121" t="s">
        <v>1671</v>
      </c>
      <c r="R495" s="5"/>
      <c r="S495" s="5"/>
      <c r="T495" s="5"/>
      <c r="U495" s="5"/>
      <c r="V495" s="5"/>
      <c r="W495" s="5"/>
      <c r="X495" s="5"/>
      <c r="Y495" s="5"/>
      <c r="Z495" s="5"/>
      <c r="AA495" s="5"/>
      <c r="AB495" s="5"/>
      <c r="AC495" s="5"/>
      <c r="AD495" s="5"/>
      <c r="AE495" s="5"/>
      <c r="AF495" s="5"/>
      <c r="AG495" s="5"/>
      <c r="AH495" s="1381">
        <v>0</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592</v>
      </c>
      <c r="AD501" s="1390"/>
      <c r="AE501" s="1390"/>
      <c r="AF501" s="1390"/>
      <c r="AG501" s="13" t="s">
        <v>403</v>
      </c>
      <c r="AH501" s="1427"/>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5</v>
      </c>
      <c r="AD502" s="1390"/>
      <c r="AE502" s="1390"/>
      <c r="AF502" s="1390"/>
      <c r="AG502" s="38" t="s">
        <v>403</v>
      </c>
      <c r="AH502" s="1427">
        <v>2026</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t="s">
        <v>592</v>
      </c>
      <c r="AD506" s="1390"/>
      <c r="AE506" s="1390"/>
      <c r="AF506" s="1390"/>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5</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5" t="s">
        <v>1185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2"/>
      <c r="AD512" s="1453"/>
      <c r="AE512" s="1453"/>
      <c r="AF512" s="1454"/>
      <c r="AG512" s="38"/>
      <c r="AH512" s="1588"/>
      <c r="AI512" s="1588"/>
      <c r="AJ512" s="1588"/>
      <c r="AK512" s="1589"/>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5"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2105</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8</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2106</v>
      </c>
    </row>
    <row r="515" spans="2:66" ht="12.95" customHeight="1">
      <c r="B515" s="1399"/>
      <c r="C515" s="1400"/>
      <c r="D515" s="1400"/>
      <c r="E515" s="1400"/>
      <c r="F515" s="1400"/>
      <c r="G515" s="1400"/>
      <c r="H515" s="1401"/>
      <c r="I515" t="s">
        <v>416</v>
      </c>
      <c r="AC515" s="1389">
        <v>8</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2107</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2108</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403</v>
      </c>
      <c r="AH517" s="1427">
        <v>2026</v>
      </c>
      <c r="AI517" s="1427"/>
      <c r="AJ517" s="1427"/>
      <c r="AK517" s="1428"/>
      <c r="AZ517" s="3"/>
      <c r="BB517" s="3"/>
      <c r="BC517" s="3"/>
      <c r="BD517" s="3"/>
      <c r="BE517" s="3"/>
      <c r="BF517" s="3"/>
      <c r="BG517" s="3"/>
      <c r="BH517" s="3"/>
      <c r="BI517" s="3"/>
      <c r="BJ517" s="3"/>
      <c r="BK517" s="3"/>
      <c r="BL517" s="3"/>
      <c r="BM517" s="3"/>
      <c r="BN517" s="3" t="s">
        <v>2109</v>
      </c>
    </row>
    <row r="518" spans="2:66" ht="12.95" customHeight="1">
      <c r="B518" s="1399"/>
      <c r="C518" s="1400"/>
      <c r="D518" s="1400"/>
      <c r="E518" s="1400"/>
      <c r="F518" s="1400"/>
      <c r="G518" s="1400"/>
      <c r="H518" s="1401"/>
      <c r="I518" t="s">
        <v>416</v>
      </c>
      <c r="AC518" s="1389">
        <v>8</v>
      </c>
      <c r="AD518" s="1390"/>
      <c r="AE518" s="1390"/>
      <c r="AF518" s="1390"/>
      <c r="AG518" s="13" t="s">
        <v>403</v>
      </c>
      <c r="AH518" s="1427">
        <v>2026</v>
      </c>
      <c r="AI518" s="1427"/>
      <c r="AJ518" s="1427"/>
      <c r="AK518" s="1428"/>
      <c r="BB518" s="3"/>
      <c r="BC518" s="3"/>
      <c r="BD518" s="3"/>
      <c r="BE518" s="3"/>
      <c r="BF518" s="3"/>
      <c r="BG518" s="3"/>
      <c r="BH518" s="3"/>
      <c r="BI518" s="3"/>
      <c r="BJ518" s="3"/>
      <c r="BK518" s="3"/>
      <c r="BL518" s="3"/>
      <c r="BM518" s="3"/>
      <c r="BN518" s="3" t="s">
        <v>2110</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3</v>
      </c>
      <c r="AD519" s="1390"/>
      <c r="AE519" s="1390"/>
      <c r="AF519" s="1390"/>
      <c r="AG519" s="38" t="s">
        <v>403</v>
      </c>
      <c r="AH519" s="1427">
        <v>2028</v>
      </c>
      <c r="AI519" s="1427"/>
      <c r="AJ519" s="1427"/>
      <c r="AK519" s="1428"/>
      <c r="BB519" s="3"/>
      <c r="BC519" s="3"/>
      <c r="BD519" s="3"/>
      <c r="BE519" s="3"/>
      <c r="BF519" s="3"/>
      <c r="BG519" s="3"/>
      <c r="BH519" s="3"/>
      <c r="BI519" s="3"/>
      <c r="BJ519" s="3"/>
      <c r="BK519" s="3"/>
      <c r="BL519" s="3"/>
      <c r="BM519" s="3"/>
      <c r="BN519" s="3" t="s">
        <v>2111</v>
      </c>
    </row>
    <row r="520" spans="2:66" ht="12.95" customHeight="1">
      <c r="B520" s="1396" t="s">
        <v>419</v>
      </c>
      <c r="C520" s="1397"/>
      <c r="D520" s="1397"/>
      <c r="E520" s="1397"/>
      <c r="F520" s="1397"/>
      <c r="G520" s="1397"/>
      <c r="H520" s="1398"/>
      <c r="I520" s="41" t="s">
        <v>420</v>
      </c>
      <c r="J520" s="42"/>
      <c r="K520" s="42"/>
      <c r="L520" s="42"/>
      <c r="M520" s="42"/>
      <c r="N520" s="42"/>
      <c r="O520" s="1433" t="s">
        <v>334</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2112</v>
      </c>
    </row>
    <row r="521" spans="2:66" ht="12.95" customHeight="1">
      <c r="B521" s="1399"/>
      <c r="C521" s="1400"/>
      <c r="D521" s="1400"/>
      <c r="E521" s="1400"/>
      <c r="F521" s="1400"/>
      <c r="G521" s="1400"/>
      <c r="H521" s="1401"/>
      <c r="I521" s="114" t="s">
        <v>421</v>
      </c>
      <c r="AB521" s="65"/>
      <c r="AC521" s="1389" t="s">
        <v>592</v>
      </c>
      <c r="AD521" s="1390"/>
      <c r="AE521" s="1390"/>
      <c r="AF521" s="1390"/>
      <c r="AG521" s="13" t="s">
        <v>403</v>
      </c>
      <c r="AH521" s="1427"/>
      <c r="AI521" s="1427"/>
      <c r="AJ521" s="1427"/>
      <c r="AK521" s="1428"/>
      <c r="AZ521" s="3"/>
      <c r="BB521" s="3"/>
      <c r="BC521" s="3"/>
      <c r="BD521" s="3"/>
      <c r="BE521" s="3"/>
      <c r="BF521" s="3"/>
      <c r="BG521" s="3"/>
      <c r="BH521" s="3"/>
      <c r="BI521" s="3"/>
      <c r="BJ521" s="3"/>
      <c r="BK521" s="3"/>
      <c r="BL521" s="3"/>
      <c r="BM521" s="3"/>
      <c r="BN521" s="3" t="s">
        <v>2113</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t="s">
        <v>592</v>
      </c>
      <c r="AD522" s="1390"/>
      <c r="AE522" s="1390"/>
      <c r="AF522" s="1390"/>
      <c r="AG522" s="38" t="s">
        <v>403</v>
      </c>
      <c r="AH522" s="1427"/>
      <c r="AI522" s="1427"/>
      <c r="AJ522" s="1427"/>
      <c r="AK522" s="1428"/>
      <c r="AZ522" s="3"/>
      <c r="BA522" s="3"/>
      <c r="BB522" s="3"/>
      <c r="BC522" s="3"/>
      <c r="BD522" s="3"/>
      <c r="BE522" s="3"/>
      <c r="BF522" s="3"/>
      <c r="BG522" s="3"/>
      <c r="BH522" s="3"/>
      <c r="BI522" s="3"/>
      <c r="BJ522" s="3"/>
      <c r="BK522" s="3"/>
      <c r="BL522" s="3"/>
      <c r="BM522" s="3"/>
      <c r="BN522" s="3" t="s">
        <v>2114</v>
      </c>
    </row>
    <row r="523" spans="2:66" ht="12.9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2115</v>
      </c>
    </row>
    <row r="524" spans="2:66" ht="12.95"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2116</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2117</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2118</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2119</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2120</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2121</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2122</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2123</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2124</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2125</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2126</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2127</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2128</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2129</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5</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5</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11</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12</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3</v>
      </c>
      <c r="AD542" s="1390"/>
      <c r="AE542" s="1390"/>
      <c r="AF542" s="1390"/>
      <c r="AG542" s="38" t="s">
        <v>403</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No</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2704</v>
      </c>
      <c r="D554" s="1439"/>
      <c r="E554" s="1439"/>
      <c r="F554" s="1439"/>
      <c r="G554" s="1439"/>
      <c r="H554" s="1439"/>
      <c r="I554" s="1439"/>
      <c r="J554" s="1439"/>
      <c r="K554" s="1439"/>
      <c r="L554" s="1439"/>
      <c r="M554" s="1439" t="s">
        <v>2120</v>
      </c>
      <c r="N554" s="1439"/>
      <c r="O554" s="1439"/>
      <c r="P554" s="1439"/>
      <c r="Q554" s="1425">
        <v>24</v>
      </c>
      <c r="R554" s="1425"/>
      <c r="S554" s="1426"/>
      <c r="T554" s="1424"/>
      <c r="U554" s="1425"/>
      <c r="V554" s="1426"/>
      <c r="W554" s="1421">
        <v>6.0999999999999999E-2</v>
      </c>
      <c r="X554" s="1422"/>
      <c r="Y554" s="1423"/>
      <c r="Z554" s="1430" t="s">
        <v>2706</v>
      </c>
      <c r="AA554" s="1430"/>
      <c r="AB554" s="1430"/>
      <c r="AC554" s="1430"/>
      <c r="AD554" s="1430"/>
      <c r="AE554" s="1412">
        <v>1</v>
      </c>
      <c r="AF554" s="1413"/>
      <c r="AG554" s="1413"/>
      <c r="AH554" s="1414"/>
      <c r="AI554" s="1436"/>
      <c r="AJ554" s="1437"/>
      <c r="AK554" s="1437"/>
      <c r="AL554" s="1438"/>
      <c r="AM554" s="1467">
        <v>24853880</v>
      </c>
      <c r="AN554" s="1468"/>
      <c r="AO554" s="1468"/>
      <c r="AP554" s="1468"/>
      <c r="AQ554" s="1468"/>
      <c r="AR554" s="1468"/>
      <c r="AS554" s="1469"/>
      <c r="AT554" s="1148"/>
      <c r="AU554" s="1147"/>
      <c r="BB554" s="3"/>
      <c r="BC554" s="3"/>
      <c r="BD554" s="3"/>
      <c r="BE554" s="3"/>
      <c r="BF554" s="3"/>
      <c r="BG554" s="3"/>
      <c r="BH554" s="3"/>
      <c r="BI554" s="3"/>
    </row>
    <row r="555" spans="1:61" ht="12.95" customHeight="1">
      <c r="B555" s="52" t="s">
        <v>113</v>
      </c>
      <c r="C555" s="1440" t="s">
        <v>2704</v>
      </c>
      <c r="D555" s="1440"/>
      <c r="E555" s="1440"/>
      <c r="F555" s="1440"/>
      <c r="G555" s="1440"/>
      <c r="H555" s="1440"/>
      <c r="I555" s="1440"/>
      <c r="J555" s="1440"/>
      <c r="K555" s="1440"/>
      <c r="L555" s="1440"/>
      <c r="M555" s="1439" t="s">
        <v>2119</v>
      </c>
      <c r="N555" s="1439"/>
      <c r="O555" s="1439"/>
      <c r="P555" s="1439"/>
      <c r="Q555" s="1424">
        <v>24</v>
      </c>
      <c r="R555" s="1425"/>
      <c r="S555" s="1426"/>
      <c r="T555" s="1424"/>
      <c r="U555" s="1425"/>
      <c r="V555" s="1426"/>
      <c r="W555" s="1421">
        <v>6.6000000000000003E-2</v>
      </c>
      <c r="X555" s="1422"/>
      <c r="Y555" s="1423"/>
      <c r="Z555" s="1430" t="s">
        <v>2706</v>
      </c>
      <c r="AA555" s="1430"/>
      <c r="AB555" s="1430"/>
      <c r="AC555" s="1430"/>
      <c r="AD555" s="1430"/>
      <c r="AE555" s="1412">
        <v>2</v>
      </c>
      <c r="AF555" s="1413"/>
      <c r="AG555" s="1413"/>
      <c r="AH555" s="1414"/>
      <c r="AI555" s="1436"/>
      <c r="AJ555" s="1437"/>
      <c r="AK555" s="1437"/>
      <c r="AL555" s="1438"/>
      <c r="AM555" s="1467">
        <f>73307928-SUM(AM554,AM556)</f>
        <v>38454048</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2.95" customHeight="1">
      <c r="B556" s="52" t="s">
        <v>119</v>
      </c>
      <c r="C556" s="1440" t="s">
        <v>2704</v>
      </c>
      <c r="D556" s="1440"/>
      <c r="E556" s="1440"/>
      <c r="F556" s="1440"/>
      <c r="G556" s="1440"/>
      <c r="H556" s="1440"/>
      <c r="I556" s="1440"/>
      <c r="J556" s="1440"/>
      <c r="K556" s="1440"/>
      <c r="L556" s="1440"/>
      <c r="M556" s="1439" t="s">
        <v>2121</v>
      </c>
      <c r="N556" s="1439"/>
      <c r="O556" s="1439"/>
      <c r="P556" s="1439"/>
      <c r="Q556" s="1424">
        <v>24</v>
      </c>
      <c r="R556" s="1425"/>
      <c r="S556" s="1426"/>
      <c r="T556" s="1424"/>
      <c r="U556" s="1425"/>
      <c r="V556" s="1426"/>
      <c r="W556" s="1421">
        <v>6.0999999999999999E-2</v>
      </c>
      <c r="X556" s="1422"/>
      <c r="Y556" s="1423"/>
      <c r="Z556" s="1430" t="s">
        <v>2706</v>
      </c>
      <c r="AA556" s="1430"/>
      <c r="AB556" s="1430"/>
      <c r="AC556" s="1430"/>
      <c r="AD556" s="1430"/>
      <c r="AE556" s="1412">
        <v>3</v>
      </c>
      <c r="AF556" s="1413"/>
      <c r="AG556" s="1413"/>
      <c r="AH556" s="1414"/>
      <c r="AI556" s="1436"/>
      <c r="AJ556" s="1437"/>
      <c r="AK556" s="1437"/>
      <c r="AL556" s="1438"/>
      <c r="AM556" s="1467">
        <v>10000000</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2.95" customHeight="1">
      <c r="B557" s="52" t="s">
        <v>582</v>
      </c>
      <c r="C557" s="1440" t="s">
        <v>2705</v>
      </c>
      <c r="D557" s="1440"/>
      <c r="E557" s="1440"/>
      <c r="F557" s="1440"/>
      <c r="G557" s="1440"/>
      <c r="H557" s="1440"/>
      <c r="I557" s="1440"/>
      <c r="J557" s="1440"/>
      <c r="K557" s="1440"/>
      <c r="L557" s="1440"/>
      <c r="M557" s="1439" t="s">
        <v>2117</v>
      </c>
      <c r="N557" s="1439"/>
      <c r="O557" s="1439"/>
      <c r="P557" s="1439"/>
      <c r="Q557" s="1424">
        <f>12*55</f>
        <v>660</v>
      </c>
      <c r="R557" s="1425"/>
      <c r="S557" s="1426"/>
      <c r="T557" s="1424"/>
      <c r="U557" s="1425"/>
      <c r="V557" s="1426"/>
      <c r="W557" s="1421">
        <v>0.03</v>
      </c>
      <c r="X557" s="1422"/>
      <c r="Y557" s="1423"/>
      <c r="Z557" s="1430" t="s">
        <v>2706</v>
      </c>
      <c r="AA557" s="1430"/>
      <c r="AB557" s="1430"/>
      <c r="AC557" s="1430"/>
      <c r="AD557" s="1430"/>
      <c r="AE557" s="1412"/>
      <c r="AF557" s="1413"/>
      <c r="AG557" s="1413"/>
      <c r="AH557" s="1414"/>
      <c r="AI557" s="1436"/>
      <c r="AJ557" s="1437"/>
      <c r="AK557" s="1437"/>
      <c r="AL557" s="1438"/>
      <c r="AM557" s="1467">
        <v>4990000</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2.95" customHeight="1">
      <c r="B558" s="52" t="s">
        <v>764</v>
      </c>
      <c r="C558" s="1440" t="s">
        <v>2663</v>
      </c>
      <c r="D558" s="1440"/>
      <c r="E558" s="1440"/>
      <c r="F558" s="1440"/>
      <c r="G558" s="1440"/>
      <c r="H558" s="1440"/>
      <c r="I558" s="1440"/>
      <c r="J558" s="1440"/>
      <c r="K558" s="1440"/>
      <c r="L558" s="1440"/>
      <c r="M558" s="1439" t="s">
        <v>2111</v>
      </c>
      <c r="N558" s="1439"/>
      <c r="O558" s="1439"/>
      <c r="P558" s="1439"/>
      <c r="Q558" s="1424"/>
      <c r="R558" s="1425"/>
      <c r="S558" s="1426"/>
      <c r="T558" s="1424"/>
      <c r="U558" s="1425"/>
      <c r="V558" s="1426"/>
      <c r="W558" s="1421"/>
      <c r="X558" s="1422"/>
      <c r="Y558" s="1423"/>
      <c r="Z558" s="1430" t="s">
        <v>592</v>
      </c>
      <c r="AA558" s="1430"/>
      <c r="AB558" s="1430"/>
      <c r="AC558" s="1430"/>
      <c r="AD558" s="1430"/>
      <c r="AE558" s="1412"/>
      <c r="AF558" s="1413"/>
      <c r="AG558" s="1413"/>
      <c r="AH558" s="1414"/>
      <c r="AI558" s="1436"/>
      <c r="AJ558" s="1437"/>
      <c r="AK558" s="1437"/>
      <c r="AL558" s="1438"/>
      <c r="AM558" s="1467">
        <v>5917500</v>
      </c>
      <c r="AN558" s="1468"/>
      <c r="AO558" s="1468"/>
      <c r="AP558" s="1468"/>
      <c r="AQ558" s="1468"/>
      <c r="AR558" s="1468"/>
      <c r="AS558" s="1469"/>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440" t="s">
        <v>2644</v>
      </c>
      <c r="D559" s="1440"/>
      <c r="E559" s="1440"/>
      <c r="F559" s="1440"/>
      <c r="G559" s="1440"/>
      <c r="H559" s="1440"/>
      <c r="I559" s="1440"/>
      <c r="J559" s="1440"/>
      <c r="K559" s="1440"/>
      <c r="L559" s="1440"/>
      <c r="M559" s="1439" t="s">
        <v>2106</v>
      </c>
      <c r="N559" s="1439"/>
      <c r="O559" s="1439"/>
      <c r="P559" s="1439"/>
      <c r="Q559" s="1424"/>
      <c r="R559" s="1425"/>
      <c r="S559" s="1426"/>
      <c r="T559" s="1424"/>
      <c r="U559" s="1425"/>
      <c r="V559" s="1426"/>
      <c r="W559" s="1421"/>
      <c r="X559" s="1422"/>
      <c r="Y559" s="1423"/>
      <c r="Z559" s="1430" t="s">
        <v>592</v>
      </c>
      <c r="AA559" s="1430"/>
      <c r="AB559" s="1430"/>
      <c r="AC559" s="1430"/>
      <c r="AD559" s="1430"/>
      <c r="AE559" s="1412"/>
      <c r="AF559" s="1413"/>
      <c r="AG559" s="1413"/>
      <c r="AH559" s="1414"/>
      <c r="AI559" s="1436"/>
      <c r="AJ559" s="1437"/>
      <c r="AK559" s="1437"/>
      <c r="AL559" s="1438"/>
      <c r="AM559" s="1467">
        <f>103796270-SUM(AM554:AS558)</f>
        <v>19580842</v>
      </c>
      <c r="AN559" s="1468"/>
      <c r="AO559" s="1468"/>
      <c r="AP559" s="1468"/>
      <c r="AQ559" s="1468"/>
      <c r="AR559" s="1468"/>
      <c r="AS559" s="1469"/>
      <c r="AT559" s="1148" t="str">
        <f t="shared" si="0"/>
        <v/>
      </c>
      <c r="AU559" s="1147"/>
      <c r="BB559" s="3"/>
      <c r="BC559" s="3"/>
      <c r="BD559" s="3"/>
      <c r="BE559" s="3"/>
      <c r="BF559" s="3"/>
      <c r="BG559" s="3"/>
      <c r="BH559" s="3" t="s">
        <v>585</v>
      </c>
      <c r="BI559" s="3" t="str">
        <f>AG665</f>
        <v>No</v>
      </c>
    </row>
    <row r="560" spans="1:61" ht="12.95" customHeight="1">
      <c r="B560" s="52" t="s">
        <v>456</v>
      </c>
      <c r="C560" s="1440"/>
      <c r="D560" s="1440"/>
      <c r="E560" s="1440"/>
      <c r="F560" s="1440"/>
      <c r="G560" s="1440"/>
      <c r="H560" s="1440"/>
      <c r="I560" s="1440"/>
      <c r="J560" s="1440"/>
      <c r="K560" s="1440"/>
      <c r="L560" s="1440"/>
      <c r="M560" s="1439" t="s">
        <v>1185</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7"/>
      <c r="AN560" s="1468"/>
      <c r="AO560" s="1468"/>
      <c r="AP560" s="1468"/>
      <c r="AQ560" s="1468"/>
      <c r="AR560" s="1468"/>
      <c r="AS560" s="1469"/>
      <c r="AT560" s="1148" t="str">
        <f t="shared" si="0"/>
        <v/>
      </c>
      <c r="AU560" s="1147"/>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7"/>
      <c r="AN561" s="1468"/>
      <c r="AO561" s="1468"/>
      <c r="AP561" s="1468"/>
      <c r="AQ561" s="1468"/>
      <c r="AR561" s="1468"/>
      <c r="AS561" s="1469"/>
      <c r="AT561" s="1148" t="str">
        <f t="shared" si="0"/>
        <v/>
      </c>
      <c r="AU561" s="1147"/>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7"/>
      <c r="AN562" s="1468"/>
      <c r="AO562" s="1468"/>
      <c r="AP562" s="1468"/>
      <c r="AQ562" s="1468"/>
      <c r="AR562" s="1468"/>
      <c r="AS562" s="1469"/>
      <c r="AT562" s="1148" t="str">
        <f t="shared" si="0"/>
        <v/>
      </c>
      <c r="AU562" s="1147"/>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7"/>
      <c r="AN563" s="1468"/>
      <c r="AO563" s="1468"/>
      <c r="AP563" s="1468"/>
      <c r="AQ563" s="1468"/>
      <c r="AR563" s="1468"/>
      <c r="AS563" s="1469"/>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7"/>
      <c r="AN564" s="1468"/>
      <c r="AO564" s="1468"/>
      <c r="AP564" s="1468"/>
      <c r="AQ564" s="1468"/>
      <c r="AR564" s="1468"/>
      <c r="AS564" s="1469"/>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7"/>
      <c r="AN565" s="1468"/>
      <c r="AO565" s="1468"/>
      <c r="AP565" s="1468"/>
      <c r="AQ565" s="1468"/>
      <c r="AR565" s="1468"/>
      <c r="AS565" s="1469"/>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4">
        <f>SUM(AM554:AS565)</f>
        <v>103796270</v>
      </c>
      <c r="AN566" s="1475"/>
      <c r="AO566" s="1475"/>
      <c r="AP566" s="1475"/>
      <c r="AQ566" s="1475"/>
      <c r="AR566" s="1475"/>
      <c r="AS566" s="1476"/>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5" t="str">
        <f>C554</f>
        <v>Citi Community Capital</v>
      </c>
      <c r="H568" s="1485"/>
      <c r="I568" s="1485"/>
      <c r="J568" s="1485"/>
      <c r="K568" s="1485"/>
      <c r="L568" s="1485"/>
      <c r="M568" s="1485"/>
      <c r="N568" s="1485"/>
      <c r="O568" s="1485"/>
      <c r="P568" s="1485"/>
      <c r="Q568" s="1485"/>
      <c r="R568" s="1485"/>
      <c r="S568" s="8"/>
      <c r="T568" s="55" t="s">
        <v>113</v>
      </c>
      <c r="U568" t="s">
        <v>464</v>
      </c>
      <c r="Z568" s="1485" t="str">
        <f>C555</f>
        <v>Citi Community Capital</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2.95" customHeight="1">
      <c r="A569" s="22"/>
      <c r="B569" t="s">
        <v>85</v>
      </c>
      <c r="G569" s="1407" t="s">
        <v>2707</v>
      </c>
      <c r="H569" s="1407"/>
      <c r="I569" s="1407"/>
      <c r="J569" s="1407"/>
      <c r="K569" s="1407"/>
      <c r="L569" s="1407"/>
      <c r="M569" s="1407"/>
      <c r="N569" s="1407"/>
      <c r="O569" s="1407"/>
      <c r="P569" s="1407"/>
      <c r="Q569" s="1407"/>
      <c r="R569" s="1407"/>
      <c r="S569" s="8"/>
      <c r="T569" s="22"/>
      <c r="U569" t="s">
        <v>85</v>
      </c>
      <c r="Z569" s="1407" t="s">
        <v>2707</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t="s">
        <v>2653</v>
      </c>
      <c r="H570" s="1407"/>
      <c r="I570" s="1407"/>
      <c r="J570" s="1407"/>
      <c r="K570" s="1407"/>
      <c r="L570" s="1407"/>
      <c r="M570" s="1407"/>
      <c r="N570" s="1407"/>
      <c r="O570" s="1407"/>
      <c r="P570" s="1407"/>
      <c r="Q570" s="1407"/>
      <c r="R570" s="1407"/>
      <c r="T570" s="22"/>
      <c r="U570" t="s">
        <v>581</v>
      </c>
      <c r="Z570" s="1371" t="s">
        <v>2653</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2708</v>
      </c>
      <c r="H571" s="1407"/>
      <c r="I571" s="1407"/>
      <c r="J571" s="1407"/>
      <c r="K571" s="1407"/>
      <c r="L571" s="1407"/>
      <c r="M571" s="1407"/>
      <c r="N571" s="1407"/>
      <c r="O571" s="1407"/>
      <c r="P571" s="1407"/>
      <c r="Q571" s="1407"/>
      <c r="R571" s="1407"/>
      <c r="S571" s="8"/>
      <c r="T571" s="22"/>
      <c r="U571" t="s">
        <v>17</v>
      </c>
      <c r="Z571" s="1371" t="s">
        <v>2708</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9">
        <v>2132391914</v>
      </c>
      <c r="H572" s="1489"/>
      <c r="I572" s="1489"/>
      <c r="J572" s="1489"/>
      <c r="K572" s="1489"/>
      <c r="L572" s="1489"/>
      <c r="O572" s="33" t="s">
        <v>206</v>
      </c>
      <c r="P572" s="1473"/>
      <c r="Q572" s="1473"/>
      <c r="R572" s="1473"/>
      <c r="S572" s="10"/>
      <c r="T572" s="22"/>
      <c r="U572" t="s">
        <v>316</v>
      </c>
      <c r="Z572" s="1489">
        <v>2132391914</v>
      </c>
      <c r="AA572" s="1489"/>
      <c r="AB572" s="1489"/>
      <c r="AC572" s="1489"/>
      <c r="AD572" s="1489"/>
      <c r="AE572" s="1489"/>
      <c r="AH572" s="33" t="s">
        <v>206</v>
      </c>
      <c r="AI572" s="1473"/>
      <c r="AJ572" s="1473"/>
      <c r="AK572" s="1473"/>
      <c r="BB572" s="3"/>
      <c r="BC572" s="3"/>
      <c r="BD572" s="3"/>
      <c r="BE572" s="3"/>
      <c r="BF572" s="3"/>
      <c r="BG572" s="3"/>
      <c r="BH572" s="3"/>
      <c r="BI572" s="3"/>
    </row>
    <row r="573" spans="1:61" ht="12.95" customHeight="1">
      <c r="A573" s="22"/>
      <c r="B573" t="s">
        <v>18</v>
      </c>
      <c r="H573" s="1407" t="str">
        <f>M554</f>
        <v>Loan, Tax-Exempt</v>
      </c>
      <c r="I573" s="1407"/>
      <c r="J573" s="1407"/>
      <c r="K573" s="1407"/>
      <c r="L573" s="1407"/>
      <c r="M573" s="1407"/>
      <c r="N573" s="1407"/>
      <c r="O573" s="1407"/>
      <c r="P573" s="1407"/>
      <c r="Q573" s="1407"/>
      <c r="R573" s="1407"/>
      <c r="S573" s="8"/>
      <c r="T573" s="22"/>
      <c r="U573" t="s">
        <v>18</v>
      </c>
      <c r="AA573" s="1407" t="str">
        <f>M555</f>
        <v>Loan, Taxable</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1186</v>
      </c>
      <c r="H574" s="8"/>
      <c r="I574" s="8"/>
      <c r="J574" s="8"/>
      <c r="K574" s="8"/>
      <c r="L574" s="8"/>
      <c r="M574" s="1600"/>
      <c r="N574" s="1600"/>
      <c r="O574" s="1600"/>
      <c r="P574" s="1600"/>
      <c r="Q574" s="1600"/>
      <c r="R574" s="1600"/>
      <c r="S574" s="8"/>
      <c r="T574" s="22"/>
      <c r="U574" s="320" t="s">
        <v>1186</v>
      </c>
      <c r="AA574" s="8"/>
      <c r="AB574" s="8"/>
      <c r="AC574" s="8"/>
      <c r="AD574" s="8"/>
      <c r="AE574" s="8"/>
      <c r="AF574" s="1600"/>
      <c r="AG574" s="1600"/>
      <c r="AH574" s="1600"/>
      <c r="AI574" s="1600"/>
      <c r="AJ574" s="1600"/>
      <c r="AK574" s="1600"/>
      <c r="BB574" s="3"/>
      <c r="BC574" s="3"/>
      <c r="BD574" s="3"/>
      <c r="BE574" s="3"/>
      <c r="BF574" s="3"/>
      <c r="BG574" s="3"/>
      <c r="BH574" s="3"/>
      <c r="BI574" s="3"/>
    </row>
    <row r="575" spans="1:61" ht="12.95" customHeight="1">
      <c r="A575" s="22"/>
      <c r="B575" t="s">
        <v>20</v>
      </c>
      <c r="N575" s="1415" t="s">
        <v>546</v>
      </c>
      <c r="O575" s="1415"/>
      <c r="T575" s="22"/>
      <c r="U575" t="s">
        <v>20</v>
      </c>
      <c r="AG575" s="1415" t="s">
        <v>546</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5" t="str">
        <f>C556</f>
        <v>Citi Community Capital</v>
      </c>
      <c r="H577" s="1485"/>
      <c r="I577" s="1485"/>
      <c r="J577" s="1485"/>
      <c r="K577" s="1485"/>
      <c r="L577" s="1485"/>
      <c r="M577" s="1485"/>
      <c r="N577" s="1485"/>
      <c r="O577" s="1485"/>
      <c r="P577" s="1485"/>
      <c r="Q577" s="1485"/>
      <c r="R577" s="1485"/>
      <c r="T577" s="55" t="s">
        <v>582</v>
      </c>
      <c r="U577" t="s">
        <v>464</v>
      </c>
      <c r="Z577" s="1485" t="str">
        <f>C557</f>
        <v>350 South Figueroa LLC</v>
      </c>
      <c r="AA577" s="1485"/>
      <c r="AB577" s="1485"/>
      <c r="AC577" s="1485"/>
      <c r="AD577" s="1485"/>
      <c r="AE577" s="1485"/>
      <c r="AF577" s="1485"/>
      <c r="AG577" s="1485"/>
      <c r="AH577" s="1485"/>
      <c r="AI577" s="1485"/>
      <c r="AJ577" s="1485"/>
      <c r="AK577" s="1485"/>
      <c r="BB577" s="3"/>
      <c r="BC577" s="3"/>
    </row>
    <row r="578" spans="1:55" ht="12.95" customHeight="1">
      <c r="A578" s="22"/>
      <c r="B578" t="s">
        <v>85</v>
      </c>
      <c r="G578" s="1407" t="s">
        <v>2707</v>
      </c>
      <c r="H578" s="1407"/>
      <c r="I578" s="1407"/>
      <c r="J578" s="1407"/>
      <c r="K578" s="1407"/>
      <c r="L578" s="1407"/>
      <c r="M578" s="1407"/>
      <c r="N578" s="1407"/>
      <c r="O578" s="1407"/>
      <c r="P578" s="1407"/>
      <c r="Q578" s="1407"/>
      <c r="R578" s="1407"/>
      <c r="T578" s="22"/>
      <c r="U578" t="s">
        <v>85</v>
      </c>
      <c r="Z578" s="1407" t="s">
        <v>2709</v>
      </c>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
        <v>2653</v>
      </c>
      <c r="H579" s="1371"/>
      <c r="I579" s="1371"/>
      <c r="J579" s="1371"/>
      <c r="K579" s="1371"/>
      <c r="L579" s="1371"/>
      <c r="M579" s="1371"/>
      <c r="N579" s="1371"/>
      <c r="O579" s="1371"/>
      <c r="P579" s="1371"/>
      <c r="Q579" s="1371"/>
      <c r="R579" s="1371"/>
      <c r="T579" s="22"/>
      <c r="U579" t="s">
        <v>581</v>
      </c>
      <c r="Z579" s="1371" t="s">
        <v>2646</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2708</v>
      </c>
      <c r="H580" s="1371"/>
      <c r="I580" s="1371"/>
      <c r="J580" s="1371"/>
      <c r="K580" s="1371"/>
      <c r="L580" s="1371"/>
      <c r="M580" s="1371"/>
      <c r="N580" s="1371"/>
      <c r="O580" s="1371"/>
      <c r="P580" s="1371"/>
      <c r="Q580" s="1371"/>
      <c r="R580" s="1371"/>
      <c r="T580" s="22"/>
      <c r="U580" t="s">
        <v>17</v>
      </c>
      <c r="Z580" s="1371" t="s">
        <v>2710</v>
      </c>
      <c r="AA580" s="1371"/>
      <c r="AB580" s="1371"/>
      <c r="AC580" s="1371"/>
      <c r="AD580" s="1371"/>
      <c r="AE580" s="1371"/>
      <c r="AF580" s="1371"/>
      <c r="AG580" s="1371"/>
      <c r="AH580" s="1371"/>
      <c r="AI580" s="1371"/>
      <c r="AJ580" s="1371"/>
      <c r="AK580" s="1371"/>
      <c r="BB580" s="3"/>
      <c r="BC580" s="3"/>
    </row>
    <row r="581" spans="1:55" ht="12.95" customHeight="1">
      <c r="A581" s="22"/>
      <c r="B581" t="s">
        <v>316</v>
      </c>
      <c r="G581" s="1489">
        <v>2132391914</v>
      </c>
      <c r="H581" s="1489"/>
      <c r="I581" s="1489"/>
      <c r="J581" s="1489"/>
      <c r="K581" s="1489"/>
      <c r="L581" s="1489"/>
      <c r="O581" s="33" t="s">
        <v>206</v>
      </c>
      <c r="P581" s="1473"/>
      <c r="Q581" s="1473"/>
      <c r="R581" s="1473"/>
      <c r="T581" s="22"/>
      <c r="U581" t="s">
        <v>316</v>
      </c>
      <c r="Z581" s="1489">
        <v>2133655000</v>
      </c>
      <c r="AA581" s="1489"/>
      <c r="AB581" s="1489"/>
      <c r="AC581" s="1489"/>
      <c r="AD581" s="1489"/>
      <c r="AE581" s="1489"/>
      <c r="AH581" s="33" t="s">
        <v>206</v>
      </c>
      <c r="AI581" s="1473"/>
      <c r="AJ581" s="1473"/>
      <c r="AK581" s="1473"/>
      <c r="BB581" s="3"/>
      <c r="BC581" s="3"/>
    </row>
    <row r="582" spans="1:55" ht="12.95" customHeight="1">
      <c r="A582" s="22"/>
      <c r="B582" t="s">
        <v>18</v>
      </c>
      <c r="H582" s="1407" t="str">
        <f>M556</f>
        <v>Loan, Tax-Exempt, Recycled</v>
      </c>
      <c r="I582" s="1407"/>
      <c r="J582" s="1407"/>
      <c r="K582" s="1407"/>
      <c r="L582" s="1407"/>
      <c r="M582" s="1407"/>
      <c r="N582" s="1407"/>
      <c r="O582" s="1407"/>
      <c r="P582" s="1407"/>
      <c r="Q582" s="1407"/>
      <c r="R582" s="1407"/>
      <c r="T582" s="22"/>
      <c r="U582" t="s">
        <v>18</v>
      </c>
      <c r="AA582" s="1407" t="str">
        <f>M557</f>
        <v>Loan, Seller Note</v>
      </c>
      <c r="AB582" s="1407"/>
      <c r="AC582" s="1407"/>
      <c r="AD582" s="1407"/>
      <c r="AE582" s="1407"/>
      <c r="AF582" s="1407"/>
      <c r="AG582" s="1407"/>
      <c r="AH582" s="1407"/>
      <c r="AI582" s="1407"/>
      <c r="AJ582" s="1407"/>
      <c r="AK582" s="1407"/>
      <c r="BB582" s="3"/>
      <c r="BC582" s="3"/>
    </row>
    <row r="583" spans="1:55" ht="12.95" customHeight="1">
      <c r="A583" s="22"/>
      <c r="B583" t="s">
        <v>20</v>
      </c>
      <c r="N583" s="1415" t="s">
        <v>546</v>
      </c>
      <c r="O583" s="1415"/>
      <c r="T583" s="22"/>
      <c r="U583" t="s">
        <v>20</v>
      </c>
      <c r="AG583" s="1415" t="s">
        <v>546</v>
      </c>
      <c r="AH583" s="1415"/>
      <c r="BB583" s="3"/>
      <c r="BC583" s="3"/>
    </row>
    <row r="584" spans="1:55" ht="12.95" customHeight="1">
      <c r="A584" s="22"/>
      <c r="T584" s="22"/>
      <c r="BB584" s="3"/>
      <c r="BC584" s="3"/>
    </row>
    <row r="585" spans="1:55" ht="12.95" customHeight="1">
      <c r="A585" s="55" t="s">
        <v>764</v>
      </c>
      <c r="B585" t="s">
        <v>464</v>
      </c>
      <c r="G585" s="1485" t="str">
        <f>C558</f>
        <v>RBC Community Investments</v>
      </c>
      <c r="H585" s="1485"/>
      <c r="I585" s="1485"/>
      <c r="J585" s="1485"/>
      <c r="K585" s="1485"/>
      <c r="L585" s="1485"/>
      <c r="M585" s="1485"/>
      <c r="N585" s="1485"/>
      <c r="O585" s="1485"/>
      <c r="P585" s="1485"/>
      <c r="Q585" s="1485"/>
      <c r="R585" s="1485"/>
      <c r="T585" s="55" t="s">
        <v>585</v>
      </c>
      <c r="U585" t="s">
        <v>464</v>
      </c>
      <c r="Z585" s="1485" t="str">
        <f>C559</f>
        <v>Arden Development, Inc.</v>
      </c>
      <c r="AA585" s="1485"/>
      <c r="AB585" s="1485"/>
      <c r="AC585" s="1485"/>
      <c r="AD585" s="1485"/>
      <c r="AE585" s="1485"/>
      <c r="AF585" s="1485"/>
      <c r="AG585" s="1485"/>
      <c r="AH585" s="1485"/>
      <c r="AI585" s="1485"/>
      <c r="AJ585" s="1485"/>
      <c r="AK585" s="1485"/>
      <c r="BB585" s="3"/>
      <c r="BC585" s="3"/>
    </row>
    <row r="586" spans="1:55" ht="12.95" customHeight="1">
      <c r="A586" s="22"/>
      <c r="B586" t="s">
        <v>85</v>
      </c>
      <c r="G586" s="1407" t="s">
        <v>2711</v>
      </c>
      <c r="H586" s="1407"/>
      <c r="I586" s="1407"/>
      <c r="J586" s="1407"/>
      <c r="K586" s="1407"/>
      <c r="L586" s="1407"/>
      <c r="M586" s="1407"/>
      <c r="N586" s="1407"/>
      <c r="O586" s="1407"/>
      <c r="P586" s="1407"/>
      <c r="Q586" s="1407"/>
      <c r="R586" s="1407"/>
      <c r="T586" s="22"/>
      <c r="U586" t="s">
        <v>85</v>
      </c>
      <c r="Z586" s="1407" t="s">
        <v>2709</v>
      </c>
      <c r="AA586" s="1407"/>
      <c r="AB586" s="1407"/>
      <c r="AC586" s="1407"/>
      <c r="AD586" s="1407"/>
      <c r="AE586" s="1407"/>
      <c r="AF586" s="1407"/>
      <c r="AG586" s="1407"/>
      <c r="AH586" s="1407"/>
      <c r="AI586" s="1407"/>
      <c r="AJ586" s="1407"/>
      <c r="AK586" s="1407"/>
      <c r="BB586" s="3"/>
      <c r="BC586" s="3"/>
    </row>
    <row r="587" spans="1:55" ht="12.95" customHeight="1">
      <c r="A587" s="22"/>
      <c r="B587" t="s">
        <v>581</v>
      </c>
      <c r="G587" s="1407" t="s">
        <v>2665</v>
      </c>
      <c r="H587" s="1407"/>
      <c r="I587" s="1407"/>
      <c r="J587" s="1407"/>
      <c r="K587" s="1407"/>
      <c r="L587" s="1407"/>
      <c r="M587" s="1407"/>
      <c r="N587" s="1407"/>
      <c r="O587" s="1407"/>
      <c r="P587" s="1407"/>
      <c r="Q587" s="1407"/>
      <c r="R587" s="1407"/>
      <c r="T587" s="22"/>
      <c r="U587" t="s">
        <v>581</v>
      </c>
      <c r="Z587" s="1371" t="s">
        <v>2646</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2712</v>
      </c>
      <c r="H588" s="1407"/>
      <c r="I588" s="1407"/>
      <c r="J588" s="1407"/>
      <c r="K588" s="1407"/>
      <c r="L588" s="1407"/>
      <c r="M588" s="1407"/>
      <c r="N588" s="1407"/>
      <c r="O588" s="1407"/>
      <c r="P588" s="1407"/>
      <c r="Q588" s="1407"/>
      <c r="R588" s="1407"/>
      <c r="T588" s="22"/>
      <c r="U588" t="s">
        <v>17</v>
      </c>
      <c r="Z588" s="1371" t="s">
        <v>2625</v>
      </c>
      <c r="AA588" s="1371"/>
      <c r="AB588" s="1371"/>
      <c r="AC588" s="1371"/>
      <c r="AD588" s="1371"/>
      <c r="AE588" s="1371"/>
      <c r="AF588" s="1371"/>
      <c r="AG588" s="1371"/>
      <c r="AH588" s="1371"/>
      <c r="AI588" s="1371"/>
      <c r="AJ588" s="1371"/>
      <c r="AK588" s="1371"/>
    </row>
    <row r="589" spans="1:55" ht="12.95" customHeight="1">
      <c r="A589" s="22"/>
      <c r="B589" t="s">
        <v>316</v>
      </c>
      <c r="G589" s="1489">
        <v>6262334862</v>
      </c>
      <c r="H589" s="1489"/>
      <c r="I589" s="1489"/>
      <c r="J589" s="1489"/>
      <c r="K589" s="1489"/>
      <c r="L589" s="1489"/>
      <c r="O589" s="33" t="s">
        <v>206</v>
      </c>
      <c r="P589" s="1473"/>
      <c r="Q589" s="1473"/>
      <c r="R589" s="1473"/>
      <c r="T589" s="22"/>
      <c r="U589" t="s">
        <v>316</v>
      </c>
      <c r="Z589" s="1489">
        <v>2133655000</v>
      </c>
      <c r="AA589" s="1489"/>
      <c r="AB589" s="1489"/>
      <c r="AC589" s="1489"/>
      <c r="AD589" s="1489"/>
      <c r="AE589" s="1489"/>
      <c r="AH589" s="33" t="s">
        <v>206</v>
      </c>
      <c r="AI589" s="1473"/>
      <c r="AJ589" s="1473"/>
      <c r="AK589" s="1473"/>
      <c r="AZ589" s="3"/>
      <c r="BA589" s="3"/>
      <c r="BB589" s="3"/>
      <c r="BC589" s="3"/>
    </row>
    <row r="590" spans="1:55" ht="12.95" customHeight="1">
      <c r="A590" s="22"/>
      <c r="B590" t="s">
        <v>18</v>
      </c>
      <c r="H590" s="1407" t="str">
        <f>M558</f>
        <v>Equity, LIHTC Investor</v>
      </c>
      <c r="I590" s="1407"/>
      <c r="J590" s="1407"/>
      <c r="K590" s="1407"/>
      <c r="L590" s="1407"/>
      <c r="M590" s="1407"/>
      <c r="N590" s="1407"/>
      <c r="O590" s="1407"/>
      <c r="P590" s="1407"/>
      <c r="Q590" s="1407"/>
      <c r="R590" s="1407"/>
      <c r="T590" s="22"/>
      <c r="U590" t="s">
        <v>18</v>
      </c>
      <c r="AA590" s="1407" t="str">
        <f>M559</f>
        <v>Cost Deferral</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546</v>
      </c>
      <c r="O591" s="1415"/>
      <c r="T591" s="22"/>
      <c r="U591" t="s">
        <v>20</v>
      </c>
      <c r="AG591" s="1415" t="s">
        <v>546</v>
      </c>
      <c r="AH591" s="1415"/>
      <c r="AZ591" s="3"/>
      <c r="BA591" s="3"/>
      <c r="BB591" s="3"/>
      <c r="BC591" s="3"/>
    </row>
    <row r="592" spans="1:55" ht="12.95" customHeight="1">
      <c r="A592" s="22"/>
      <c r="T592" s="22"/>
      <c r="AZ592" s="3"/>
      <c r="BA592" s="3"/>
      <c r="BB592" s="3"/>
      <c r="BC592" s="3"/>
    </row>
    <row r="593" spans="1:55" ht="12.95" customHeight="1">
      <c r="A593" s="55" t="s">
        <v>456</v>
      </c>
      <c r="B593" t="s">
        <v>464</v>
      </c>
      <c r="G593" s="1485">
        <f>C560</f>
        <v>0</v>
      </c>
      <c r="H593" s="1485"/>
      <c r="I593" s="1485"/>
      <c r="J593" s="1485"/>
      <c r="K593" s="1485"/>
      <c r="L593" s="1485"/>
      <c r="M593" s="1485"/>
      <c r="N593" s="1485"/>
      <c r="O593" s="1485"/>
      <c r="P593" s="1485"/>
      <c r="Q593" s="1485"/>
      <c r="R593" s="1485"/>
      <c r="T593" s="55" t="s">
        <v>457</v>
      </c>
      <c r="U593" t="s">
        <v>464</v>
      </c>
      <c r="Z593" s="1485">
        <f>C561</f>
        <v>0</v>
      </c>
      <c r="AA593" s="1485"/>
      <c r="AB593" s="1485"/>
      <c r="AC593" s="1485"/>
      <c r="AD593" s="1485"/>
      <c r="AE593" s="1485"/>
      <c r="AF593" s="1485"/>
      <c r="AG593" s="1485"/>
      <c r="AH593" s="1485"/>
      <c r="AI593" s="1485"/>
      <c r="AJ593" s="1485"/>
      <c r="AK593" s="1485"/>
      <c r="AZ593" s="3"/>
      <c r="BA593" s="3"/>
      <c r="BB593" s="3"/>
      <c r="BC593" s="3"/>
    </row>
    <row r="594" spans="1:55" s="4" customFormat="1" ht="12.95"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9"/>
      <c r="H597" s="1489"/>
      <c r="I597" s="1489"/>
      <c r="J597" s="1489"/>
      <c r="K597" s="1489"/>
      <c r="L597" s="1489"/>
      <c r="M597"/>
      <c r="N597"/>
      <c r="O597" s="33" t="s">
        <v>206</v>
      </c>
      <c r="P597" s="1473"/>
      <c r="Q597" s="1473"/>
      <c r="R597" s="1473"/>
      <c r="S597"/>
      <c r="T597" s="22"/>
      <c r="U597" t="s">
        <v>316</v>
      </c>
      <c r="V597"/>
      <c r="W597"/>
      <c r="X597"/>
      <c r="Y597"/>
      <c r="Z597" s="1489"/>
      <c r="AA597" s="1489"/>
      <c r="AB597" s="1489"/>
      <c r="AC597" s="1489"/>
      <c r="AD597" s="1489"/>
      <c r="AE597" s="1489"/>
      <c r="AF597"/>
      <c r="AG597"/>
      <c r="AH597" s="33" t="s">
        <v>206</v>
      </c>
      <c r="AI597" s="1473"/>
      <c r="AJ597" s="1473"/>
      <c r="AK597" s="147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670</v>
      </c>
      <c r="O599" s="1415"/>
      <c r="T599" s="22"/>
      <c r="U599" t="s">
        <v>20</v>
      </c>
      <c r="AG599" s="1415" t="s">
        <v>670</v>
      </c>
      <c r="AH599" s="1415"/>
      <c r="BB599" s="3"/>
      <c r="BC599" s="3"/>
    </row>
    <row r="600" spans="1:55" ht="12.95" customHeight="1">
      <c r="A600" s="22"/>
      <c r="T600" s="22"/>
      <c r="BB600" s="3"/>
      <c r="BC600" s="3"/>
    </row>
    <row r="601" spans="1:55" ht="12.95" customHeight="1">
      <c r="A601" s="55" t="s">
        <v>462</v>
      </c>
      <c r="B601" t="s">
        <v>464</v>
      </c>
      <c r="G601" s="1485">
        <f>C562</f>
        <v>0</v>
      </c>
      <c r="H601" s="1485"/>
      <c r="I601" s="1485"/>
      <c r="J601" s="1485"/>
      <c r="K601" s="1485"/>
      <c r="L601" s="1485"/>
      <c r="M601" s="1485"/>
      <c r="N601" s="1485"/>
      <c r="O601" s="1485"/>
      <c r="P601" s="1485"/>
      <c r="Q601" s="1485"/>
      <c r="R601" s="1485"/>
      <c r="T601" s="55" t="s">
        <v>647</v>
      </c>
      <c r="U601" t="s">
        <v>464</v>
      </c>
      <c r="Z601" s="1485">
        <f>C563</f>
        <v>0</v>
      </c>
      <c r="AA601" s="1485"/>
      <c r="AB601" s="1485"/>
      <c r="AC601" s="1485"/>
      <c r="AD601" s="1485"/>
      <c r="AE601" s="1485"/>
      <c r="AF601" s="1485"/>
      <c r="AG601" s="1485"/>
      <c r="AH601" s="1485"/>
      <c r="AI601" s="1485"/>
      <c r="AJ601" s="1485"/>
      <c r="AK601" s="1485"/>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9"/>
      <c r="H605" s="1489"/>
      <c r="I605" s="1489"/>
      <c r="J605" s="1489"/>
      <c r="K605" s="1489"/>
      <c r="L605" s="1489"/>
      <c r="M605"/>
      <c r="N605"/>
      <c r="O605" s="33" t="s">
        <v>206</v>
      </c>
      <c r="P605" s="1473"/>
      <c r="Q605" s="1473"/>
      <c r="R605" s="1473"/>
      <c r="S605"/>
      <c r="T605" s="22"/>
      <c r="U605" t="s">
        <v>316</v>
      </c>
      <c r="V605"/>
      <c r="W605"/>
      <c r="X605"/>
      <c r="Y605"/>
      <c r="Z605" s="1489"/>
      <c r="AA605" s="1489"/>
      <c r="AB605" s="1489"/>
      <c r="AC605" s="1489"/>
      <c r="AD605" s="1489"/>
      <c r="AE605" s="1489"/>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5">
        <f>C564</f>
        <v>0</v>
      </c>
      <c r="H609" s="1485"/>
      <c r="I609" s="1485"/>
      <c r="J609" s="1485"/>
      <c r="K609" s="1485"/>
      <c r="L609" s="1485"/>
      <c r="M609" s="1485"/>
      <c r="N609" s="1485"/>
      <c r="O609" s="1485"/>
      <c r="P609" s="1485"/>
      <c r="Q609" s="1485"/>
      <c r="R609" s="1485"/>
      <c r="T609" s="55" t="s">
        <v>363</v>
      </c>
      <c r="U609" t="s">
        <v>464</v>
      </c>
      <c r="Z609" s="1485">
        <f>C565</f>
        <v>0</v>
      </c>
      <c r="AA609" s="1485"/>
      <c r="AB609" s="1485"/>
      <c r="AC609" s="1485"/>
      <c r="AD609" s="1485"/>
      <c r="AE609" s="1485"/>
      <c r="AF609" s="1485"/>
      <c r="AG609" s="1485"/>
      <c r="AH609" s="1485"/>
      <c r="AI609" s="1485"/>
      <c r="AJ609" s="1485"/>
      <c r="AK609" s="1485"/>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9"/>
      <c r="H613" s="1489"/>
      <c r="I613" s="1489"/>
      <c r="J613" s="1489"/>
      <c r="K613" s="1489"/>
      <c r="L613" s="1489"/>
      <c r="O613" s="33" t="s">
        <v>206</v>
      </c>
      <c r="P613" s="1473"/>
      <c r="Q613" s="1473"/>
      <c r="R613" s="1473"/>
      <c r="U613" t="s">
        <v>316</v>
      </c>
      <c r="Z613" s="1489"/>
      <c r="AA613" s="1489"/>
      <c r="AB613" s="1489"/>
      <c r="AC613" s="1489"/>
      <c r="AD613" s="1489"/>
      <c r="AE613" s="1489"/>
      <c r="AH613" s="33" t="s">
        <v>206</v>
      </c>
      <c r="AI613" s="1473"/>
      <c r="AJ613" s="1473"/>
      <c r="AK613" s="1473"/>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670</v>
      </c>
      <c r="O615" s="1415"/>
      <c r="U615" t="s">
        <v>20</v>
      </c>
      <c r="AG615" s="1415" t="s">
        <v>670</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70" t="s">
        <v>2103</v>
      </c>
      <c r="C624" s="1670"/>
      <c r="D624" s="1670"/>
      <c r="E624" s="1670"/>
      <c r="F624" s="1670"/>
      <c r="G624" s="1670"/>
      <c r="H624" s="1670"/>
      <c r="I624" s="1670"/>
      <c r="J624" s="1670"/>
      <c r="K624" s="1670"/>
      <c r="L624" s="1670"/>
      <c r="M624" s="1675" t="s">
        <v>2104</v>
      </c>
      <c r="N624" s="1675"/>
      <c r="O624" s="1675"/>
      <c r="P624" s="1675"/>
      <c r="Q624" s="1675" t="s">
        <v>1853</v>
      </c>
      <c r="R624" s="1675"/>
      <c r="S624" s="1675"/>
      <c r="T624" s="1675" t="s">
        <v>1851</v>
      </c>
      <c r="U624" s="1675"/>
      <c r="V624" s="1675"/>
      <c r="W624" s="1671" t="s">
        <v>454</v>
      </c>
      <c r="X624" s="1671"/>
      <c r="Y624" s="1671"/>
      <c r="Z624" s="1397" t="s">
        <v>2133</v>
      </c>
      <c r="AA624" s="1397"/>
      <c r="AB624" s="1398"/>
      <c r="AC624" s="1676" t="s">
        <v>1677</v>
      </c>
      <c r="AD624" s="1677"/>
      <c r="AE624" s="1678"/>
      <c r="AF624" s="1396" t="s">
        <v>1931</v>
      </c>
      <c r="AG624" s="1397"/>
      <c r="AH624" s="1397"/>
      <c r="AI624" s="1397"/>
      <c r="AJ624" s="1398"/>
      <c r="AK624" s="1591" t="s">
        <v>1932</v>
      </c>
      <c r="AL624" s="1592"/>
      <c r="AM624" s="1592"/>
      <c r="AN624" s="1593"/>
      <c r="AO624" s="1675" t="s">
        <v>455</v>
      </c>
      <c r="AP624" s="1675"/>
      <c r="AQ624" s="1675"/>
      <c r="AR624" s="1675"/>
      <c r="AS624" s="1675"/>
      <c r="AU624" s="3"/>
      <c r="AZ624" s="3"/>
      <c r="BA624" s="3"/>
      <c r="BB624" s="3"/>
      <c r="BC624" s="3"/>
    </row>
    <row r="625" spans="2:157" ht="12.95" customHeight="1">
      <c r="B625" s="1670"/>
      <c r="C625" s="1670"/>
      <c r="D625" s="1670"/>
      <c r="E625" s="1670"/>
      <c r="F625" s="1670"/>
      <c r="G625" s="1670"/>
      <c r="H625" s="1670"/>
      <c r="I625" s="1670"/>
      <c r="J625" s="1670"/>
      <c r="K625" s="1670"/>
      <c r="L625" s="1670"/>
      <c r="M625" s="1675"/>
      <c r="N625" s="1675"/>
      <c r="O625" s="1675"/>
      <c r="P625" s="1675"/>
      <c r="Q625" s="1675"/>
      <c r="R625" s="1675"/>
      <c r="S625" s="1675"/>
      <c r="T625" s="1675"/>
      <c r="U625" s="1675"/>
      <c r="V625" s="1675"/>
      <c r="W625" s="1671"/>
      <c r="X625" s="1671"/>
      <c r="Y625" s="1671"/>
      <c r="Z625" s="1400"/>
      <c r="AA625" s="1400"/>
      <c r="AB625" s="1401"/>
      <c r="AC625" s="1679"/>
      <c r="AD625" s="1680"/>
      <c r="AE625" s="1681"/>
      <c r="AF625" s="1399"/>
      <c r="AG625" s="1400"/>
      <c r="AH625" s="1400"/>
      <c r="AI625" s="1400"/>
      <c r="AJ625" s="1401"/>
      <c r="AK625" s="1594"/>
      <c r="AL625" s="1595"/>
      <c r="AM625" s="1595"/>
      <c r="AN625" s="1596"/>
      <c r="AO625" s="1675"/>
      <c r="AP625" s="1675"/>
      <c r="AQ625" s="1675"/>
      <c r="AR625" s="1675"/>
      <c r="AS625" s="1675"/>
      <c r="AU625" s="3"/>
      <c r="AZ625" s="3"/>
      <c r="BA625" s="3"/>
      <c r="BB625" s="3"/>
      <c r="BC625" s="3"/>
      <c r="BD625" s="3"/>
    </row>
    <row r="626" spans="2:157" ht="12.95" customHeight="1">
      <c r="B626" s="1670"/>
      <c r="C626" s="1670"/>
      <c r="D626" s="1670"/>
      <c r="E626" s="1670"/>
      <c r="F626" s="1670"/>
      <c r="G626" s="1670"/>
      <c r="H626" s="1670"/>
      <c r="I626" s="1670"/>
      <c r="J626" s="1670"/>
      <c r="K626" s="1670"/>
      <c r="L626" s="1670"/>
      <c r="M626" s="1675"/>
      <c r="N626" s="1675"/>
      <c r="O626" s="1675"/>
      <c r="P626" s="1675"/>
      <c r="Q626" s="1675"/>
      <c r="R626" s="1675"/>
      <c r="S626" s="1675"/>
      <c r="T626" s="1675"/>
      <c r="U626" s="1675"/>
      <c r="V626" s="1675"/>
      <c r="W626" s="1671"/>
      <c r="X626" s="1671"/>
      <c r="Y626" s="1671"/>
      <c r="Z626" s="1403"/>
      <c r="AA626" s="1403"/>
      <c r="AB626" s="1404"/>
      <c r="AC626" s="1682"/>
      <c r="AD626" s="1683"/>
      <c r="AE626" s="1684"/>
      <c r="AF626" s="1402"/>
      <c r="AG626" s="1403"/>
      <c r="AH626" s="1403"/>
      <c r="AI626" s="1403"/>
      <c r="AJ626" s="1404"/>
      <c r="AK626" s="1597"/>
      <c r="AL626" s="1598"/>
      <c r="AM626" s="1598"/>
      <c r="AN626" s="1599"/>
      <c r="AO626" s="1675"/>
      <c r="AP626" s="1675"/>
      <c r="AQ626" s="1675"/>
      <c r="AR626" s="1675"/>
      <c r="AS626" s="1675"/>
      <c r="AT626" s="3"/>
      <c r="AU626" s="3"/>
      <c r="AZ626" s="3"/>
      <c r="BA626" s="3"/>
      <c r="BB626" s="3"/>
      <c r="BC626" s="3"/>
      <c r="BD626" s="3"/>
    </row>
    <row r="627" spans="2:157" ht="12.95" customHeight="1">
      <c r="B627" s="51" t="s">
        <v>112</v>
      </c>
      <c r="C627" s="1481" t="s">
        <v>2704</v>
      </c>
      <c r="D627" s="1481"/>
      <c r="E627" s="1481"/>
      <c r="F627" s="1481"/>
      <c r="G627" s="1481"/>
      <c r="H627" s="1481"/>
      <c r="I627" s="1481"/>
      <c r="J627" s="1481"/>
      <c r="K627" s="1481"/>
      <c r="L627" s="1481"/>
      <c r="M627" s="1495" t="s">
        <v>2114</v>
      </c>
      <c r="N627" s="1495"/>
      <c r="O627" s="1495"/>
      <c r="P627" s="1495"/>
      <c r="Q627" s="1511">
        <f>17*12</f>
        <v>204</v>
      </c>
      <c r="R627" s="1511"/>
      <c r="S627" s="1512"/>
      <c r="T627" s="1510">
        <f>12*40</f>
        <v>480</v>
      </c>
      <c r="U627" s="1511"/>
      <c r="V627" s="1512"/>
      <c r="W627" s="1482">
        <v>0.06</v>
      </c>
      <c r="X627" s="1483"/>
      <c r="Y627" s="1484"/>
      <c r="Z627" s="1478" t="s">
        <v>2132</v>
      </c>
      <c r="AA627" s="1479"/>
      <c r="AB627" s="1480"/>
      <c r="AC627" s="1381">
        <v>1</v>
      </c>
      <c r="AD627" s="1382"/>
      <c r="AE627" s="1383"/>
      <c r="AF627" s="1492">
        <f>-PMT(W627/12,T627,AO627)*12</f>
        <v>3051626.1676615165</v>
      </c>
      <c r="AG627" s="1493"/>
      <c r="AH627" s="1493"/>
      <c r="AI627" s="1493"/>
      <c r="AJ627" s="1494"/>
      <c r="AK627" s="1486"/>
      <c r="AL627" s="1487"/>
      <c r="AM627" s="1487"/>
      <c r="AN627" s="1488"/>
      <c r="AO627" s="1639">
        <v>46218807</v>
      </c>
      <c r="AP627" s="1639"/>
      <c r="AQ627" s="1639"/>
      <c r="AR627" s="1639"/>
      <c r="AS627" s="1639"/>
      <c r="AT627" s="3"/>
      <c r="AU627" s="3"/>
      <c r="AZ627" s="3"/>
      <c r="BA627" s="3"/>
      <c r="BB627" s="3"/>
      <c r="BC627" s="3"/>
      <c r="BD627" s="3"/>
    </row>
    <row r="628" spans="2:157" ht="12.95" customHeight="1">
      <c r="B628" s="52" t="s">
        <v>113</v>
      </c>
      <c r="C628" s="1481" t="s">
        <v>2705</v>
      </c>
      <c r="D628" s="1481"/>
      <c r="E628" s="1481"/>
      <c r="F628" s="1481"/>
      <c r="G628" s="1481"/>
      <c r="H628" s="1481"/>
      <c r="I628" s="1481"/>
      <c r="J628" s="1481"/>
      <c r="K628" s="1481"/>
      <c r="L628" s="1481"/>
      <c r="M628" s="1495" t="s">
        <v>2117</v>
      </c>
      <c r="N628" s="1495"/>
      <c r="O628" s="1495"/>
      <c r="P628" s="1495"/>
      <c r="Q628" s="1510">
        <f>55*12</f>
        <v>660</v>
      </c>
      <c r="R628" s="1511"/>
      <c r="S628" s="1512"/>
      <c r="T628" s="1510"/>
      <c r="U628" s="1511"/>
      <c r="V628" s="1512"/>
      <c r="W628" s="1482">
        <v>0.05</v>
      </c>
      <c r="X628" s="1483"/>
      <c r="Y628" s="1484"/>
      <c r="Z628" s="1478" t="s">
        <v>458</v>
      </c>
      <c r="AA628" s="1479"/>
      <c r="AB628" s="1480"/>
      <c r="AC628" s="1381"/>
      <c r="AD628" s="1382"/>
      <c r="AE628" s="1383"/>
      <c r="AF628" s="1492"/>
      <c r="AG628" s="1493"/>
      <c r="AH628" s="1493"/>
      <c r="AI628" s="1493"/>
      <c r="AJ628" s="1494"/>
      <c r="AK628" s="1486"/>
      <c r="AL628" s="1487"/>
      <c r="AM628" s="1487"/>
      <c r="AN628" s="1488"/>
      <c r="AO628" s="1477">
        <v>4990000</v>
      </c>
      <c r="AP628" s="1338"/>
      <c r="AQ628" s="1338"/>
      <c r="AR628" s="1338"/>
      <c r="AS628" s="1339"/>
      <c r="AT628" s="1148" t="str">
        <f>IF(AND(NOT(C627=""),C628="",NOT(C629="")),"!","")</f>
        <v/>
      </c>
      <c r="AU628" s="3"/>
      <c r="AZ628" s="3"/>
      <c r="BA628" s="3"/>
      <c r="BB628" s="3"/>
      <c r="BC628" s="3"/>
      <c r="BD628" s="3"/>
    </row>
    <row r="629" spans="2:157" ht="12.95" customHeight="1">
      <c r="B629" s="52" t="s">
        <v>119</v>
      </c>
      <c r="C629" s="1481" t="s">
        <v>2644</v>
      </c>
      <c r="D629" s="1481"/>
      <c r="E629" s="1481"/>
      <c r="F629" s="1481"/>
      <c r="G629" s="1481"/>
      <c r="H629" s="1481"/>
      <c r="I629" s="1481"/>
      <c r="J629" s="1481"/>
      <c r="K629" s="1481"/>
      <c r="L629" s="1481"/>
      <c r="M629" s="1495" t="s">
        <v>2107</v>
      </c>
      <c r="N629" s="1495"/>
      <c r="O629" s="1495"/>
      <c r="P629" s="1495"/>
      <c r="Q629" s="1510"/>
      <c r="R629" s="1511"/>
      <c r="S629" s="1512"/>
      <c r="T629" s="1510"/>
      <c r="U629" s="1511"/>
      <c r="V629" s="1512"/>
      <c r="W629" s="1482">
        <v>0.06</v>
      </c>
      <c r="X629" s="1483"/>
      <c r="Y629" s="1484"/>
      <c r="Z629" s="1478" t="s">
        <v>458</v>
      </c>
      <c r="AA629" s="1479"/>
      <c r="AB629" s="1480"/>
      <c r="AC629" s="1381"/>
      <c r="AD629" s="1382"/>
      <c r="AE629" s="1383"/>
      <c r="AF629" s="1492"/>
      <c r="AG629" s="1493"/>
      <c r="AH629" s="1493"/>
      <c r="AI629" s="1493"/>
      <c r="AJ629" s="1494"/>
      <c r="AK629" s="1486"/>
      <c r="AL629" s="1487"/>
      <c r="AM629" s="1487"/>
      <c r="AN629" s="1488"/>
      <c r="AO629" s="1477">
        <f>103796270-SUM(AO627:AS628,AO640)</f>
        <v>13137465</v>
      </c>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91"/>
      <c r="D630" s="1491"/>
      <c r="E630" s="1491"/>
      <c r="F630" s="1491"/>
      <c r="G630" s="1491"/>
      <c r="H630" s="1491"/>
      <c r="I630" s="1491"/>
      <c r="J630" s="1491"/>
      <c r="K630" s="1491"/>
      <c r="L630" s="1491"/>
      <c r="M630" s="1495" t="s">
        <v>1185</v>
      </c>
      <c r="N630" s="1495"/>
      <c r="O630" s="1495"/>
      <c r="P630" s="1495"/>
      <c r="Q630" s="1510"/>
      <c r="R630" s="1511"/>
      <c r="S630" s="1512"/>
      <c r="T630" s="1510"/>
      <c r="U630" s="1511"/>
      <c r="V630" s="1512"/>
      <c r="W630" s="1482"/>
      <c r="X630" s="1483"/>
      <c r="Y630" s="1484"/>
      <c r="Z630" s="1478" t="s">
        <v>1185</v>
      </c>
      <c r="AA630" s="1479"/>
      <c r="AB630" s="1480"/>
      <c r="AC630" s="1381"/>
      <c r="AD630" s="1382"/>
      <c r="AE630" s="1383"/>
      <c r="AF630" s="1492"/>
      <c r="AG630" s="1493"/>
      <c r="AH630" s="1493"/>
      <c r="AI630" s="1493"/>
      <c r="AJ630" s="1494"/>
      <c r="AK630" s="1486"/>
      <c r="AL630" s="1487"/>
      <c r="AM630" s="1487"/>
      <c r="AN630" s="1488"/>
      <c r="AO630" s="1477"/>
      <c r="AP630" s="1338"/>
      <c r="AQ630" s="1338"/>
      <c r="AR630" s="1338"/>
      <c r="AS630" s="1339"/>
      <c r="AT630" s="1148" t="str">
        <f t="shared" si="1"/>
        <v/>
      </c>
      <c r="AU630" s="3"/>
      <c r="AZ630" s="3"/>
      <c r="BA630" s="3"/>
      <c r="BB630" s="3"/>
      <c r="BC630" s="3"/>
      <c r="BD630" s="3"/>
    </row>
    <row r="631" spans="2:157" ht="12.95" customHeight="1">
      <c r="B631" s="52" t="s">
        <v>764</v>
      </c>
      <c r="C631" s="1491"/>
      <c r="D631" s="1491"/>
      <c r="E631" s="1491"/>
      <c r="F631" s="1491"/>
      <c r="G631" s="1491"/>
      <c r="H631" s="1491"/>
      <c r="I631" s="1491"/>
      <c r="J631" s="1491"/>
      <c r="K631" s="1491"/>
      <c r="L631" s="1491"/>
      <c r="M631" s="1495" t="s">
        <v>1185</v>
      </c>
      <c r="N631" s="1495"/>
      <c r="O631" s="1495"/>
      <c r="P631" s="1495"/>
      <c r="Q631" s="1510"/>
      <c r="R631" s="1511"/>
      <c r="S631" s="1512"/>
      <c r="T631" s="1510"/>
      <c r="U631" s="1511"/>
      <c r="V631" s="1512"/>
      <c r="W631" s="1482"/>
      <c r="X631" s="1483"/>
      <c r="Y631" s="1484"/>
      <c r="Z631" s="1478" t="s">
        <v>1185</v>
      </c>
      <c r="AA631" s="1479"/>
      <c r="AB631" s="1480"/>
      <c r="AC631" s="1381"/>
      <c r="AD631" s="1382"/>
      <c r="AE631" s="1383"/>
      <c r="AF631" s="1492"/>
      <c r="AG631" s="1493"/>
      <c r="AH631" s="1493"/>
      <c r="AI631" s="1493"/>
      <c r="AJ631" s="1494"/>
      <c r="AK631" s="1486"/>
      <c r="AL631" s="1487"/>
      <c r="AM631" s="1487"/>
      <c r="AN631" s="1488"/>
      <c r="AO631" s="1477"/>
      <c r="AP631" s="1338"/>
      <c r="AQ631" s="1338"/>
      <c r="AR631" s="1338"/>
      <c r="AS631" s="1339"/>
      <c r="AT631" s="1148" t="str">
        <f t="shared" si="1"/>
        <v/>
      </c>
      <c r="AU631" s="3"/>
      <c r="AZ631" s="3"/>
      <c r="BA631" s="3"/>
      <c r="BB631" s="3"/>
      <c r="BC631" s="3"/>
      <c r="BD631" s="3"/>
    </row>
    <row r="632" spans="2:157" ht="12.95" customHeight="1">
      <c r="B632" s="52" t="s">
        <v>585</v>
      </c>
      <c r="C632" s="1491"/>
      <c r="D632" s="1491"/>
      <c r="E632" s="1491"/>
      <c r="F632" s="1491"/>
      <c r="G632" s="1491"/>
      <c r="H632" s="1491"/>
      <c r="I632" s="1491"/>
      <c r="J632" s="1491"/>
      <c r="K632" s="1491"/>
      <c r="L632" s="1491"/>
      <c r="M632" s="1495" t="s">
        <v>1185</v>
      </c>
      <c r="N632" s="1495"/>
      <c r="O632" s="1495"/>
      <c r="P632" s="1495"/>
      <c r="Q632" s="1510"/>
      <c r="R632" s="1511"/>
      <c r="S632" s="1512"/>
      <c r="T632" s="1510"/>
      <c r="U632" s="1511"/>
      <c r="V632" s="1512"/>
      <c r="W632" s="1482"/>
      <c r="X632" s="1483"/>
      <c r="Y632" s="1484"/>
      <c r="Z632" s="1478" t="s">
        <v>1185</v>
      </c>
      <c r="AA632" s="1479"/>
      <c r="AB632" s="1480"/>
      <c r="AC632" s="1381"/>
      <c r="AD632" s="1382"/>
      <c r="AE632" s="1383"/>
      <c r="AF632" s="1492"/>
      <c r="AG632" s="1493"/>
      <c r="AH632" s="1493"/>
      <c r="AI632" s="1493"/>
      <c r="AJ632" s="1494"/>
      <c r="AK632" s="1486"/>
      <c r="AL632" s="1487"/>
      <c r="AM632" s="1487"/>
      <c r="AN632" s="1488"/>
      <c r="AO632" s="1477"/>
      <c r="AP632" s="1338"/>
      <c r="AQ632" s="1338"/>
      <c r="AR632" s="1338"/>
      <c r="AS632" s="1339"/>
      <c r="AT632" s="1148" t="str">
        <f t="shared" si="1"/>
        <v/>
      </c>
      <c r="AU632" s="3"/>
      <c r="AZ632" s="3"/>
      <c r="BA632" s="3"/>
      <c r="BB632" s="3"/>
      <c r="BC632" s="3"/>
      <c r="BD632" s="3"/>
    </row>
    <row r="633" spans="2:157" ht="12.95" customHeight="1">
      <c r="B633" s="52" t="s">
        <v>456</v>
      </c>
      <c r="C633" s="1491"/>
      <c r="D633" s="1491"/>
      <c r="E633" s="1491"/>
      <c r="F633" s="1491"/>
      <c r="G633" s="1491"/>
      <c r="H633" s="1491"/>
      <c r="I633" s="1491"/>
      <c r="J633" s="1491"/>
      <c r="K633" s="1491"/>
      <c r="L633" s="1491"/>
      <c r="M633" s="1495" t="s">
        <v>1185</v>
      </c>
      <c r="N633" s="1495"/>
      <c r="O633" s="1495"/>
      <c r="P633" s="1495"/>
      <c r="Q633" s="1510"/>
      <c r="R633" s="1511"/>
      <c r="S633" s="1512"/>
      <c r="T633" s="1510"/>
      <c r="U633" s="1511"/>
      <c r="V633" s="1512"/>
      <c r="W633" s="1482"/>
      <c r="X633" s="1483"/>
      <c r="Y633" s="1484"/>
      <c r="Z633" s="1478" t="s">
        <v>1185</v>
      </c>
      <c r="AA633" s="1479"/>
      <c r="AB633" s="1480"/>
      <c r="AC633" s="1381"/>
      <c r="AD633" s="1382"/>
      <c r="AE633" s="1383"/>
      <c r="AF633" s="1492"/>
      <c r="AG633" s="1493"/>
      <c r="AH633" s="1493"/>
      <c r="AI633" s="1493"/>
      <c r="AJ633" s="1494"/>
      <c r="AK633" s="1486"/>
      <c r="AL633" s="1487"/>
      <c r="AM633" s="1487"/>
      <c r="AN633" s="1488"/>
      <c r="AO633" s="1477"/>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91"/>
      <c r="D634" s="1491"/>
      <c r="E634" s="1491"/>
      <c r="F634" s="1491"/>
      <c r="G634" s="1491"/>
      <c r="H634" s="1491"/>
      <c r="I634" s="1491"/>
      <c r="J634" s="1491"/>
      <c r="K634" s="1491"/>
      <c r="L634" s="1491"/>
      <c r="M634" s="1495" t="s">
        <v>1185</v>
      </c>
      <c r="N634" s="1495"/>
      <c r="O634" s="1495"/>
      <c r="P634" s="1495"/>
      <c r="Q634" s="1510"/>
      <c r="R634" s="1511"/>
      <c r="S634" s="1512"/>
      <c r="T634" s="1510"/>
      <c r="U634" s="1511"/>
      <c r="V634" s="1512"/>
      <c r="W634" s="1482"/>
      <c r="X634" s="1483"/>
      <c r="Y634" s="1484"/>
      <c r="Z634" s="1478" t="s">
        <v>1185</v>
      </c>
      <c r="AA634" s="1479"/>
      <c r="AB634" s="1480"/>
      <c r="AC634" s="1381"/>
      <c r="AD634" s="1382"/>
      <c r="AE634" s="1383"/>
      <c r="AF634" s="1492"/>
      <c r="AG634" s="1493"/>
      <c r="AH634" s="1493"/>
      <c r="AI634" s="1493"/>
      <c r="AJ634" s="1494"/>
      <c r="AK634" s="1486"/>
      <c r="AL634" s="1487"/>
      <c r="AM634" s="1487"/>
      <c r="AN634" s="1488"/>
      <c r="AO634" s="1477"/>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91"/>
      <c r="D635" s="1491"/>
      <c r="E635" s="1491"/>
      <c r="F635" s="1491"/>
      <c r="G635" s="1491"/>
      <c r="H635" s="1491"/>
      <c r="I635" s="1491"/>
      <c r="J635" s="1491"/>
      <c r="K635" s="1491"/>
      <c r="L635" s="1491"/>
      <c r="M635" s="1495" t="s">
        <v>1185</v>
      </c>
      <c r="N635" s="1495"/>
      <c r="O635" s="1495"/>
      <c r="P635" s="1495"/>
      <c r="Q635" s="1510"/>
      <c r="R635" s="1511"/>
      <c r="S635" s="1512"/>
      <c r="T635" s="1510"/>
      <c r="U635" s="1511"/>
      <c r="V635" s="1512"/>
      <c r="W635" s="1482"/>
      <c r="X635" s="1483"/>
      <c r="Y635" s="1484"/>
      <c r="Z635" s="1478" t="s">
        <v>1185</v>
      </c>
      <c r="AA635" s="1479"/>
      <c r="AB635" s="1480"/>
      <c r="AC635" s="1381"/>
      <c r="AD635" s="1382"/>
      <c r="AE635" s="1383"/>
      <c r="AF635" s="1492"/>
      <c r="AG635" s="1493"/>
      <c r="AH635" s="1493"/>
      <c r="AI635" s="1493"/>
      <c r="AJ635" s="1494"/>
      <c r="AK635" s="1486"/>
      <c r="AL635" s="1487"/>
      <c r="AM635" s="1487"/>
      <c r="AN635" s="1488"/>
      <c r="AO635" s="1477"/>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2">EZ718*(CP718/$CP$753)</f>
        <v>636.66666666666674</v>
      </c>
      <c r="DY635" s="1369"/>
      <c r="DZ635" s="1369"/>
      <c r="EA635" s="1369"/>
      <c r="EB635" s="1369"/>
      <c r="EC635" s="1369" t="e">
        <f t="shared" ref="EC635:EC669" si="3">FE718*(CU718/$CU$753)</f>
        <v>#VALUE!</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91"/>
      <c r="D636" s="1491"/>
      <c r="E636" s="1491"/>
      <c r="F636" s="1491"/>
      <c r="G636" s="1491"/>
      <c r="H636" s="1491"/>
      <c r="I636" s="1491"/>
      <c r="J636" s="1491"/>
      <c r="K636" s="1491"/>
      <c r="L636" s="1491"/>
      <c r="M636" s="1495" t="s">
        <v>1185</v>
      </c>
      <c r="N636" s="1495"/>
      <c r="O636" s="1495"/>
      <c r="P636" s="1495"/>
      <c r="Q636" s="1510"/>
      <c r="R636" s="1511"/>
      <c r="S636" s="1512"/>
      <c r="T636" s="1510"/>
      <c r="U636" s="1511"/>
      <c r="V636" s="1512"/>
      <c r="W636" s="1482"/>
      <c r="X636" s="1483"/>
      <c r="Y636" s="1484"/>
      <c r="Z636" s="1478" t="s">
        <v>1185</v>
      </c>
      <c r="AA636" s="1479"/>
      <c r="AB636" s="1480"/>
      <c r="AC636" s="1381"/>
      <c r="AD636" s="1382"/>
      <c r="AE636" s="1383"/>
      <c r="AF636" s="1492"/>
      <c r="AG636" s="1493"/>
      <c r="AH636" s="1493"/>
      <c r="AI636" s="1493"/>
      <c r="AJ636" s="1494"/>
      <c r="AK636" s="1486"/>
      <c r="AL636" s="1487"/>
      <c r="AM636" s="1487"/>
      <c r="AN636" s="1488"/>
      <c r="AO636" s="1477"/>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f t="shared" si="2"/>
        <v>85.75</v>
      </c>
      <c r="DY636" s="1369"/>
      <c r="DZ636" s="1369"/>
      <c r="EA636" s="1369"/>
      <c r="EB636" s="1369"/>
      <c r="EC636" s="1369" t="e">
        <f t="shared" si="3"/>
        <v>#VALUE!</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91"/>
      <c r="D637" s="1491"/>
      <c r="E637" s="1491"/>
      <c r="F637" s="1491"/>
      <c r="G637" s="1491"/>
      <c r="H637" s="1491"/>
      <c r="I637" s="1491"/>
      <c r="J637" s="1491"/>
      <c r="K637" s="1491"/>
      <c r="L637" s="1491"/>
      <c r="M637" s="1495" t="s">
        <v>1185</v>
      </c>
      <c r="N637" s="1495"/>
      <c r="O637" s="1495"/>
      <c r="P637" s="1495"/>
      <c r="Q637" s="1510"/>
      <c r="R637" s="1511"/>
      <c r="S637" s="1512"/>
      <c r="T637" s="1510"/>
      <c r="U637" s="1511"/>
      <c r="V637" s="1512"/>
      <c r="W637" s="1482"/>
      <c r="X637" s="1483"/>
      <c r="Y637" s="1484"/>
      <c r="Z637" s="1478" t="s">
        <v>1185</v>
      </c>
      <c r="AA637" s="1479"/>
      <c r="AB637" s="1480"/>
      <c r="AC637" s="1381"/>
      <c r="AD637" s="1382"/>
      <c r="AE637" s="1383"/>
      <c r="AF637" s="1492"/>
      <c r="AG637" s="1493"/>
      <c r="AH637" s="1493"/>
      <c r="AI637" s="1493"/>
      <c r="AJ637" s="1494"/>
      <c r="AK637" s="1486"/>
      <c r="AL637" s="1487"/>
      <c r="AM637" s="1487"/>
      <c r="AN637" s="1488"/>
      <c r="AO637" s="1477"/>
      <c r="AP637" s="1338"/>
      <c r="AQ637" s="1338"/>
      <c r="AR637" s="1338"/>
      <c r="AS637" s="133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f t="shared" si="2"/>
        <v>107.83333333333333</v>
      </c>
      <c r="DY637" s="1369"/>
      <c r="DZ637" s="1369"/>
      <c r="EA637" s="1369"/>
      <c r="EB637" s="1369"/>
      <c r="EC637" s="1369" t="e">
        <f t="shared" si="3"/>
        <v>#VALUE!</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91"/>
      <c r="D638" s="1491"/>
      <c r="E638" s="1491"/>
      <c r="F638" s="1491"/>
      <c r="G638" s="1491"/>
      <c r="H638" s="1491"/>
      <c r="I638" s="1491"/>
      <c r="J638" s="1491"/>
      <c r="K638" s="1491"/>
      <c r="L638" s="1491"/>
      <c r="M638" s="1495" t="s">
        <v>1185</v>
      </c>
      <c r="N638" s="1495"/>
      <c r="O638" s="1495"/>
      <c r="P638" s="1495"/>
      <c r="Q638" s="1510"/>
      <c r="R638" s="1511"/>
      <c r="S638" s="1512"/>
      <c r="T638" s="1510"/>
      <c r="U638" s="1511"/>
      <c r="V638" s="1512"/>
      <c r="W638" s="1482"/>
      <c r="X638" s="1483"/>
      <c r="Y638" s="1484"/>
      <c r="Z638" s="1478" t="s">
        <v>1185</v>
      </c>
      <c r="AA638" s="1479"/>
      <c r="AB638" s="1480"/>
      <c r="AC638" s="1381"/>
      <c r="AD638" s="1382"/>
      <c r="AE638" s="1383"/>
      <c r="AF638" s="1492"/>
      <c r="AG638" s="1493"/>
      <c r="AH638" s="1493"/>
      <c r="AI638" s="1493"/>
      <c r="AJ638" s="1494"/>
      <c r="AK638" s="1486"/>
      <c r="AL638" s="1487"/>
      <c r="AM638" s="1487"/>
      <c r="AN638" s="1488"/>
      <c r="AO638" s="1477"/>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182.37572254335259</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4">
        <f>SUM(AO627:AR638)</f>
        <v>64346272</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f t="shared" si="3"/>
        <v>278.58381502890177</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7">
        <v>39449998</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f t="shared" si="3"/>
        <v>163.21965317919077</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3"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4"/>
      <c r="AO641" s="1474">
        <f>AO639+AO640</f>
        <v>103796270</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f t="shared" si="3"/>
        <v>303.5549132947977</v>
      </c>
      <c r="ED641" s="1369"/>
      <c r="EE641" s="1369"/>
      <c r="EF641" s="1369"/>
      <c r="EG641" s="1369"/>
      <c r="EH641" s="1369" t="e">
        <f t="shared" si="4"/>
        <v>#VALUE!</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f t="shared" si="3"/>
        <v>708.64161849710979</v>
      </c>
      <c r="ED642" s="1369"/>
      <c r="EE642" s="1369"/>
      <c r="EF642" s="1369"/>
      <c r="EG642" s="1369"/>
      <c r="EH642" s="1369" t="e">
        <f t="shared" si="4"/>
        <v>#VALUE!</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5" t="str">
        <f>C627</f>
        <v>Citi Community Capital</v>
      </c>
      <c r="H643" s="1485"/>
      <c r="I643" s="1485"/>
      <c r="J643" s="1485"/>
      <c r="K643" s="1485"/>
      <c r="L643" s="1485"/>
      <c r="M643" s="1485"/>
      <c r="N643" s="1485"/>
      <c r="O643" s="1485"/>
      <c r="P643" s="1485"/>
      <c r="Q643" s="1485"/>
      <c r="R643" s="1485"/>
      <c r="S643" s="8"/>
      <c r="T643" s="55" t="s">
        <v>113</v>
      </c>
      <c r="U643" t="s">
        <v>464</v>
      </c>
      <c r="Z643" s="1485" t="str">
        <f>C628</f>
        <v>350 South Figueroa LLC</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f t="shared" si="4"/>
        <v>102.74468085106382</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2707</v>
      </c>
      <c r="H644" s="1407"/>
      <c r="I644" s="1407"/>
      <c r="J644" s="1407"/>
      <c r="K644" s="1407"/>
      <c r="L644" s="1407"/>
      <c r="M644" s="1407"/>
      <c r="N644" s="1407"/>
      <c r="O644" s="1407"/>
      <c r="P644" s="1407"/>
      <c r="Q644" s="1407"/>
      <c r="R644" s="1407"/>
      <c r="S644" s="8"/>
      <c r="T644" s="22"/>
      <c r="U644" t="s">
        <v>85</v>
      </c>
      <c r="Z644" s="1407" t="s">
        <v>2709</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f t="shared" si="4"/>
        <v>99.085106382978722</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7" t="s">
        <v>2653</v>
      </c>
      <c r="H645" s="1407"/>
      <c r="I645" s="1407"/>
      <c r="J645" s="1407"/>
      <c r="K645" s="1407"/>
      <c r="L645" s="1407"/>
      <c r="M645" s="1407"/>
      <c r="N645" s="1407"/>
      <c r="O645" s="1407"/>
      <c r="P645" s="1407"/>
      <c r="Q645" s="1407"/>
      <c r="R645" s="1407"/>
      <c r="T645" s="22"/>
      <c r="U645" t="s">
        <v>581</v>
      </c>
      <c r="Z645" s="1371" t="s">
        <v>2646</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f t="shared" si="4"/>
        <v>2271.9148936170213</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2708</v>
      </c>
      <c r="H646" s="1407"/>
      <c r="I646" s="1407"/>
      <c r="J646" s="1407"/>
      <c r="K646" s="1407"/>
      <c r="L646" s="1407"/>
      <c r="M646" s="1407"/>
      <c r="N646" s="1407"/>
      <c r="O646" s="1407"/>
      <c r="P646" s="1407"/>
      <c r="Q646" s="1407"/>
      <c r="R646" s="1407"/>
      <c r="S646" s="8"/>
      <c r="T646" s="22"/>
      <c r="U646" t="s">
        <v>17</v>
      </c>
      <c r="Z646" s="1371" t="s">
        <v>2710</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89">
        <v>2132391914</v>
      </c>
      <c r="H647" s="1489"/>
      <c r="I647" s="1489"/>
      <c r="J647" s="1489"/>
      <c r="K647" s="1489"/>
      <c r="L647" s="1489"/>
      <c r="O647" s="33" t="s">
        <v>206</v>
      </c>
      <c r="P647" s="1473"/>
      <c r="Q647" s="1473"/>
      <c r="R647" s="1473"/>
      <c r="S647" s="10"/>
      <c r="T647" s="22"/>
      <c r="U647" t="s">
        <v>316</v>
      </c>
      <c r="Z647" s="1489">
        <v>2133655000</v>
      </c>
      <c r="AA647" s="1489"/>
      <c r="AB647" s="1489"/>
      <c r="AC647" s="1489"/>
      <c r="AD647" s="1489"/>
      <c r="AE647" s="1489"/>
      <c r="AH647" s="33" t="s">
        <v>206</v>
      </c>
      <c r="AI647" s="1473"/>
      <c r="AJ647" s="1473"/>
      <c r="AK647" s="1473"/>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tr">
        <f>M627</f>
        <v>Loan, Conventional</v>
      </c>
      <c r="I648" s="1407"/>
      <c r="J648" s="1407"/>
      <c r="K648" s="1407"/>
      <c r="L648" s="1407"/>
      <c r="M648" s="1407"/>
      <c r="N648" s="1407"/>
      <c r="O648" s="1407"/>
      <c r="P648" s="1407"/>
      <c r="Q648" s="1407"/>
      <c r="R648" s="1407"/>
      <c r="S648" s="8"/>
      <c r="T648" s="22"/>
      <c r="U648" t="s">
        <v>18</v>
      </c>
      <c r="AA648" s="1407" t="str">
        <f>M628</f>
        <v>Loan, Seller Note</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5" t="str">
        <f>C629</f>
        <v>Arden Development, Inc.</v>
      </c>
      <c r="H651" s="1485"/>
      <c r="I651" s="1485"/>
      <c r="J651" s="1485"/>
      <c r="K651" s="1485"/>
      <c r="L651" s="1485"/>
      <c r="M651" s="1485"/>
      <c r="N651" s="1485"/>
      <c r="O651" s="1485"/>
      <c r="P651" s="1485"/>
      <c r="Q651" s="1485"/>
      <c r="R651" s="1485"/>
      <c r="T651" s="55" t="s">
        <v>582</v>
      </c>
      <c r="U651" t="s">
        <v>464</v>
      </c>
      <c r="Z651" s="1485">
        <f>C630</f>
        <v>0</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2709</v>
      </c>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t="s">
        <v>2646</v>
      </c>
      <c r="H653" s="1371"/>
      <c r="I653" s="1371"/>
      <c r="J653" s="1371"/>
      <c r="K653" s="1371"/>
      <c r="L653" s="1371"/>
      <c r="M653" s="1371"/>
      <c r="N653" s="1371"/>
      <c r="O653" s="1371"/>
      <c r="P653" s="1371"/>
      <c r="Q653" s="1371"/>
      <c r="R653" s="1371"/>
      <c r="T653" s="22"/>
      <c r="U653" t="s">
        <v>581</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2625</v>
      </c>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89">
        <v>2133655000</v>
      </c>
      <c r="H655" s="1489"/>
      <c r="I655" s="1489"/>
      <c r="J655" s="1489"/>
      <c r="K655" s="1489"/>
      <c r="L655" s="1489"/>
      <c r="O655" s="33" t="s">
        <v>206</v>
      </c>
      <c r="P655" s="1473"/>
      <c r="Q655" s="1473"/>
      <c r="R655" s="1473"/>
      <c r="T655" s="22"/>
      <c r="U655" t="s">
        <v>316</v>
      </c>
      <c r="Z655" s="1489"/>
      <c r="AA655" s="1489"/>
      <c r="AB655" s="1489"/>
      <c r="AC655" s="1489"/>
      <c r="AD655" s="1489"/>
      <c r="AE655" s="1489"/>
      <c r="AH655" s="33" t="s">
        <v>206</v>
      </c>
      <c r="AI655" s="1473"/>
      <c r="AJ655" s="1473"/>
      <c r="AK655" s="1473"/>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tr">
        <f>M629</f>
        <v>Developer Fee, Deferral</v>
      </c>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546</v>
      </c>
      <c r="O657" s="1415"/>
      <c r="T657" s="22"/>
      <c r="U657" t="s">
        <v>20</v>
      </c>
      <c r="AG657" s="1415" t="s">
        <v>670</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5">
        <f>C631</f>
        <v>0</v>
      </c>
      <c r="H659" s="1485"/>
      <c r="I659" s="1485"/>
      <c r="J659" s="1485"/>
      <c r="K659" s="1485"/>
      <c r="L659" s="1485"/>
      <c r="M659" s="1485"/>
      <c r="N659" s="1485"/>
      <c r="O659" s="1485"/>
      <c r="P659" s="1485"/>
      <c r="Q659" s="1485"/>
      <c r="R659" s="1485"/>
      <c r="T659" s="55" t="s">
        <v>585</v>
      </c>
      <c r="U659" t="s">
        <v>464</v>
      </c>
      <c r="Z659" s="1485">
        <f>C632</f>
        <v>0</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7"/>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9"/>
      <c r="H663" s="1489"/>
      <c r="I663" s="1489"/>
      <c r="J663" s="1489"/>
      <c r="K663" s="1489"/>
      <c r="L663" s="1489"/>
      <c r="O663" s="33" t="s">
        <v>206</v>
      </c>
      <c r="P663" s="1473"/>
      <c r="Q663" s="1473"/>
      <c r="R663" s="1473"/>
      <c r="T663" s="22"/>
      <c r="U663" t="s">
        <v>316</v>
      </c>
      <c r="Z663" s="1489"/>
      <c r="AA663" s="1489"/>
      <c r="AB663" s="1489"/>
      <c r="AC663" s="1489"/>
      <c r="AD663" s="1489"/>
      <c r="AE663" s="1489"/>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670</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5">
        <f>C633</f>
        <v>0</v>
      </c>
      <c r="H667" s="1485"/>
      <c r="I667" s="1485"/>
      <c r="J667" s="1485"/>
      <c r="K667" s="1485"/>
      <c r="L667" s="1485"/>
      <c r="M667" s="1485"/>
      <c r="N667" s="1485"/>
      <c r="O667" s="1485"/>
      <c r="P667" s="1485"/>
      <c r="Q667" s="1485"/>
      <c r="R667" s="1485"/>
      <c r="T667" s="55" t="s">
        <v>457</v>
      </c>
      <c r="U667" t="s">
        <v>464</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830.25000000000011</v>
      </c>
      <c r="DY670" s="1369"/>
      <c r="DZ670" s="1369"/>
      <c r="EA670" s="1369"/>
      <c r="EB670" s="1369"/>
      <c r="EC670" s="1369">
        <f>SUMIF(EC635:EG669,"&gt;0")</f>
        <v>1636.3757225433528</v>
      </c>
      <c r="ED670" s="1369"/>
      <c r="EE670" s="1369"/>
      <c r="EF670" s="1369"/>
      <c r="EG670" s="1369"/>
      <c r="EH670" s="1369">
        <f>SUMIF(EH635:EL669,"&gt;0")</f>
        <v>2473.744680851064</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9"/>
      <c r="H671" s="1489"/>
      <c r="I671" s="1489"/>
      <c r="J671" s="1489"/>
      <c r="K671" s="1489"/>
      <c r="L671" s="1489"/>
      <c r="O671" s="33" t="s">
        <v>206</v>
      </c>
      <c r="P671" s="1473"/>
      <c r="Q671" s="1473"/>
      <c r="R671" s="1473"/>
      <c r="T671" s="22"/>
      <c r="U671" t="s">
        <v>316</v>
      </c>
      <c r="Z671" s="1489"/>
      <c r="AA671" s="1489"/>
      <c r="AB671" s="1489"/>
      <c r="AC671" s="1489"/>
      <c r="AD671" s="1489"/>
      <c r="AE671" s="1489"/>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5">
        <f>C635</f>
        <v>0</v>
      </c>
      <c r="H675" s="1485"/>
      <c r="I675" s="1485"/>
      <c r="J675" s="1485"/>
      <c r="K675" s="1485"/>
      <c r="L675" s="1485"/>
      <c r="M675" s="1485"/>
      <c r="N675" s="1485"/>
      <c r="O675" s="1485"/>
      <c r="P675" s="1485"/>
      <c r="Q675" s="1485"/>
      <c r="R675" s="1485"/>
      <c r="T675" s="55" t="s">
        <v>647</v>
      </c>
      <c r="U675" t="s">
        <v>464</v>
      </c>
      <c r="Z675" s="1485">
        <f>C636</f>
        <v>0</v>
      </c>
      <c r="AA675" s="1485"/>
      <c r="AB675" s="1485"/>
      <c r="AC675" s="1485"/>
      <c r="AD675" s="1485"/>
      <c r="AE675" s="1485"/>
      <c r="AF675" s="1485"/>
      <c r="AG675" s="1485"/>
      <c r="AH675" s="1485"/>
      <c r="AI675" s="1485"/>
      <c r="AJ675" s="1485"/>
      <c r="AK675" s="1485"/>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9"/>
      <c r="H679" s="1489"/>
      <c r="I679" s="1489"/>
      <c r="J679" s="1489"/>
      <c r="K679" s="1489"/>
      <c r="L679" s="1489"/>
      <c r="O679" s="33" t="s">
        <v>206</v>
      </c>
      <c r="P679" s="1473"/>
      <c r="Q679" s="1473"/>
      <c r="R679" s="1473"/>
      <c r="T679" s="22"/>
      <c r="U679" t="s">
        <v>316</v>
      </c>
      <c r="Z679" s="1489"/>
      <c r="AA679" s="1489"/>
      <c r="AB679" s="1489"/>
      <c r="AC679" s="1489"/>
      <c r="AD679" s="1489"/>
      <c r="AE679" s="1489"/>
      <c r="AH679" s="33" t="s">
        <v>206</v>
      </c>
      <c r="AI679" s="1473"/>
      <c r="AJ679" s="1473"/>
      <c r="AK679" s="1473"/>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5">
        <f>C637</f>
        <v>0</v>
      </c>
      <c r="H683" s="1485"/>
      <c r="I683" s="1485"/>
      <c r="J683" s="1485"/>
      <c r="K683" s="1485"/>
      <c r="L683" s="1485"/>
      <c r="M683" s="1485"/>
      <c r="N683" s="1485"/>
      <c r="O683" s="1485"/>
      <c r="P683" s="1485"/>
      <c r="Q683" s="1485"/>
      <c r="R683" s="1485"/>
      <c r="T683" s="55" t="s">
        <v>363</v>
      </c>
      <c r="U683" t="s">
        <v>464</v>
      </c>
      <c r="Z683" s="1485">
        <f>C638</f>
        <v>0</v>
      </c>
      <c r="AA683" s="1485"/>
      <c r="AB683" s="1485"/>
      <c r="AC683" s="1485"/>
      <c r="AD683" s="1485"/>
      <c r="AE683" s="1485"/>
      <c r="AF683" s="1485"/>
      <c r="AG683" s="1485"/>
      <c r="AH683" s="1485"/>
      <c r="AI683" s="1485"/>
      <c r="AJ683" s="1485"/>
      <c r="AK683" s="1485"/>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9"/>
      <c r="H687" s="1489"/>
      <c r="I687" s="1489"/>
      <c r="J687" s="1489"/>
      <c r="K687" s="1489"/>
      <c r="L687" s="1489"/>
      <c r="O687" s="33" t="s">
        <v>206</v>
      </c>
      <c r="P687" s="1473"/>
      <c r="Q687" s="1473"/>
      <c r="R687" s="1473"/>
      <c r="U687" t="s">
        <v>316</v>
      </c>
      <c r="Z687" s="1489"/>
      <c r="AA687" s="1489"/>
      <c r="AB687" s="1489"/>
      <c r="AC687" s="1489"/>
      <c r="AD687" s="1489"/>
      <c r="AE687" s="1489"/>
      <c r="AH687" s="33" t="s">
        <v>206</v>
      </c>
      <c r="AI687" s="1473"/>
      <c r="AJ687" s="1473"/>
      <c r="AK687" s="1473"/>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546</v>
      </c>
      <c r="AF693" s="1415"/>
      <c r="AZ693" s="3"/>
    </row>
    <row r="694" spans="1:67" ht="12.95" customHeight="1">
      <c r="B694" s="135"/>
      <c r="C694" s="135"/>
      <c r="D694" s="136" t="s">
        <v>438</v>
      </c>
      <c r="E694" s="135"/>
      <c r="F694" s="135"/>
      <c r="G694" s="135"/>
      <c r="H694" s="135"/>
      <c r="AE694" s="1415" t="s">
        <v>670</v>
      </c>
      <c r="AF694" s="1415"/>
      <c r="AZ694" s="3"/>
    </row>
    <row r="695" spans="1:67" ht="12.95" customHeight="1">
      <c r="B695" s="135"/>
      <c r="C695" s="135"/>
      <c r="D695" s="136" t="s">
        <v>921</v>
      </c>
      <c r="E695" s="135"/>
      <c r="F695" s="135"/>
      <c r="G695" s="135"/>
      <c r="H695" s="135"/>
      <c r="AE695" s="1508">
        <v>45909</v>
      </c>
      <c r="AF695" s="1508"/>
      <c r="AG695" s="1508"/>
      <c r="AH695" s="1508"/>
      <c r="AI695" s="1508"/>
    </row>
    <row r="696" spans="1:67" ht="12.95" customHeight="1">
      <c r="B696" s="135"/>
      <c r="C696" s="135"/>
      <c r="D696" s="317" t="s">
        <v>984</v>
      </c>
      <c r="E696" s="135"/>
      <c r="F696" s="135"/>
      <c r="G696" s="135"/>
      <c r="H696" s="135"/>
      <c r="AE696" s="1666">
        <v>45980</v>
      </c>
      <c r="AF696" s="1666"/>
      <c r="AG696" s="1666"/>
      <c r="AH696" s="1666"/>
      <c r="AI696" s="1666"/>
    </row>
    <row r="697" spans="1:67" ht="12.95" customHeight="1">
      <c r="B697" s="135"/>
      <c r="C697" s="135"/>
    </row>
    <row r="698" spans="1:67" ht="12.95" customHeight="1">
      <c r="B698" s="135"/>
      <c r="C698" s="135"/>
      <c r="D698" s="136" t="s">
        <v>817</v>
      </c>
      <c r="E698" s="135"/>
      <c r="F698" s="135"/>
      <c r="G698" s="135"/>
      <c r="H698" s="135"/>
      <c r="AE698" s="1508">
        <f>AE696+180</f>
        <v>46160</v>
      </c>
      <c r="AF698" s="1508"/>
      <c r="AG698" s="1508"/>
      <c r="AH698" s="1508"/>
      <c r="AI698" s="1508"/>
    </row>
    <row r="699" spans="1:67" ht="12.95" customHeight="1">
      <c r="B699" s="135"/>
      <c r="C699" s="135"/>
      <c r="D699" s="136" t="s">
        <v>436</v>
      </c>
      <c r="E699" s="135"/>
      <c r="F699" s="135"/>
      <c r="G699" s="135"/>
      <c r="H699" s="135"/>
      <c r="AE699" s="1686">
        <f>AM554/SUM('Sources and Uses Budget'!R4,'Sources and Uses Budget'!S107,'Sources and Uses Budget'!T107)</f>
        <v>0.26000000041844573</v>
      </c>
      <c r="AF699" s="1686"/>
      <c r="AG699" s="1686"/>
      <c r="AH699" s="1686"/>
      <c r="AI699" s="1686"/>
    </row>
    <row r="700" spans="1:67" ht="12.95" customHeight="1">
      <c r="B700" s="135"/>
      <c r="C700" s="135"/>
      <c r="D700" s="136" t="s">
        <v>437</v>
      </c>
      <c r="E700" s="135"/>
      <c r="F700" s="135"/>
      <c r="G700" s="135"/>
      <c r="H700" s="135"/>
      <c r="W700" s="1485" t="str">
        <f>H335</f>
        <v>California Municipal Finance Authority</v>
      </c>
      <c r="X700" s="1485"/>
      <c r="Y700" s="1485"/>
      <c r="Z700" s="1485"/>
      <c r="AA700" s="1485"/>
      <c r="AB700" s="1485"/>
      <c r="AC700" s="1485"/>
      <c r="AD700" s="1485"/>
      <c r="AE700" s="1485"/>
      <c r="AF700" s="1485"/>
      <c r="AG700" s="1485"/>
      <c r="AH700" s="1485"/>
      <c r="AI700" s="1485"/>
      <c r="AJ700" s="1485"/>
      <c r="AK700" s="1485"/>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670</v>
      </c>
      <c r="AF702" s="1415"/>
      <c r="AZ702" s="4" t="s">
        <v>324</v>
      </c>
    </row>
    <row r="703" spans="1:67" ht="12.95" customHeight="1">
      <c r="B703" s="135"/>
      <c r="C703" s="135"/>
      <c r="D703" s="136" t="s">
        <v>443</v>
      </c>
      <c r="E703" s="135"/>
      <c r="F703" s="135"/>
      <c r="G703" s="135"/>
      <c r="H703" s="135"/>
      <c r="W703" s="1407" t="s">
        <v>2661</v>
      </c>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t="s">
        <v>2661</v>
      </c>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526" t="s">
        <v>2661</v>
      </c>
      <c r="K705" s="1489"/>
      <c r="L705" s="1489"/>
      <c r="M705" s="1489"/>
      <c r="N705" s="1489"/>
      <c r="O705" s="1489"/>
      <c r="P705" s="4" t="s">
        <v>206</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6" t="s">
        <v>389</v>
      </c>
      <c r="C714" s="1497"/>
      <c r="D714" s="1497"/>
      <c r="E714" s="1497"/>
      <c r="F714" s="1498"/>
      <c r="G714" s="1496" t="s">
        <v>285</v>
      </c>
      <c r="H714" s="1497"/>
      <c r="I714" s="1497"/>
      <c r="J714" s="1498"/>
      <c r="K714" s="1513" t="s">
        <v>1680</v>
      </c>
      <c r="L714" s="1514"/>
      <c r="M714" s="1514"/>
      <c r="N714" s="1515"/>
      <c r="O714" s="1496" t="s">
        <v>448</v>
      </c>
      <c r="P714" s="1497"/>
      <c r="Q714" s="1497"/>
      <c r="R714" s="1497"/>
      <c r="S714" s="1498"/>
      <c r="T714" s="1509" t="s">
        <v>1950</v>
      </c>
      <c r="U714" s="1497"/>
      <c r="V714" s="1497"/>
      <c r="W714" s="1498"/>
      <c r="X714" s="1509" t="s">
        <v>1952</v>
      </c>
      <c r="Y714" s="1497"/>
      <c r="Z714" s="1497"/>
      <c r="AA714" s="1497"/>
      <c r="AB714" s="1498"/>
      <c r="AC714" s="1509" t="s">
        <v>1951</v>
      </c>
      <c r="AD714" s="1497"/>
      <c r="AE714" s="1497"/>
      <c r="AF714" s="1497"/>
      <c r="AG714" s="1498"/>
      <c r="AH714" s="1509" t="s">
        <v>1953</v>
      </c>
      <c r="AI714" s="1497"/>
      <c r="AJ714" s="1498"/>
      <c r="AK714" s="1509" t="s">
        <v>1980</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9"/>
      <c r="C715" s="1500"/>
      <c r="D715" s="1500"/>
      <c r="E715" s="1500"/>
      <c r="F715" s="1501"/>
      <c r="G715" s="1499"/>
      <c r="H715" s="1500"/>
      <c r="I715" s="1500"/>
      <c r="J715" s="1501"/>
      <c r="K715" s="1516"/>
      <c r="L715" s="1517"/>
      <c r="M715" s="1517"/>
      <c r="N715" s="1518"/>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9"/>
      <c r="C716" s="1500"/>
      <c r="D716" s="1500"/>
      <c r="E716" s="1500"/>
      <c r="F716" s="1501"/>
      <c r="G716" s="1499"/>
      <c r="H716" s="1500"/>
      <c r="I716" s="1500"/>
      <c r="J716" s="1501"/>
      <c r="K716" s="1516"/>
      <c r="L716" s="1517"/>
      <c r="M716" s="1517"/>
      <c r="N716" s="1518"/>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2"/>
      <c r="C717" s="1503"/>
      <c r="D717" s="1503"/>
      <c r="E717" s="1503"/>
      <c r="F717" s="1504"/>
      <c r="G717" s="1502"/>
      <c r="H717" s="1503"/>
      <c r="I717" s="1503"/>
      <c r="J717" s="1504"/>
      <c r="K717" s="1516"/>
      <c r="L717" s="1517"/>
      <c r="M717" s="1517"/>
      <c r="N717" s="1518"/>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6" t="s">
        <v>634</v>
      </c>
      <c r="CQ717" s="1797"/>
      <c r="CR717" s="1797"/>
      <c r="CS717" s="1797"/>
      <c r="CT717" s="1798"/>
      <c r="CU717" s="1490" t="s">
        <v>325</v>
      </c>
      <c r="CV717" s="1490"/>
      <c r="CW717" s="1490"/>
      <c r="CX717" s="1490"/>
      <c r="CY717" s="1490"/>
      <c r="CZ717" s="1490" t="s">
        <v>163</v>
      </c>
      <c r="DA717" s="1490"/>
      <c r="DB717" s="1490"/>
      <c r="DC717" s="1490"/>
      <c r="DD717" s="1490"/>
      <c r="DE717" s="1490" t="s">
        <v>164</v>
      </c>
      <c r="DF717" s="1490"/>
      <c r="DG717" s="1490"/>
      <c r="DH717" s="1490"/>
      <c r="DI717" s="1490"/>
      <c r="DJ717" s="1490" t="s">
        <v>461</v>
      </c>
      <c r="DK717" s="1490"/>
      <c r="DL717" s="1490"/>
      <c r="DM717" s="1490"/>
      <c r="DN717" s="1490"/>
      <c r="DO717" s="1490" t="s">
        <v>30</v>
      </c>
      <c r="DP717" s="1490"/>
      <c r="DQ717" s="1490"/>
      <c r="DR717" s="1490"/>
      <c r="DS717" s="1490"/>
      <c r="DT717" s="89"/>
      <c r="DU717" s="1490" t="s">
        <v>634</v>
      </c>
      <c r="DV717" s="1490"/>
      <c r="DW717" s="1490"/>
      <c r="DX717" s="1490"/>
      <c r="DY717" s="1490"/>
      <c r="DZ717" s="1490" t="s">
        <v>325</v>
      </c>
      <c r="EA717" s="1490"/>
      <c r="EB717" s="1490"/>
      <c r="EC717" s="1490"/>
      <c r="ED717" s="1490"/>
      <c r="EE717" s="1490" t="s">
        <v>163</v>
      </c>
      <c r="EF717" s="1490"/>
      <c r="EG717" s="1490"/>
      <c r="EH717" s="1490"/>
      <c r="EI717" s="1490"/>
      <c r="EJ717" s="1490" t="s">
        <v>164</v>
      </c>
      <c r="EK717" s="1490"/>
      <c r="EL717" s="1490"/>
      <c r="EM717" s="1490"/>
      <c r="EN717" s="1490"/>
      <c r="EO717" s="1490" t="s">
        <v>461</v>
      </c>
      <c r="EP717" s="1490"/>
      <c r="EQ717" s="1490"/>
      <c r="ER717" s="1490"/>
      <c r="ES717" s="1490"/>
      <c r="ET717" s="1490" t="s">
        <v>30</v>
      </c>
      <c r="EU717" s="1490"/>
      <c r="EV717" s="1490"/>
      <c r="EW717" s="1490"/>
      <c r="EX717" s="1490"/>
      <c r="EY717" s="4"/>
      <c r="EZ717" s="1490" t="s">
        <v>634</v>
      </c>
      <c r="FA717" s="1490"/>
      <c r="FB717" s="1490"/>
      <c r="FC717" s="1490"/>
      <c r="FD717" s="1490"/>
      <c r="FE717" s="1490" t="s">
        <v>325</v>
      </c>
      <c r="FF717" s="1490"/>
      <c r="FG717" s="1490"/>
      <c r="FH717" s="1490"/>
      <c r="FI717" s="1490"/>
      <c r="FJ717" s="1490" t="s">
        <v>163</v>
      </c>
      <c r="FK717" s="1490"/>
      <c r="FL717" s="1490"/>
      <c r="FM717" s="1490"/>
      <c r="FN717" s="1490"/>
      <c r="FO717" s="1490" t="s">
        <v>164</v>
      </c>
      <c r="FP717" s="1490"/>
      <c r="FQ717" s="1490"/>
      <c r="FR717" s="1490"/>
      <c r="FS717" s="1490"/>
      <c r="FT717" s="1490" t="s">
        <v>461</v>
      </c>
      <c r="FU717" s="1490"/>
      <c r="FV717" s="1490"/>
      <c r="FW717" s="1490"/>
      <c r="FX717" s="1490"/>
      <c r="FY717" s="1490" t="s">
        <v>30</v>
      </c>
      <c r="FZ717" s="1490"/>
      <c r="GA717" s="1490"/>
      <c r="GB717" s="1490"/>
      <c r="GC717" s="1490"/>
    </row>
    <row r="718" spans="1:185" ht="12.95" customHeight="1">
      <c r="A718" s="4"/>
      <c r="B718" s="1355" t="s">
        <v>324</v>
      </c>
      <c r="C718" s="1356"/>
      <c r="D718" s="1356"/>
      <c r="E718" s="1356"/>
      <c r="F718" s="1357"/>
      <c r="G718" s="1364">
        <v>40</v>
      </c>
      <c r="H718" s="1365"/>
      <c r="I718" s="1365"/>
      <c r="J718" s="1366"/>
      <c r="K718" s="1605">
        <v>465</v>
      </c>
      <c r="L718" s="1606"/>
      <c r="M718" s="1606"/>
      <c r="N718" s="1607"/>
      <c r="O718" s="1470">
        <f>795-T718</f>
        <v>764</v>
      </c>
      <c r="P718" s="1471"/>
      <c r="Q718" s="1471"/>
      <c r="R718" s="1471"/>
      <c r="S718" s="1472"/>
      <c r="T718" s="1470">
        <f>$M$832</f>
        <v>31</v>
      </c>
      <c r="U718" s="1471"/>
      <c r="V718" s="1471"/>
      <c r="W718" s="1472"/>
      <c r="X718" s="1358">
        <f t="shared" ref="X718:X741" si="8">O718+T718</f>
        <v>795</v>
      </c>
      <c r="Y718" s="1359"/>
      <c r="Z718" s="1359"/>
      <c r="AA718" s="1359"/>
      <c r="AB718" s="1360"/>
      <c r="AC718" s="1614">
        <v>0.3</v>
      </c>
      <c r="AD718" s="1615"/>
      <c r="AE718" s="1615"/>
      <c r="AF718" s="1615"/>
      <c r="AG718" s="1616"/>
      <c r="AH718" s="1361">
        <f>IF($AC718&gt;0,($X718/$AZ718), "")</f>
        <v>0.3</v>
      </c>
      <c r="AI718" s="1362"/>
      <c r="AJ718" s="1363"/>
      <c r="AK718" s="1355" t="s">
        <v>592</v>
      </c>
      <c r="AL718" s="1356"/>
      <c r="AM718" s="1356"/>
      <c r="AN718" s="1356"/>
      <c r="AO718" s="1357"/>
      <c r="AP718" s="3"/>
      <c r="AQ718" s="3"/>
      <c r="AR718" s="3"/>
      <c r="AS718" s="3"/>
      <c r="AZ718" s="118">
        <f t="shared" ref="AZ718:AZ752" si="9">IF($G718=0,"N/A",VLOOKUP($T$189,TC_Rent,(MATCH($B718,bedrooms,FALSE)),FALSE))</f>
        <v>2650</v>
      </c>
      <c r="BA718" s="3"/>
      <c r="BB718" s="3"/>
      <c r="BC718" s="3"/>
      <c r="BD718" s="3"/>
      <c r="BE718" s="204"/>
      <c r="BF718" s="293">
        <f t="shared" ref="BF718:BF752" si="10">G718</f>
        <v>40</v>
      </c>
      <c r="BG718" s="297">
        <f t="shared" ref="BG718:BG752" si="11">IF($BF$753=0,0,BF718/$BF$753)</f>
        <v>0.14925373134328357</v>
      </c>
      <c r="BH718" s="298">
        <f t="shared" ref="BH718:BH752" si="12">IF(BG718=0,"",BG718*AC718)</f>
        <v>4.4776119402985072E-2</v>
      </c>
      <c r="BI718" s="3"/>
      <c r="BJ718" s="3"/>
      <c r="BK718" s="3"/>
      <c r="BL718" s="3"/>
      <c r="BM718" s="3"/>
      <c r="BN718" s="3"/>
      <c r="BS718" s="293">
        <f t="shared" ref="BS718:BS752" si="13">G718</f>
        <v>40</v>
      </c>
      <c r="BT718" s="297">
        <f t="shared" ref="BT718:BT752" si="14">IF($BS$753=0,0,BS718/$BS$753)</f>
        <v>0.14925373134328357</v>
      </c>
      <c r="BU718" s="298">
        <f t="shared" ref="BU718:BU752" si="15">IF(BT718=0,"",BT718*AH718)</f>
        <v>4.4776119402985072E-2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40</v>
      </c>
      <c r="CN718" s="1337"/>
      <c r="CO718" s="3"/>
      <c r="CP718" s="1332">
        <f t="shared" ref="CP718:CP752" si="18">IF(B718="SRO/Studio",G718,0)</f>
        <v>40</v>
      </c>
      <c r="CQ718" s="1333"/>
      <c r="CR718" s="1333"/>
      <c r="CS718" s="1333"/>
      <c r="CT718" s="1334"/>
      <c r="CU718" s="1354">
        <f t="shared" ref="CU718:CU752" si="19">IF(B718="1 Bedroom",G718,0)</f>
        <v>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40</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f t="shared" ref="EZ718:EZ752" si="30">IF(CP718&gt;0,O718,"")</f>
        <v>764</v>
      </c>
      <c r="FA718" s="1352"/>
      <c r="FB718" s="1352"/>
      <c r="FC718" s="1352"/>
      <c r="FD718" s="1353"/>
      <c r="FE718" s="1351" t="str">
        <f t="shared" ref="FE718:FE752" si="31">IF(CU718&gt;0,O718,"")</f>
        <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324</v>
      </c>
      <c r="C719" s="1356"/>
      <c r="D719" s="1356"/>
      <c r="E719" s="1356"/>
      <c r="F719" s="1357"/>
      <c r="G719" s="1364">
        <v>4</v>
      </c>
      <c r="H719" s="1365"/>
      <c r="I719" s="1365"/>
      <c r="J719" s="1366"/>
      <c r="K719" s="1605">
        <v>465</v>
      </c>
      <c r="L719" s="1606"/>
      <c r="M719" s="1606"/>
      <c r="N719" s="1607"/>
      <c r="O719" s="1470">
        <f>1060-T719</f>
        <v>1029</v>
      </c>
      <c r="P719" s="1471"/>
      <c r="Q719" s="1471"/>
      <c r="R719" s="1471"/>
      <c r="S719" s="1472"/>
      <c r="T719" s="1470">
        <f t="shared" ref="T719:T720" si="36">$M$832</f>
        <v>31</v>
      </c>
      <c r="U719" s="1471"/>
      <c r="V719" s="1471"/>
      <c r="W719" s="1472"/>
      <c r="X719" s="1358">
        <f t="shared" si="8"/>
        <v>1060</v>
      </c>
      <c r="Y719" s="1359"/>
      <c r="Z719" s="1359"/>
      <c r="AA719" s="1359"/>
      <c r="AB719" s="1360"/>
      <c r="AC719" s="1614">
        <v>0.4</v>
      </c>
      <c r="AD719" s="1615"/>
      <c r="AE719" s="1615"/>
      <c r="AF719" s="1615"/>
      <c r="AG719" s="1616"/>
      <c r="AH719" s="1361">
        <f t="shared" ref="AH719:AH752" si="37">IF($AC719&gt;0,($X719/$AZ719), "")</f>
        <v>0.4</v>
      </c>
      <c r="AI719" s="1362"/>
      <c r="AJ719" s="1363"/>
      <c r="AK719" s="1355" t="s">
        <v>592</v>
      </c>
      <c r="AL719" s="1356"/>
      <c r="AM719" s="1356"/>
      <c r="AN719" s="1356"/>
      <c r="AO719" s="1357"/>
      <c r="AP719" s="3"/>
      <c r="AQ719" s="3"/>
      <c r="AR719" s="3"/>
      <c r="AS719" s="3"/>
      <c r="AZ719" s="118">
        <f t="shared" si="9"/>
        <v>2650</v>
      </c>
      <c r="BA719" s="3"/>
      <c r="BB719" s="3"/>
      <c r="BC719" s="3"/>
      <c r="BD719" s="3"/>
      <c r="BE719" s="204"/>
      <c r="BF719" s="294">
        <f t="shared" si="10"/>
        <v>4</v>
      </c>
      <c r="BG719" s="297">
        <f t="shared" si="11"/>
        <v>1.4925373134328358E-2</v>
      </c>
      <c r="BH719" s="298">
        <f t="shared" si="12"/>
        <v>5.9701492537313433E-3</v>
      </c>
      <c r="BI719" s="3"/>
      <c r="BJ719" s="3"/>
      <c r="BK719" s="3"/>
      <c r="BL719" s="3"/>
      <c r="BM719" s="3"/>
      <c r="BN719" s="3"/>
      <c r="BS719" s="294">
        <f t="shared" si="13"/>
        <v>4</v>
      </c>
      <c r="BT719" s="297">
        <f t="shared" si="14"/>
        <v>1.4925373134328358E-2</v>
      </c>
      <c r="BU719" s="298">
        <f t="shared" si="15"/>
        <v>5.9701492537313433E-3</v>
      </c>
      <c r="CC719" s="3"/>
      <c r="CD719" s="3"/>
      <c r="CE719" s="3"/>
      <c r="CF719" s="3"/>
      <c r="CG719" s="1351">
        <f t="shared" ref="CG719:CG752" si="38">IF(AND(AC719&lt;=0.5,AC719&gt;=0.36),1,0)</f>
        <v>1</v>
      </c>
      <c r="CH719" s="1353"/>
      <c r="CI719" s="1335">
        <f t="shared" ref="CI719:CI752" si="39">IF(CG719=1,G719,0)</f>
        <v>4</v>
      </c>
      <c r="CJ719" s="1337"/>
      <c r="CK719" s="1351">
        <f t="shared" si="16"/>
        <v>0</v>
      </c>
      <c r="CL719" s="1353"/>
      <c r="CM719" s="1335">
        <f t="shared" si="17"/>
        <v>0</v>
      </c>
      <c r="CN719" s="1337"/>
      <c r="CO719" s="3"/>
      <c r="CP719" s="1332">
        <f t="shared" si="18"/>
        <v>4</v>
      </c>
      <c r="CQ719" s="1333"/>
      <c r="CR719" s="1333"/>
      <c r="CS719" s="1333"/>
      <c r="CT719" s="1334"/>
      <c r="CU719" s="1354">
        <f t="shared" si="19"/>
        <v>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f t="shared" si="30"/>
        <v>1029</v>
      </c>
      <c r="FA719" s="1352"/>
      <c r="FB719" s="1352"/>
      <c r="FC719" s="1352"/>
      <c r="FD719" s="1353"/>
      <c r="FE719" s="1351" t="str">
        <f t="shared" si="31"/>
        <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324</v>
      </c>
      <c r="C720" s="1356"/>
      <c r="D720" s="1356"/>
      <c r="E720" s="1356"/>
      <c r="F720" s="1357"/>
      <c r="G720" s="1364">
        <v>4</v>
      </c>
      <c r="H720" s="1365"/>
      <c r="I720" s="1365"/>
      <c r="J720" s="1366"/>
      <c r="K720" s="1605">
        <v>465</v>
      </c>
      <c r="L720" s="1606"/>
      <c r="M720" s="1606"/>
      <c r="N720" s="1607"/>
      <c r="O720" s="1470">
        <f>1325-T720</f>
        <v>1294</v>
      </c>
      <c r="P720" s="1471"/>
      <c r="Q720" s="1471"/>
      <c r="R720" s="1471"/>
      <c r="S720" s="1472"/>
      <c r="T720" s="1470">
        <f t="shared" si="36"/>
        <v>31</v>
      </c>
      <c r="U720" s="1471"/>
      <c r="V720" s="1471"/>
      <c r="W720" s="1472"/>
      <c r="X720" s="1358">
        <f t="shared" si="8"/>
        <v>1325</v>
      </c>
      <c r="Y720" s="1359"/>
      <c r="Z720" s="1359"/>
      <c r="AA720" s="1359"/>
      <c r="AB720" s="1360"/>
      <c r="AC720" s="1614">
        <v>0.5</v>
      </c>
      <c r="AD720" s="1615"/>
      <c r="AE720" s="1615"/>
      <c r="AF720" s="1615"/>
      <c r="AG720" s="1616"/>
      <c r="AH720" s="1361">
        <f t="shared" si="37"/>
        <v>0.5</v>
      </c>
      <c r="AI720" s="1362"/>
      <c r="AJ720" s="1363"/>
      <c r="AK720" s="1355" t="s">
        <v>592</v>
      </c>
      <c r="AL720" s="1356"/>
      <c r="AM720" s="1356"/>
      <c r="AN720" s="1356"/>
      <c r="AO720" s="1357"/>
      <c r="AP720" s="3"/>
      <c r="AQ720" s="3"/>
      <c r="AR720" s="3"/>
      <c r="AS720" s="3"/>
      <c r="AZ720" s="118">
        <f t="shared" si="9"/>
        <v>2650</v>
      </c>
      <c r="BA720" s="3"/>
      <c r="BB720" s="3"/>
      <c r="BC720" s="3"/>
      <c r="BD720" s="3"/>
      <c r="BE720" s="204"/>
      <c r="BF720" s="294">
        <f t="shared" si="10"/>
        <v>4</v>
      </c>
      <c r="BG720" s="297">
        <f t="shared" si="11"/>
        <v>1.4925373134328358E-2</v>
      </c>
      <c r="BH720" s="298">
        <f t="shared" si="12"/>
        <v>7.462686567164179E-3</v>
      </c>
      <c r="BI720" s="3"/>
      <c r="BJ720" s="3"/>
      <c r="BK720" s="3"/>
      <c r="BL720" s="3"/>
      <c r="BM720" s="3"/>
      <c r="BN720" s="3"/>
      <c r="BS720" s="294">
        <f t="shared" si="13"/>
        <v>4</v>
      </c>
      <c r="BT720" s="297">
        <f t="shared" si="14"/>
        <v>1.4925373134328358E-2</v>
      </c>
      <c r="BU720" s="298">
        <f t="shared" si="15"/>
        <v>7.462686567164179E-3</v>
      </c>
      <c r="CC720" s="3"/>
      <c r="CD720" s="3"/>
      <c r="CE720" s="3"/>
      <c r="CF720" s="3"/>
      <c r="CG720" s="1351">
        <f t="shared" si="38"/>
        <v>1</v>
      </c>
      <c r="CH720" s="1353"/>
      <c r="CI720" s="1335">
        <f t="shared" si="39"/>
        <v>4</v>
      </c>
      <c r="CJ720" s="1337"/>
      <c r="CK720" s="1351">
        <f t="shared" si="16"/>
        <v>0</v>
      </c>
      <c r="CL720" s="1353"/>
      <c r="CM720" s="1335">
        <f t="shared" si="17"/>
        <v>0</v>
      </c>
      <c r="CN720" s="1337"/>
      <c r="CO720" s="3"/>
      <c r="CP720" s="1332">
        <f t="shared" si="18"/>
        <v>4</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f t="shared" si="30"/>
        <v>1294</v>
      </c>
      <c r="FA720" s="1352"/>
      <c r="FB720" s="1352"/>
      <c r="FC720" s="1352"/>
      <c r="FD720" s="1353"/>
      <c r="FE720" s="1351" t="str">
        <f t="shared" si="31"/>
        <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325</v>
      </c>
      <c r="C721" s="1356"/>
      <c r="D721" s="1356"/>
      <c r="E721" s="1356"/>
      <c r="F721" s="1357"/>
      <c r="G721" s="1364">
        <v>39</v>
      </c>
      <c r="H721" s="1365"/>
      <c r="I721" s="1365"/>
      <c r="J721" s="1366"/>
      <c r="K721" s="1605">
        <v>517</v>
      </c>
      <c r="L721" s="1606"/>
      <c r="M721" s="1606"/>
      <c r="N721" s="1607"/>
      <c r="O721" s="1470">
        <f>852-T721</f>
        <v>809</v>
      </c>
      <c r="P721" s="1471"/>
      <c r="Q721" s="1471"/>
      <c r="R721" s="1471"/>
      <c r="S721" s="1472"/>
      <c r="T721" s="1470">
        <f>$Q$832</f>
        <v>43</v>
      </c>
      <c r="U721" s="1471"/>
      <c r="V721" s="1471"/>
      <c r="W721" s="1472"/>
      <c r="X721" s="1358">
        <f t="shared" si="8"/>
        <v>852</v>
      </c>
      <c r="Y721" s="1359"/>
      <c r="Z721" s="1359"/>
      <c r="AA721" s="1359"/>
      <c r="AB721" s="1360"/>
      <c r="AC721" s="1614">
        <v>0.3</v>
      </c>
      <c r="AD721" s="1615"/>
      <c r="AE721" s="1615"/>
      <c r="AF721" s="1615"/>
      <c r="AG721" s="1616"/>
      <c r="AH721" s="1361">
        <f t="shared" si="37"/>
        <v>0.3</v>
      </c>
      <c r="AI721" s="1362"/>
      <c r="AJ721" s="1363"/>
      <c r="AK721" s="1355" t="s">
        <v>592</v>
      </c>
      <c r="AL721" s="1356"/>
      <c r="AM721" s="1356"/>
      <c r="AN721" s="1356"/>
      <c r="AO721" s="1357"/>
      <c r="AP721" s="3"/>
      <c r="AQ721" s="3"/>
      <c r="AR721" s="3"/>
      <c r="AS721" s="3"/>
      <c r="AY721" s="116"/>
      <c r="AZ721" s="118">
        <f t="shared" si="9"/>
        <v>2840</v>
      </c>
      <c r="BA721" s="3"/>
      <c r="BB721" s="3"/>
      <c r="BC721" s="3"/>
      <c r="BD721" s="3"/>
      <c r="BE721" s="204"/>
      <c r="BF721" s="294">
        <f t="shared" si="10"/>
        <v>39</v>
      </c>
      <c r="BG721" s="297">
        <f t="shared" si="11"/>
        <v>0.1455223880597015</v>
      </c>
      <c r="BH721" s="298">
        <f t="shared" si="12"/>
        <v>4.3656716417910447E-2</v>
      </c>
      <c r="BI721" s="3"/>
      <c r="BJ721" s="3"/>
      <c r="BK721" s="3"/>
      <c r="BL721" s="3"/>
      <c r="BM721" s="3"/>
      <c r="BN721" s="3"/>
      <c r="BS721" s="294">
        <f t="shared" si="13"/>
        <v>39</v>
      </c>
      <c r="BT721" s="297">
        <f t="shared" si="14"/>
        <v>0.1455223880597015</v>
      </c>
      <c r="BU721" s="298">
        <f t="shared" si="15"/>
        <v>4.3656716417910447E-2</v>
      </c>
      <c r="CC721" s="3"/>
      <c r="CD721" s="3"/>
      <c r="CE721" s="3"/>
      <c r="CF721" s="3"/>
      <c r="CG721" s="1351">
        <f t="shared" si="38"/>
        <v>0</v>
      </c>
      <c r="CH721" s="1353"/>
      <c r="CI721" s="1335">
        <f t="shared" si="39"/>
        <v>0</v>
      </c>
      <c r="CJ721" s="1337"/>
      <c r="CK721" s="1351">
        <f t="shared" si="16"/>
        <v>1</v>
      </c>
      <c r="CL721" s="1353"/>
      <c r="CM721" s="1335">
        <f t="shared" si="17"/>
        <v>39</v>
      </c>
      <c r="CN721" s="1337"/>
      <c r="CO721" s="3"/>
      <c r="CP721" s="1332">
        <f t="shared" si="18"/>
        <v>0</v>
      </c>
      <c r="CQ721" s="1333"/>
      <c r="CR721" s="1333"/>
      <c r="CS721" s="1333"/>
      <c r="CT721" s="1334"/>
      <c r="CU721" s="1354">
        <f t="shared" si="19"/>
        <v>39</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39</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809</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325</v>
      </c>
      <c r="C722" s="1356"/>
      <c r="D722" s="1356"/>
      <c r="E722" s="1356"/>
      <c r="F722" s="1357"/>
      <c r="G722" s="1364">
        <v>35</v>
      </c>
      <c r="H722" s="1365"/>
      <c r="I722" s="1365"/>
      <c r="J722" s="1366"/>
      <c r="K722" s="1605">
        <v>517</v>
      </c>
      <c r="L722" s="1606"/>
      <c r="M722" s="1606"/>
      <c r="N722" s="1607"/>
      <c r="O722" s="1470">
        <f>1420-T722</f>
        <v>1377</v>
      </c>
      <c r="P722" s="1471"/>
      <c r="Q722" s="1471"/>
      <c r="R722" s="1471"/>
      <c r="S722" s="1472"/>
      <c r="T722" s="1470">
        <f t="shared" ref="T722:T725" si="40">$Q$832</f>
        <v>43</v>
      </c>
      <c r="U722" s="1471"/>
      <c r="V722" s="1471"/>
      <c r="W722" s="1472"/>
      <c r="X722" s="1358">
        <f t="shared" si="8"/>
        <v>1420</v>
      </c>
      <c r="Y722" s="1359"/>
      <c r="Z722" s="1359"/>
      <c r="AA722" s="1359"/>
      <c r="AB722" s="1360"/>
      <c r="AC722" s="1614">
        <v>0.5</v>
      </c>
      <c r="AD722" s="1615"/>
      <c r="AE722" s="1615"/>
      <c r="AF722" s="1615"/>
      <c r="AG722" s="1616"/>
      <c r="AH722" s="1361">
        <f t="shared" si="37"/>
        <v>0.5</v>
      </c>
      <c r="AI722" s="1362"/>
      <c r="AJ722" s="1363"/>
      <c r="AK722" s="1355" t="s">
        <v>592</v>
      </c>
      <c r="AL722" s="1356"/>
      <c r="AM722" s="1356"/>
      <c r="AN722" s="1356"/>
      <c r="AO722" s="1357"/>
      <c r="AP722" s="3"/>
      <c r="AQ722" s="3"/>
      <c r="AR722" s="3"/>
      <c r="AS722" s="3"/>
      <c r="AY722" s="116"/>
      <c r="AZ722" s="118">
        <f t="shared" si="9"/>
        <v>2840</v>
      </c>
      <c r="BA722" s="3"/>
      <c r="BB722" s="3"/>
      <c r="BC722" s="3"/>
      <c r="BD722" s="3"/>
      <c r="BE722" s="204"/>
      <c r="BF722" s="294">
        <f t="shared" si="10"/>
        <v>35</v>
      </c>
      <c r="BG722" s="297">
        <f t="shared" si="11"/>
        <v>0.13059701492537312</v>
      </c>
      <c r="BH722" s="298">
        <f t="shared" si="12"/>
        <v>6.5298507462686561E-2</v>
      </c>
      <c r="BI722" s="3"/>
      <c r="BJ722" s="3"/>
      <c r="BK722" s="3"/>
      <c r="BL722" s="3"/>
      <c r="BM722" s="3"/>
      <c r="BN722" s="3"/>
      <c r="BS722" s="294">
        <f t="shared" si="13"/>
        <v>35</v>
      </c>
      <c r="BT722" s="297">
        <f t="shared" si="14"/>
        <v>0.13059701492537312</v>
      </c>
      <c r="BU722" s="298">
        <f t="shared" si="15"/>
        <v>6.5298507462686561E-2</v>
      </c>
      <c r="CC722" s="3"/>
      <c r="CD722" s="3"/>
      <c r="CE722" s="3"/>
      <c r="CF722" s="3"/>
      <c r="CG722" s="1351">
        <f t="shared" si="38"/>
        <v>1</v>
      </c>
      <c r="CH722" s="1353"/>
      <c r="CI722" s="1335">
        <f t="shared" si="39"/>
        <v>35</v>
      </c>
      <c r="CJ722" s="1337"/>
      <c r="CK722" s="1351">
        <f t="shared" si="16"/>
        <v>0</v>
      </c>
      <c r="CL722" s="1353"/>
      <c r="CM722" s="1335">
        <f t="shared" si="17"/>
        <v>0</v>
      </c>
      <c r="CN722" s="1337"/>
      <c r="CO722" s="3"/>
      <c r="CP722" s="1332">
        <f t="shared" si="18"/>
        <v>0</v>
      </c>
      <c r="CQ722" s="1333"/>
      <c r="CR722" s="1333"/>
      <c r="CS722" s="1333"/>
      <c r="CT722" s="1334"/>
      <c r="CU722" s="1354">
        <f t="shared" si="19"/>
        <v>35</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f t="shared" si="31"/>
        <v>1377</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325</v>
      </c>
      <c r="C723" s="1356"/>
      <c r="D723" s="1356"/>
      <c r="E723" s="1356"/>
      <c r="F723" s="1357"/>
      <c r="G723" s="1364">
        <v>17</v>
      </c>
      <c r="H723" s="1365"/>
      <c r="I723" s="1365"/>
      <c r="J723" s="1366"/>
      <c r="K723" s="1605">
        <v>517</v>
      </c>
      <c r="L723" s="1606"/>
      <c r="M723" s="1606"/>
      <c r="N723" s="1607"/>
      <c r="O723" s="1470">
        <f>1704-T723</f>
        <v>1661</v>
      </c>
      <c r="P723" s="1471"/>
      <c r="Q723" s="1471"/>
      <c r="R723" s="1471"/>
      <c r="S723" s="1472"/>
      <c r="T723" s="1470">
        <f t="shared" si="40"/>
        <v>43</v>
      </c>
      <c r="U723" s="1471"/>
      <c r="V723" s="1471"/>
      <c r="W723" s="1472"/>
      <c r="X723" s="1358">
        <f t="shared" si="8"/>
        <v>1704</v>
      </c>
      <c r="Y723" s="1359"/>
      <c r="Z723" s="1359"/>
      <c r="AA723" s="1359"/>
      <c r="AB723" s="1360"/>
      <c r="AC723" s="1614">
        <v>0.6</v>
      </c>
      <c r="AD723" s="1615"/>
      <c r="AE723" s="1615"/>
      <c r="AF723" s="1615"/>
      <c r="AG723" s="1616"/>
      <c r="AH723" s="1361">
        <f t="shared" si="37"/>
        <v>0.6</v>
      </c>
      <c r="AI723" s="1362"/>
      <c r="AJ723" s="1363"/>
      <c r="AK723" s="1355" t="s">
        <v>592</v>
      </c>
      <c r="AL723" s="1356"/>
      <c r="AM723" s="1356"/>
      <c r="AN723" s="1356"/>
      <c r="AO723" s="1357"/>
      <c r="AP723" s="3"/>
      <c r="AQ723" s="3"/>
      <c r="AR723" s="3"/>
      <c r="AS723" s="3"/>
      <c r="AY723" s="116"/>
      <c r="AZ723" s="118">
        <f t="shared" si="9"/>
        <v>2840</v>
      </c>
      <c r="BA723" s="3"/>
      <c r="BB723" s="3"/>
      <c r="BC723" s="3"/>
      <c r="BD723" s="3"/>
      <c r="BE723" s="204"/>
      <c r="BF723" s="294">
        <f t="shared" si="10"/>
        <v>17</v>
      </c>
      <c r="BG723" s="297">
        <f t="shared" si="11"/>
        <v>6.3432835820895525E-2</v>
      </c>
      <c r="BH723" s="298">
        <f t="shared" si="12"/>
        <v>3.8059701492537311E-2</v>
      </c>
      <c r="BI723" s="3"/>
      <c r="BJ723" s="3"/>
      <c r="BK723" s="3"/>
      <c r="BL723" s="3"/>
      <c r="BM723" s="3"/>
      <c r="BN723" s="3"/>
      <c r="BS723" s="294">
        <f t="shared" si="13"/>
        <v>17</v>
      </c>
      <c r="BT723" s="297">
        <f t="shared" si="14"/>
        <v>6.3432835820895525E-2</v>
      </c>
      <c r="BU723" s="298">
        <f t="shared" si="15"/>
        <v>3.8059701492537311E-2</v>
      </c>
      <c r="CC723" s="3"/>
      <c r="CD723" s="3"/>
      <c r="CE723" s="3"/>
      <c r="CF723" s="3"/>
      <c r="CG723" s="1351">
        <f t="shared" si="38"/>
        <v>0</v>
      </c>
      <c r="CH723" s="1353"/>
      <c r="CI723" s="1335">
        <f t="shared" si="39"/>
        <v>0</v>
      </c>
      <c r="CJ723" s="1337"/>
      <c r="CK723" s="1351">
        <f t="shared" si="16"/>
        <v>0</v>
      </c>
      <c r="CL723" s="1353"/>
      <c r="CM723" s="1335">
        <f t="shared" si="17"/>
        <v>0</v>
      </c>
      <c r="CN723" s="1337"/>
      <c r="CO723" s="3"/>
      <c r="CP723" s="1332">
        <f t="shared" si="18"/>
        <v>0</v>
      </c>
      <c r="CQ723" s="1333"/>
      <c r="CR723" s="1333"/>
      <c r="CS723" s="1333"/>
      <c r="CT723" s="1334"/>
      <c r="CU723" s="1354">
        <f t="shared" si="19"/>
        <v>17</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f t="shared" si="31"/>
        <v>1661</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325</v>
      </c>
      <c r="C724" s="1356"/>
      <c r="D724" s="1356"/>
      <c r="E724" s="1356"/>
      <c r="F724" s="1357"/>
      <c r="G724" s="1364">
        <v>27</v>
      </c>
      <c r="H724" s="1365"/>
      <c r="I724" s="1365"/>
      <c r="J724" s="1366"/>
      <c r="K724" s="1605">
        <v>517</v>
      </c>
      <c r="L724" s="1606"/>
      <c r="M724" s="1606"/>
      <c r="N724" s="1607"/>
      <c r="O724" s="1470">
        <f>1988-T724</f>
        <v>1945</v>
      </c>
      <c r="P724" s="1471"/>
      <c r="Q724" s="1471"/>
      <c r="R724" s="1471"/>
      <c r="S724" s="1472"/>
      <c r="T724" s="1470">
        <f t="shared" si="40"/>
        <v>43</v>
      </c>
      <c r="U724" s="1471"/>
      <c r="V724" s="1471"/>
      <c r="W724" s="1472"/>
      <c r="X724" s="1358">
        <f t="shared" si="8"/>
        <v>1988</v>
      </c>
      <c r="Y724" s="1359"/>
      <c r="Z724" s="1359"/>
      <c r="AA724" s="1359"/>
      <c r="AB724" s="1360"/>
      <c r="AC724" s="1614">
        <v>0.7</v>
      </c>
      <c r="AD724" s="1615"/>
      <c r="AE724" s="1615"/>
      <c r="AF724" s="1615"/>
      <c r="AG724" s="1616"/>
      <c r="AH724" s="1361">
        <f t="shared" si="37"/>
        <v>0.7</v>
      </c>
      <c r="AI724" s="1362"/>
      <c r="AJ724" s="1363"/>
      <c r="AK724" s="1355" t="s">
        <v>592</v>
      </c>
      <c r="AL724" s="1356"/>
      <c r="AM724" s="1356"/>
      <c r="AN724" s="1356"/>
      <c r="AO724" s="1357"/>
      <c r="AP724" s="3"/>
      <c r="AQ724" s="3"/>
      <c r="AR724" s="3"/>
      <c r="AS724" s="3"/>
      <c r="AY724" s="116"/>
      <c r="AZ724" s="118">
        <f t="shared" si="9"/>
        <v>2840</v>
      </c>
      <c r="BA724" s="3"/>
      <c r="BB724" s="3"/>
      <c r="BC724" s="3"/>
      <c r="BD724" s="3"/>
      <c r="BE724" s="204"/>
      <c r="BF724" s="294">
        <f t="shared" si="10"/>
        <v>27</v>
      </c>
      <c r="BG724" s="297">
        <f t="shared" si="11"/>
        <v>0.10074626865671642</v>
      </c>
      <c r="BH724" s="298">
        <f t="shared" si="12"/>
        <v>7.0522388059701485E-2</v>
      </c>
      <c r="BI724" s="3"/>
      <c r="BJ724" s="3"/>
      <c r="BK724" s="3"/>
      <c r="BL724" s="3"/>
      <c r="BM724" s="3"/>
      <c r="BN724" s="3"/>
      <c r="BS724" s="294">
        <f t="shared" si="13"/>
        <v>27</v>
      </c>
      <c r="BT724" s="297">
        <f t="shared" si="14"/>
        <v>0.10074626865671642</v>
      </c>
      <c r="BU724" s="298">
        <f t="shared" si="15"/>
        <v>7.0522388059701485E-2</v>
      </c>
      <c r="CC724" s="3"/>
      <c r="CE724" s="3"/>
      <c r="CF724" s="3"/>
      <c r="CG724" s="1351">
        <f t="shared" si="38"/>
        <v>0</v>
      </c>
      <c r="CH724" s="1353"/>
      <c r="CI724" s="1335">
        <f t="shared" si="39"/>
        <v>0</v>
      </c>
      <c r="CJ724" s="1337"/>
      <c r="CK724" s="1351">
        <f t="shared" si="16"/>
        <v>0</v>
      </c>
      <c r="CL724" s="1353"/>
      <c r="CM724" s="1335">
        <f t="shared" si="17"/>
        <v>0</v>
      </c>
      <c r="CN724" s="1337"/>
      <c r="CO724" s="3"/>
      <c r="CP724" s="1332">
        <f t="shared" si="18"/>
        <v>0</v>
      </c>
      <c r="CQ724" s="1333"/>
      <c r="CR724" s="1333"/>
      <c r="CS724" s="1333"/>
      <c r="CT724" s="1334"/>
      <c r="CU724" s="1354">
        <f t="shared" si="19"/>
        <v>27</v>
      </c>
      <c r="CV724" s="1354"/>
      <c r="CW724" s="1354"/>
      <c r="CX724" s="1354"/>
      <c r="CY724" s="1354"/>
      <c r="CZ724" s="1354">
        <f t="shared" si="20"/>
        <v>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f t="shared" si="31"/>
        <v>1945</v>
      </c>
      <c r="FF724" s="1352"/>
      <c r="FG724" s="1352"/>
      <c r="FH724" s="1352"/>
      <c r="FI724" s="1353"/>
      <c r="FJ724" s="1351" t="str">
        <f t="shared" si="32"/>
        <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325</v>
      </c>
      <c r="C725" s="1356"/>
      <c r="D725" s="1356"/>
      <c r="E725" s="1356"/>
      <c r="F725" s="1357"/>
      <c r="G725" s="1364">
        <v>55</v>
      </c>
      <c r="H725" s="1365"/>
      <c r="I725" s="1365"/>
      <c r="J725" s="1366"/>
      <c r="K725" s="1605">
        <v>517</v>
      </c>
      <c r="L725" s="1606"/>
      <c r="M725" s="1606"/>
      <c r="N725" s="1607"/>
      <c r="O725" s="1470">
        <f>2272-T725</f>
        <v>2229</v>
      </c>
      <c r="P725" s="1471"/>
      <c r="Q725" s="1471"/>
      <c r="R725" s="1471"/>
      <c r="S725" s="1472"/>
      <c r="T725" s="1470">
        <f t="shared" si="40"/>
        <v>43</v>
      </c>
      <c r="U725" s="1471"/>
      <c r="V725" s="1471"/>
      <c r="W725" s="1472"/>
      <c r="X725" s="1358">
        <f t="shared" si="8"/>
        <v>2272</v>
      </c>
      <c r="Y725" s="1359"/>
      <c r="Z725" s="1359"/>
      <c r="AA725" s="1359"/>
      <c r="AB725" s="1360"/>
      <c r="AC725" s="1614">
        <v>0.8</v>
      </c>
      <c r="AD725" s="1615"/>
      <c r="AE725" s="1615"/>
      <c r="AF725" s="1615"/>
      <c r="AG725" s="1616"/>
      <c r="AH725" s="1361">
        <f t="shared" si="37"/>
        <v>0.8</v>
      </c>
      <c r="AI725" s="1362"/>
      <c r="AJ725" s="1363"/>
      <c r="AK725" s="1355" t="s">
        <v>592</v>
      </c>
      <c r="AL725" s="1356"/>
      <c r="AM725" s="1356"/>
      <c r="AN725" s="1356"/>
      <c r="AO725" s="1357"/>
      <c r="AP725" s="3"/>
      <c r="AQ725" s="3"/>
      <c r="AR725" s="3"/>
      <c r="AS725" s="3"/>
      <c r="AY725" s="1085"/>
      <c r="AZ725" s="118">
        <f t="shared" si="9"/>
        <v>2840</v>
      </c>
      <c r="BA725" s="3"/>
      <c r="BB725" s="3"/>
      <c r="BC725" s="3"/>
      <c r="BD725" s="3"/>
      <c r="BE725" s="204"/>
      <c r="BF725" s="294">
        <f t="shared" si="10"/>
        <v>55</v>
      </c>
      <c r="BG725" s="297">
        <f t="shared" si="11"/>
        <v>0.20522388059701493</v>
      </c>
      <c r="BH725" s="298">
        <f t="shared" si="12"/>
        <v>0.16417910447761197</v>
      </c>
      <c r="BI725" s="3"/>
      <c r="BJ725" s="3"/>
      <c r="BK725" s="3"/>
      <c r="BL725" s="3"/>
      <c r="BM725" s="3"/>
      <c r="BN725" s="3"/>
      <c r="BS725" s="294">
        <f t="shared" si="13"/>
        <v>55</v>
      </c>
      <c r="BT725" s="297">
        <f t="shared" si="14"/>
        <v>0.20522388059701493</v>
      </c>
      <c r="BU725" s="298">
        <f t="shared" si="15"/>
        <v>0.16417910447761197</v>
      </c>
      <c r="BV725" s="292"/>
      <c r="BW725" s="3"/>
      <c r="BX725" s="3"/>
      <c r="BY725" s="3"/>
      <c r="BZ725" s="3"/>
      <c r="CA725" s="3"/>
      <c r="CB725" s="3"/>
      <c r="CC725" s="3"/>
      <c r="CE725" s="3"/>
      <c r="CF725" s="3"/>
      <c r="CG725" s="1351">
        <f t="shared" si="38"/>
        <v>0</v>
      </c>
      <c r="CH725" s="1353"/>
      <c r="CI725" s="1335">
        <f t="shared" si="39"/>
        <v>0</v>
      </c>
      <c r="CJ725" s="1337"/>
      <c r="CK725" s="1351">
        <f t="shared" si="16"/>
        <v>0</v>
      </c>
      <c r="CL725" s="1353"/>
      <c r="CM725" s="1335">
        <f t="shared" si="17"/>
        <v>0</v>
      </c>
      <c r="CN725" s="1337"/>
      <c r="CO725" s="3"/>
      <c r="CP725" s="1332">
        <f t="shared" si="18"/>
        <v>0</v>
      </c>
      <c r="CQ725" s="1333"/>
      <c r="CR725" s="1333"/>
      <c r="CS725" s="1333"/>
      <c r="CT725" s="1334"/>
      <c r="CU725" s="1354">
        <f t="shared" si="19"/>
        <v>55</v>
      </c>
      <c r="CV725" s="1354"/>
      <c r="CW725" s="1354"/>
      <c r="CX725" s="1354"/>
      <c r="CY725" s="1354"/>
      <c r="CZ725" s="1354">
        <f t="shared" si="20"/>
        <v>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f t="shared" si="31"/>
        <v>2229</v>
      </c>
      <c r="FF725" s="1352"/>
      <c r="FG725" s="1352"/>
      <c r="FH725" s="1352"/>
      <c r="FI725" s="1353"/>
      <c r="FJ725" s="1351" t="str">
        <f t="shared" si="32"/>
        <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163</v>
      </c>
      <c r="C726" s="1356"/>
      <c r="D726" s="1356"/>
      <c r="E726" s="1356"/>
      <c r="F726" s="1357"/>
      <c r="G726" s="1364">
        <v>5</v>
      </c>
      <c r="H726" s="1365"/>
      <c r="I726" s="1365"/>
      <c r="J726" s="1366"/>
      <c r="K726" s="1605">
        <v>730</v>
      </c>
      <c r="L726" s="1606"/>
      <c r="M726" s="1606"/>
      <c r="N726" s="1607"/>
      <c r="O726" s="1470">
        <f>1021.8-T726</f>
        <v>965.8</v>
      </c>
      <c r="P726" s="1471"/>
      <c r="Q726" s="1471"/>
      <c r="R726" s="1471"/>
      <c r="S726" s="1472"/>
      <c r="T726" s="1470">
        <f>$U$832</f>
        <v>56</v>
      </c>
      <c r="U726" s="1471"/>
      <c r="V726" s="1471"/>
      <c r="W726" s="1472"/>
      <c r="X726" s="1358">
        <f t="shared" si="8"/>
        <v>1021.8</v>
      </c>
      <c r="Y726" s="1359"/>
      <c r="Z726" s="1359"/>
      <c r="AA726" s="1359"/>
      <c r="AB726" s="1360"/>
      <c r="AC726" s="1614">
        <v>0.3</v>
      </c>
      <c r="AD726" s="1615"/>
      <c r="AE726" s="1615"/>
      <c r="AF726" s="1615"/>
      <c r="AG726" s="1616"/>
      <c r="AH726" s="1361">
        <f t="shared" si="37"/>
        <v>0.3</v>
      </c>
      <c r="AI726" s="1362"/>
      <c r="AJ726" s="1363"/>
      <c r="AK726" s="1355" t="s">
        <v>592</v>
      </c>
      <c r="AL726" s="1356"/>
      <c r="AM726" s="1356"/>
      <c r="AN726" s="1356"/>
      <c r="AO726" s="1357"/>
      <c r="AP726" s="3"/>
      <c r="AQ726" s="3"/>
      <c r="AR726" s="3"/>
      <c r="AS726" s="3"/>
      <c r="AY726" s="1085"/>
      <c r="AZ726" s="118">
        <f t="shared" si="9"/>
        <v>3406</v>
      </c>
      <c r="BA726" s="3"/>
      <c r="BB726" s="3"/>
      <c r="BC726" s="3"/>
      <c r="BD726" s="3"/>
      <c r="BE726" s="204"/>
      <c r="BF726" s="294">
        <f t="shared" si="10"/>
        <v>5</v>
      </c>
      <c r="BG726" s="297">
        <f t="shared" si="11"/>
        <v>1.8656716417910446E-2</v>
      </c>
      <c r="BH726" s="298">
        <f t="shared" si="12"/>
        <v>5.597014925373134E-3</v>
      </c>
      <c r="BI726" s="3"/>
      <c r="BJ726" s="3"/>
      <c r="BK726" s="3"/>
      <c r="BL726" s="3"/>
      <c r="BM726" s="3"/>
      <c r="BN726" s="3"/>
      <c r="BS726" s="294">
        <f t="shared" si="13"/>
        <v>5</v>
      </c>
      <c r="BT726" s="297">
        <f t="shared" si="14"/>
        <v>1.8656716417910446E-2</v>
      </c>
      <c r="BU726" s="298">
        <f t="shared" si="15"/>
        <v>5.597014925373134E-3</v>
      </c>
      <c r="BV726" s="3"/>
      <c r="BW726" s="3"/>
      <c r="BX726" s="3"/>
      <c r="BY726" s="3"/>
      <c r="BZ726" s="3"/>
      <c r="CA726" s="3"/>
      <c r="CB726" s="3"/>
      <c r="CC726" s="3"/>
      <c r="CE726" s="3"/>
      <c r="CF726" s="3"/>
      <c r="CG726" s="1351">
        <f t="shared" si="38"/>
        <v>0</v>
      </c>
      <c r="CH726" s="1353"/>
      <c r="CI726" s="1335">
        <f t="shared" si="39"/>
        <v>0</v>
      </c>
      <c r="CJ726" s="1337"/>
      <c r="CK726" s="1351">
        <f t="shared" si="16"/>
        <v>1</v>
      </c>
      <c r="CL726" s="1353"/>
      <c r="CM726" s="1335">
        <f t="shared" si="17"/>
        <v>5</v>
      </c>
      <c r="CN726" s="1337"/>
      <c r="CO726" s="3"/>
      <c r="CP726" s="1332">
        <f t="shared" si="18"/>
        <v>0</v>
      </c>
      <c r="CQ726" s="1333"/>
      <c r="CR726" s="1333"/>
      <c r="CS726" s="1333"/>
      <c r="CT726" s="1334"/>
      <c r="CU726" s="1354">
        <f t="shared" si="19"/>
        <v>0</v>
      </c>
      <c r="CV726" s="1354"/>
      <c r="CW726" s="1354"/>
      <c r="CX726" s="1354"/>
      <c r="CY726" s="1354"/>
      <c r="CZ726" s="1354">
        <f t="shared" si="20"/>
        <v>5</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5</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f t="shared" si="32"/>
        <v>965.8</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
        <v>163</v>
      </c>
      <c r="C727" s="1356"/>
      <c r="D727" s="1356"/>
      <c r="E727" s="1356"/>
      <c r="F727" s="1357"/>
      <c r="G727" s="1364">
        <v>2</v>
      </c>
      <c r="H727" s="1365"/>
      <c r="I727" s="1365"/>
      <c r="J727" s="1366"/>
      <c r="K727" s="1605">
        <v>730</v>
      </c>
      <c r="L727" s="1606"/>
      <c r="M727" s="1606"/>
      <c r="N727" s="1607"/>
      <c r="O727" s="1470">
        <f>2384.5-T727</f>
        <v>2328.5</v>
      </c>
      <c r="P727" s="1471"/>
      <c r="Q727" s="1471"/>
      <c r="R727" s="1471"/>
      <c r="S727" s="1472"/>
      <c r="T727" s="1470">
        <f t="shared" ref="T727:T728" si="41">$U$832</f>
        <v>56</v>
      </c>
      <c r="U727" s="1471"/>
      <c r="V727" s="1471"/>
      <c r="W727" s="1472"/>
      <c r="X727" s="1358">
        <f t="shared" si="8"/>
        <v>2384.5</v>
      </c>
      <c r="Y727" s="1359"/>
      <c r="Z727" s="1359"/>
      <c r="AA727" s="1359"/>
      <c r="AB727" s="1360"/>
      <c r="AC727" s="1614">
        <v>0.7</v>
      </c>
      <c r="AD727" s="1615"/>
      <c r="AE727" s="1615"/>
      <c r="AF727" s="1615"/>
      <c r="AG727" s="1616"/>
      <c r="AH727" s="1361">
        <f t="shared" si="37"/>
        <v>0.70008807985907218</v>
      </c>
      <c r="AI727" s="1362"/>
      <c r="AJ727" s="1363"/>
      <c r="AK727" s="1355" t="s">
        <v>592</v>
      </c>
      <c r="AL727" s="1356"/>
      <c r="AM727" s="1356"/>
      <c r="AN727" s="1356"/>
      <c r="AO727" s="1357"/>
      <c r="AP727" s="3"/>
      <c r="AQ727" s="3"/>
      <c r="AR727" s="3"/>
      <c r="AS727" s="3"/>
      <c r="AY727" s="1085"/>
      <c r="AZ727" s="118">
        <f t="shared" si="9"/>
        <v>3406</v>
      </c>
      <c r="BA727" s="3"/>
      <c r="BB727" s="3"/>
      <c r="BC727" s="3"/>
      <c r="BD727" s="3"/>
      <c r="BE727" s="204"/>
      <c r="BF727" s="294">
        <f t="shared" si="10"/>
        <v>2</v>
      </c>
      <c r="BG727" s="297">
        <f t="shared" si="11"/>
        <v>7.462686567164179E-3</v>
      </c>
      <c r="BH727" s="298">
        <f t="shared" si="12"/>
        <v>5.2238805970149247E-3</v>
      </c>
      <c r="BI727" s="3"/>
      <c r="BJ727" s="3"/>
      <c r="BK727" s="3"/>
      <c r="BL727" s="3"/>
      <c r="BM727" s="3"/>
      <c r="BN727" s="3"/>
      <c r="BS727" s="294">
        <f t="shared" si="13"/>
        <v>2</v>
      </c>
      <c r="BT727" s="297">
        <f t="shared" si="14"/>
        <v>7.462686567164179E-3</v>
      </c>
      <c r="BU727" s="298">
        <f t="shared" si="15"/>
        <v>5.2245379093960606E-3</v>
      </c>
      <c r="BV727" s="3"/>
      <c r="BW727" s="3"/>
      <c r="BX727" s="3"/>
      <c r="BY727" s="3"/>
      <c r="BZ727" s="3"/>
      <c r="CA727" s="3"/>
      <c r="CB727" s="3"/>
      <c r="CC727" s="3"/>
      <c r="CE727" s="3"/>
      <c r="CF727" s="3"/>
      <c r="CG727" s="1351">
        <f t="shared" si="38"/>
        <v>0</v>
      </c>
      <c r="CH727" s="1353"/>
      <c r="CI727" s="1335">
        <f t="shared" si="39"/>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2</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f t="shared" si="32"/>
        <v>2328.5</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
        <v>163</v>
      </c>
      <c r="C728" s="1356"/>
      <c r="D728" s="1356"/>
      <c r="E728" s="1356"/>
      <c r="F728" s="1357"/>
      <c r="G728" s="1364">
        <v>40</v>
      </c>
      <c r="H728" s="1365"/>
      <c r="I728" s="1365"/>
      <c r="J728" s="1366"/>
      <c r="K728" s="1605">
        <v>730</v>
      </c>
      <c r="L728" s="1606"/>
      <c r="M728" s="1606"/>
      <c r="N728" s="1607"/>
      <c r="O728" s="1470">
        <f>2725.5-T728</f>
        <v>2669.5</v>
      </c>
      <c r="P728" s="1471"/>
      <c r="Q728" s="1471"/>
      <c r="R728" s="1471"/>
      <c r="S728" s="1472"/>
      <c r="T728" s="1470">
        <f t="shared" si="41"/>
        <v>56</v>
      </c>
      <c r="U728" s="1471"/>
      <c r="V728" s="1471"/>
      <c r="W728" s="1472"/>
      <c r="X728" s="1358">
        <f t="shared" si="8"/>
        <v>2725.5</v>
      </c>
      <c r="Y728" s="1359"/>
      <c r="Z728" s="1359"/>
      <c r="AA728" s="1359"/>
      <c r="AB728" s="1360"/>
      <c r="AC728" s="1614">
        <v>0.8</v>
      </c>
      <c r="AD728" s="1615"/>
      <c r="AE728" s="1615"/>
      <c r="AF728" s="1615"/>
      <c r="AG728" s="1616"/>
      <c r="AH728" s="1361">
        <f t="shared" si="37"/>
        <v>0.80020551967116849</v>
      </c>
      <c r="AI728" s="1362"/>
      <c r="AJ728" s="1363"/>
      <c r="AK728" s="1355" t="s">
        <v>592</v>
      </c>
      <c r="AL728" s="1356"/>
      <c r="AM728" s="1356"/>
      <c r="AN728" s="1356"/>
      <c r="AO728" s="1357"/>
      <c r="AP728" s="3"/>
      <c r="AQ728" s="3"/>
      <c r="AR728" s="3"/>
      <c r="AS728" s="3"/>
      <c r="AY728" s="1085"/>
      <c r="AZ728" s="118">
        <f t="shared" si="9"/>
        <v>3406</v>
      </c>
      <c r="BA728" s="3"/>
      <c r="BB728" s="3"/>
      <c r="BC728" s="3"/>
      <c r="BD728" s="3"/>
      <c r="BE728" s="204"/>
      <c r="BF728" s="294">
        <f t="shared" si="10"/>
        <v>40</v>
      </c>
      <c r="BG728" s="297">
        <f t="shared" si="11"/>
        <v>0.14925373134328357</v>
      </c>
      <c r="BH728" s="298">
        <f t="shared" si="12"/>
        <v>0.11940298507462686</v>
      </c>
      <c r="BI728" s="3"/>
      <c r="BJ728" s="3"/>
      <c r="BK728" s="3"/>
      <c r="BL728" s="3"/>
      <c r="BM728" s="3"/>
      <c r="BN728" s="3"/>
      <c r="BS728" s="294">
        <f t="shared" si="13"/>
        <v>40</v>
      </c>
      <c r="BT728" s="297">
        <f t="shared" si="14"/>
        <v>0.14925373134328357</v>
      </c>
      <c r="BU728" s="298">
        <f t="shared" si="15"/>
        <v>0.11943365965241319</v>
      </c>
      <c r="BV728" s="3"/>
      <c r="BW728" s="3"/>
      <c r="BX728" s="3"/>
      <c r="BY728" s="3"/>
      <c r="BZ728" s="3"/>
      <c r="CA728" s="3"/>
      <c r="CB728" s="3"/>
      <c r="CC728" s="3"/>
      <c r="CE728" s="3"/>
      <c r="CF728" s="3"/>
      <c r="CG728" s="1351">
        <f t="shared" si="38"/>
        <v>0</v>
      </c>
      <c r="CH728" s="1353"/>
      <c r="CI728" s="1335">
        <f t="shared" si="39"/>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40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f t="shared" si="32"/>
        <v>2669.5</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c r="C729" s="1356"/>
      <c r="D729" s="1356"/>
      <c r="E729" s="1356"/>
      <c r="F729" s="1357"/>
      <c r="G729" s="1364"/>
      <c r="H729" s="1365"/>
      <c r="I729" s="1365"/>
      <c r="J729" s="1366"/>
      <c r="K729" s="1605"/>
      <c r="L729" s="1606"/>
      <c r="M729" s="1606"/>
      <c r="N729" s="1607"/>
      <c r="O729" s="1470"/>
      <c r="P729" s="1471"/>
      <c r="Q729" s="1471"/>
      <c r="R729" s="1471"/>
      <c r="S729" s="1472"/>
      <c r="T729" s="1470"/>
      <c r="U729" s="1471"/>
      <c r="V729" s="1471"/>
      <c r="W729" s="1472"/>
      <c r="X729" s="1358">
        <f t="shared" si="8"/>
        <v>0</v>
      </c>
      <c r="Y729" s="1359"/>
      <c r="Z729" s="1359"/>
      <c r="AA729" s="1359"/>
      <c r="AB729" s="1360"/>
      <c r="AC729" s="1614"/>
      <c r="AD729" s="1615"/>
      <c r="AE729" s="1615"/>
      <c r="AF729" s="1615"/>
      <c r="AG729" s="1616"/>
      <c r="AH729" s="1361" t="str">
        <f t="shared" si="37"/>
        <v/>
      </c>
      <c r="AI729" s="1362"/>
      <c r="AJ729" s="1363"/>
      <c r="AK729" s="1355" t="s">
        <v>592</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8"/>
        <v>0</v>
      </c>
      <c r="CH729" s="1353"/>
      <c r="CI729" s="1335">
        <f t="shared" si="39"/>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5"/>
      <c r="L730" s="1606"/>
      <c r="M730" s="1606"/>
      <c r="N730" s="1607"/>
      <c r="O730" s="1470"/>
      <c r="P730" s="1471"/>
      <c r="Q730" s="1471"/>
      <c r="R730" s="1471"/>
      <c r="S730" s="1472"/>
      <c r="T730" s="1470"/>
      <c r="U730" s="1471"/>
      <c r="V730" s="1471"/>
      <c r="W730" s="1472"/>
      <c r="X730" s="1358">
        <f t="shared" si="8"/>
        <v>0</v>
      </c>
      <c r="Y730" s="1359"/>
      <c r="Z730" s="1359"/>
      <c r="AA730" s="1359"/>
      <c r="AB730" s="1360"/>
      <c r="AC730" s="1614"/>
      <c r="AD730" s="1615"/>
      <c r="AE730" s="1615"/>
      <c r="AF730" s="1615"/>
      <c r="AG730" s="1616"/>
      <c r="AH730" s="1361" t="str">
        <f t="shared" si="37"/>
        <v/>
      </c>
      <c r="AI730" s="1362"/>
      <c r="AJ730" s="1363"/>
      <c r="AK730" s="1355" t="s">
        <v>592</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8"/>
        <v>0</v>
      </c>
      <c r="CH730" s="1353"/>
      <c r="CI730" s="1335">
        <f t="shared" si="39"/>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5"/>
      <c r="L731" s="1606"/>
      <c r="M731" s="1606"/>
      <c r="N731" s="1607"/>
      <c r="O731" s="1470"/>
      <c r="P731" s="1471"/>
      <c r="Q731" s="1471"/>
      <c r="R731" s="1471"/>
      <c r="S731" s="1472"/>
      <c r="T731" s="1470"/>
      <c r="U731" s="1471"/>
      <c r="V731" s="1471"/>
      <c r="W731" s="1472"/>
      <c r="X731" s="1358">
        <f t="shared" si="8"/>
        <v>0</v>
      </c>
      <c r="Y731" s="1359"/>
      <c r="Z731" s="1359"/>
      <c r="AA731" s="1359"/>
      <c r="AB731" s="1360"/>
      <c r="AC731" s="1614"/>
      <c r="AD731" s="1615"/>
      <c r="AE731" s="1615"/>
      <c r="AF731" s="1615"/>
      <c r="AG731" s="1616"/>
      <c r="AH731" s="1361" t="str">
        <f t="shared" si="37"/>
        <v/>
      </c>
      <c r="AI731" s="1362"/>
      <c r="AJ731" s="1363"/>
      <c r="AK731" s="1355" t="s">
        <v>592</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8"/>
        <v>0</v>
      </c>
      <c r="CH731" s="1353"/>
      <c r="CI731" s="1335">
        <f t="shared" si="39"/>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5"/>
      <c r="L732" s="1606"/>
      <c r="M732" s="1606"/>
      <c r="N732" s="1607"/>
      <c r="O732" s="1470"/>
      <c r="P732" s="1471"/>
      <c r="Q732" s="1471"/>
      <c r="R732" s="1471"/>
      <c r="S732" s="1472"/>
      <c r="T732" s="1470"/>
      <c r="U732" s="1471"/>
      <c r="V732" s="1471"/>
      <c r="W732" s="1472"/>
      <c r="X732" s="1358">
        <f t="shared" si="8"/>
        <v>0</v>
      </c>
      <c r="Y732" s="1359"/>
      <c r="Z732" s="1359"/>
      <c r="AA732" s="1359"/>
      <c r="AB732" s="1360"/>
      <c r="AC732" s="1614"/>
      <c r="AD732" s="1615"/>
      <c r="AE732" s="1615"/>
      <c r="AF732" s="1615"/>
      <c r="AG732" s="1616"/>
      <c r="AH732" s="1361" t="str">
        <f t="shared" si="37"/>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8"/>
        <v>0</v>
      </c>
      <c r="CH732" s="1353"/>
      <c r="CI732" s="1335">
        <f t="shared" si="39"/>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5"/>
      <c r="L733" s="1606"/>
      <c r="M733" s="1606"/>
      <c r="N733" s="1607"/>
      <c r="O733" s="1470"/>
      <c r="P733" s="1471"/>
      <c r="Q733" s="1471"/>
      <c r="R733" s="1471"/>
      <c r="S733" s="1472"/>
      <c r="T733" s="1470"/>
      <c r="U733" s="1471"/>
      <c r="V733" s="1471"/>
      <c r="W733" s="1472"/>
      <c r="X733" s="1358">
        <f t="shared" si="8"/>
        <v>0</v>
      </c>
      <c r="Y733" s="1359"/>
      <c r="Z733" s="1359"/>
      <c r="AA733" s="1359"/>
      <c r="AB733" s="1360"/>
      <c r="AC733" s="1614"/>
      <c r="AD733" s="1615"/>
      <c r="AE733" s="1615"/>
      <c r="AF733" s="1615"/>
      <c r="AG733" s="1616"/>
      <c r="AH733" s="1361" t="str">
        <f t="shared" si="37"/>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8"/>
        <v>0</v>
      </c>
      <c r="CH733" s="1353"/>
      <c r="CI733" s="1335">
        <f t="shared" si="39"/>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5"/>
      <c r="L734" s="1606"/>
      <c r="M734" s="1606"/>
      <c r="N734" s="1607"/>
      <c r="O734" s="1470"/>
      <c r="P734" s="1471"/>
      <c r="Q734" s="1471"/>
      <c r="R734" s="1471"/>
      <c r="S734" s="1472"/>
      <c r="T734" s="1470"/>
      <c r="U734" s="1471"/>
      <c r="V734" s="1471"/>
      <c r="W734" s="1472"/>
      <c r="X734" s="1358">
        <f t="shared" si="8"/>
        <v>0</v>
      </c>
      <c r="Y734" s="1359"/>
      <c r="Z734" s="1359"/>
      <c r="AA734" s="1359"/>
      <c r="AB734" s="1360"/>
      <c r="AC734" s="1614"/>
      <c r="AD734" s="1615"/>
      <c r="AE734" s="1615"/>
      <c r="AF734" s="1615"/>
      <c r="AG734" s="1616"/>
      <c r="AH734" s="1361" t="str">
        <f t="shared" si="37"/>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8"/>
        <v>0</v>
      </c>
      <c r="CH734" s="1353"/>
      <c r="CI734" s="1335">
        <f t="shared" si="39"/>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5"/>
      <c r="L735" s="1606"/>
      <c r="M735" s="1606"/>
      <c r="N735" s="1607"/>
      <c r="O735" s="1470"/>
      <c r="P735" s="1471"/>
      <c r="Q735" s="1471"/>
      <c r="R735" s="1471"/>
      <c r="S735" s="1472"/>
      <c r="T735" s="1470"/>
      <c r="U735" s="1471"/>
      <c r="V735" s="1471"/>
      <c r="W735" s="1472"/>
      <c r="X735" s="1358">
        <f t="shared" si="8"/>
        <v>0</v>
      </c>
      <c r="Y735" s="1359"/>
      <c r="Z735" s="1359"/>
      <c r="AA735" s="1359"/>
      <c r="AB735" s="1360"/>
      <c r="AC735" s="1614"/>
      <c r="AD735" s="1615"/>
      <c r="AE735" s="1615"/>
      <c r="AF735" s="1615"/>
      <c r="AG735" s="1616"/>
      <c r="AH735" s="1361" t="str">
        <f t="shared" si="37"/>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8"/>
        <v>0</v>
      </c>
      <c r="CH735" s="1353"/>
      <c r="CI735" s="1335">
        <f t="shared" si="39"/>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5"/>
      <c r="L736" s="1606"/>
      <c r="M736" s="1606"/>
      <c r="N736" s="1607"/>
      <c r="O736" s="1470"/>
      <c r="P736" s="1471"/>
      <c r="Q736" s="1471"/>
      <c r="R736" s="1471"/>
      <c r="S736" s="1472"/>
      <c r="T736" s="1470"/>
      <c r="U736" s="1471"/>
      <c r="V736" s="1471"/>
      <c r="W736" s="1472"/>
      <c r="X736" s="1358">
        <f t="shared" si="8"/>
        <v>0</v>
      </c>
      <c r="Y736" s="1359"/>
      <c r="Z736" s="1359"/>
      <c r="AA736" s="1359"/>
      <c r="AB736" s="1360"/>
      <c r="AC736" s="1614"/>
      <c r="AD736" s="1615"/>
      <c r="AE736" s="1615"/>
      <c r="AF736" s="1615"/>
      <c r="AG736" s="1616"/>
      <c r="AH736" s="1361" t="str">
        <f t="shared" si="37"/>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8"/>
        <v>0</v>
      </c>
      <c r="CH736" s="1353"/>
      <c r="CI736" s="1335">
        <f t="shared" si="39"/>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5"/>
      <c r="L737" s="1606"/>
      <c r="M737" s="1606"/>
      <c r="N737" s="1607"/>
      <c r="O737" s="1470"/>
      <c r="P737" s="1471"/>
      <c r="Q737" s="1471"/>
      <c r="R737" s="1471"/>
      <c r="S737" s="1472"/>
      <c r="T737" s="1470"/>
      <c r="U737" s="1471"/>
      <c r="V737" s="1471"/>
      <c r="W737" s="1472"/>
      <c r="X737" s="1358">
        <f t="shared" si="8"/>
        <v>0</v>
      </c>
      <c r="Y737" s="1359"/>
      <c r="Z737" s="1359"/>
      <c r="AA737" s="1359"/>
      <c r="AB737" s="1360"/>
      <c r="AC737" s="1614"/>
      <c r="AD737" s="1615"/>
      <c r="AE737" s="1615"/>
      <c r="AF737" s="1615"/>
      <c r="AG737" s="1616"/>
      <c r="AH737" s="1361" t="str">
        <f t="shared" si="37"/>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8"/>
        <v>0</v>
      </c>
      <c r="CH737" s="1353"/>
      <c r="CI737" s="1335">
        <f t="shared" si="39"/>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5"/>
      <c r="L738" s="1606"/>
      <c r="M738" s="1606"/>
      <c r="N738" s="1607"/>
      <c r="O738" s="1470"/>
      <c r="P738" s="1471"/>
      <c r="Q738" s="1471"/>
      <c r="R738" s="1471"/>
      <c r="S738" s="1472"/>
      <c r="T738" s="1470"/>
      <c r="U738" s="1471"/>
      <c r="V738" s="1471"/>
      <c r="W738" s="1472"/>
      <c r="X738" s="1358">
        <f t="shared" si="8"/>
        <v>0</v>
      </c>
      <c r="Y738" s="1359"/>
      <c r="Z738" s="1359"/>
      <c r="AA738" s="1359"/>
      <c r="AB738" s="1360"/>
      <c r="AC738" s="1614"/>
      <c r="AD738" s="1615"/>
      <c r="AE738" s="1615"/>
      <c r="AF738" s="1615"/>
      <c r="AG738" s="1616"/>
      <c r="AH738" s="1361" t="str">
        <f t="shared" si="37"/>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8"/>
        <v>0</v>
      </c>
      <c r="CH738" s="1353"/>
      <c r="CI738" s="1335">
        <f t="shared" si="39"/>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5"/>
      <c r="L739" s="1606"/>
      <c r="M739" s="1606"/>
      <c r="N739" s="1607"/>
      <c r="O739" s="1470"/>
      <c r="P739" s="1471"/>
      <c r="Q739" s="1471"/>
      <c r="R739" s="1471"/>
      <c r="S739" s="1472"/>
      <c r="T739" s="1470"/>
      <c r="U739" s="1471"/>
      <c r="V739" s="1471"/>
      <c r="W739" s="1472"/>
      <c r="X739" s="1358">
        <f t="shared" si="8"/>
        <v>0</v>
      </c>
      <c r="Y739" s="1359"/>
      <c r="Z739" s="1359"/>
      <c r="AA739" s="1359"/>
      <c r="AB739" s="1360"/>
      <c r="AC739" s="1614"/>
      <c r="AD739" s="1615"/>
      <c r="AE739" s="1615"/>
      <c r="AF739" s="1615"/>
      <c r="AG739" s="1616"/>
      <c r="AH739" s="1361" t="str">
        <f t="shared" si="37"/>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8"/>
        <v>0</v>
      </c>
      <c r="CH739" s="1353"/>
      <c r="CI739" s="1335">
        <f t="shared" si="39"/>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5"/>
      <c r="L740" s="1606"/>
      <c r="M740" s="1606"/>
      <c r="N740" s="1607"/>
      <c r="O740" s="1470"/>
      <c r="P740" s="1471"/>
      <c r="Q740" s="1471"/>
      <c r="R740" s="1471"/>
      <c r="S740" s="1472"/>
      <c r="T740" s="1470"/>
      <c r="U740" s="1471"/>
      <c r="V740" s="1471"/>
      <c r="W740" s="1472"/>
      <c r="X740" s="1358">
        <f t="shared" si="8"/>
        <v>0</v>
      </c>
      <c r="Y740" s="1359"/>
      <c r="Z740" s="1359"/>
      <c r="AA740" s="1359"/>
      <c r="AB740" s="1360"/>
      <c r="AC740" s="1614"/>
      <c r="AD740" s="1615"/>
      <c r="AE740" s="1615"/>
      <c r="AF740" s="1615"/>
      <c r="AG740" s="1616"/>
      <c r="AH740" s="1361" t="str">
        <f t="shared" si="37"/>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8"/>
        <v>0</v>
      </c>
      <c r="CH740" s="1353"/>
      <c r="CI740" s="1335">
        <f t="shared" si="39"/>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5"/>
      <c r="L741" s="1606"/>
      <c r="M741" s="1606"/>
      <c r="N741" s="1607"/>
      <c r="O741" s="1470"/>
      <c r="P741" s="1471"/>
      <c r="Q741" s="1471"/>
      <c r="R741" s="1471"/>
      <c r="S741" s="1472"/>
      <c r="T741" s="1470"/>
      <c r="U741" s="1471"/>
      <c r="V741" s="1471"/>
      <c r="W741" s="1472"/>
      <c r="X741" s="1358">
        <f t="shared" si="8"/>
        <v>0</v>
      </c>
      <c r="Y741" s="1359"/>
      <c r="Z741" s="1359"/>
      <c r="AA741" s="1359"/>
      <c r="AB741" s="1360"/>
      <c r="AC741" s="1614"/>
      <c r="AD741" s="1615"/>
      <c r="AE741" s="1615"/>
      <c r="AF741" s="1615"/>
      <c r="AG741" s="1616"/>
      <c r="AH741" s="1361" t="str">
        <f t="shared" si="37"/>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8"/>
        <v>0</v>
      </c>
      <c r="CH741" s="1353"/>
      <c r="CI741" s="1335">
        <f t="shared" si="39"/>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5"/>
      <c r="L742" s="1606"/>
      <c r="M742" s="1606"/>
      <c r="N742" s="1607"/>
      <c r="O742" s="1470"/>
      <c r="P742" s="1471"/>
      <c r="Q742" s="1471"/>
      <c r="R742" s="1471"/>
      <c r="S742" s="1472"/>
      <c r="T742" s="1470"/>
      <c r="U742" s="1471"/>
      <c r="V742" s="1471"/>
      <c r="W742" s="1472"/>
      <c r="X742" s="1358">
        <f t="shared" ref="X742:X751" si="42">O742+T742</f>
        <v>0</v>
      </c>
      <c r="Y742" s="1359"/>
      <c r="Z742" s="1359"/>
      <c r="AA742" s="1359"/>
      <c r="AB742" s="1360"/>
      <c r="AC742" s="1614"/>
      <c r="AD742" s="1615"/>
      <c r="AE742" s="1615"/>
      <c r="AF742" s="1615"/>
      <c r="AG742" s="1616"/>
      <c r="AH742" s="1361" t="str">
        <f t="shared" si="37"/>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8"/>
        <v>0</v>
      </c>
      <c r="CH742" s="1353"/>
      <c r="CI742" s="1335">
        <f t="shared" si="39"/>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5"/>
      <c r="L743" s="1606"/>
      <c r="M743" s="1606"/>
      <c r="N743" s="1607"/>
      <c r="O743" s="1470"/>
      <c r="P743" s="1471"/>
      <c r="Q743" s="1471"/>
      <c r="R743" s="1471"/>
      <c r="S743" s="1472"/>
      <c r="T743" s="1470"/>
      <c r="U743" s="1471"/>
      <c r="V743" s="1471"/>
      <c r="W743" s="1472"/>
      <c r="X743" s="1358">
        <f t="shared" si="42"/>
        <v>0</v>
      </c>
      <c r="Y743" s="1359"/>
      <c r="Z743" s="1359"/>
      <c r="AA743" s="1359"/>
      <c r="AB743" s="1360"/>
      <c r="AC743" s="1614"/>
      <c r="AD743" s="1615"/>
      <c r="AE743" s="1615"/>
      <c r="AF743" s="1615"/>
      <c r="AG743" s="1616"/>
      <c r="AH743" s="1361" t="str">
        <f t="shared" si="37"/>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8"/>
        <v>0</v>
      </c>
      <c r="CH743" s="1353"/>
      <c r="CI743" s="1335">
        <f t="shared" si="39"/>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5"/>
      <c r="L744" s="1606"/>
      <c r="M744" s="1606"/>
      <c r="N744" s="1607"/>
      <c r="O744" s="1470"/>
      <c r="P744" s="1471"/>
      <c r="Q744" s="1471"/>
      <c r="R744" s="1471"/>
      <c r="S744" s="1472"/>
      <c r="T744" s="1470"/>
      <c r="U744" s="1471"/>
      <c r="V744" s="1471"/>
      <c r="W744" s="1472"/>
      <c r="X744" s="1358">
        <f t="shared" si="42"/>
        <v>0</v>
      </c>
      <c r="Y744" s="1359"/>
      <c r="Z744" s="1359"/>
      <c r="AA744" s="1359"/>
      <c r="AB744" s="1360"/>
      <c r="AC744" s="1614"/>
      <c r="AD744" s="1615"/>
      <c r="AE744" s="1615"/>
      <c r="AF744" s="1615"/>
      <c r="AG744" s="1616"/>
      <c r="AH744" s="1361" t="str">
        <f t="shared" si="37"/>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8"/>
        <v>0</v>
      </c>
      <c r="CH744" s="1353"/>
      <c r="CI744" s="1335">
        <f t="shared" si="39"/>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5"/>
      <c r="L745" s="1606"/>
      <c r="M745" s="1606"/>
      <c r="N745" s="1607"/>
      <c r="O745" s="1470"/>
      <c r="P745" s="1471"/>
      <c r="Q745" s="1471"/>
      <c r="R745" s="1471"/>
      <c r="S745" s="1472"/>
      <c r="T745" s="1470"/>
      <c r="U745" s="1471"/>
      <c r="V745" s="1471"/>
      <c r="W745" s="1472"/>
      <c r="X745" s="1358">
        <f t="shared" si="42"/>
        <v>0</v>
      </c>
      <c r="Y745" s="1359"/>
      <c r="Z745" s="1359"/>
      <c r="AA745" s="1359"/>
      <c r="AB745" s="1360"/>
      <c r="AC745" s="1614"/>
      <c r="AD745" s="1615"/>
      <c r="AE745" s="1615"/>
      <c r="AF745" s="1615"/>
      <c r="AG745" s="1616"/>
      <c r="AH745" s="1361" t="str">
        <f t="shared" si="37"/>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8"/>
        <v>0</v>
      </c>
      <c r="CH745" s="1353"/>
      <c r="CI745" s="1335">
        <f t="shared" si="39"/>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5"/>
      <c r="L746" s="1606"/>
      <c r="M746" s="1606"/>
      <c r="N746" s="1607"/>
      <c r="O746" s="1470"/>
      <c r="P746" s="1471"/>
      <c r="Q746" s="1471"/>
      <c r="R746" s="1471"/>
      <c r="S746" s="1472"/>
      <c r="T746" s="1470"/>
      <c r="U746" s="1471"/>
      <c r="V746" s="1471"/>
      <c r="W746" s="1472"/>
      <c r="X746" s="1358">
        <f t="shared" si="42"/>
        <v>0</v>
      </c>
      <c r="Y746" s="1359"/>
      <c r="Z746" s="1359"/>
      <c r="AA746" s="1359"/>
      <c r="AB746" s="1360"/>
      <c r="AC746" s="1614"/>
      <c r="AD746" s="1615"/>
      <c r="AE746" s="1615"/>
      <c r="AF746" s="1615"/>
      <c r="AG746" s="1616"/>
      <c r="AH746" s="1361" t="str">
        <f t="shared" si="37"/>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8"/>
        <v>0</v>
      </c>
      <c r="CH746" s="1353"/>
      <c r="CI746" s="1335">
        <f t="shared" si="39"/>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5"/>
      <c r="L747" s="1606"/>
      <c r="M747" s="1606"/>
      <c r="N747" s="1607"/>
      <c r="O747" s="1470"/>
      <c r="P747" s="1471"/>
      <c r="Q747" s="1471"/>
      <c r="R747" s="1471"/>
      <c r="S747" s="1472"/>
      <c r="T747" s="1470"/>
      <c r="U747" s="1471"/>
      <c r="V747" s="1471"/>
      <c r="W747" s="1472"/>
      <c r="X747" s="1358">
        <f t="shared" si="42"/>
        <v>0</v>
      </c>
      <c r="Y747" s="1359"/>
      <c r="Z747" s="1359"/>
      <c r="AA747" s="1359"/>
      <c r="AB747" s="1360"/>
      <c r="AC747" s="1614"/>
      <c r="AD747" s="1615"/>
      <c r="AE747" s="1615"/>
      <c r="AF747" s="1615"/>
      <c r="AG747" s="1616"/>
      <c r="AH747" s="1361" t="str">
        <f t="shared" si="37"/>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8"/>
        <v>0</v>
      </c>
      <c r="CH747" s="1353"/>
      <c r="CI747" s="1335">
        <f t="shared" si="39"/>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5"/>
      <c r="L748" s="1606"/>
      <c r="M748" s="1606"/>
      <c r="N748" s="1607"/>
      <c r="O748" s="1470"/>
      <c r="P748" s="1471"/>
      <c r="Q748" s="1471"/>
      <c r="R748" s="1471"/>
      <c r="S748" s="1472"/>
      <c r="T748" s="1470"/>
      <c r="U748" s="1471"/>
      <c r="V748" s="1471"/>
      <c r="W748" s="1472"/>
      <c r="X748" s="1358">
        <f t="shared" si="42"/>
        <v>0</v>
      </c>
      <c r="Y748" s="1359"/>
      <c r="Z748" s="1359"/>
      <c r="AA748" s="1359"/>
      <c r="AB748" s="1360"/>
      <c r="AC748" s="1614"/>
      <c r="AD748" s="1615"/>
      <c r="AE748" s="1615"/>
      <c r="AF748" s="1615"/>
      <c r="AG748" s="1616"/>
      <c r="AH748" s="1361" t="str">
        <f t="shared" si="37"/>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8"/>
        <v>0</v>
      </c>
      <c r="CH748" s="1353"/>
      <c r="CI748" s="1335">
        <f t="shared" si="39"/>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5"/>
      <c r="L749" s="1606"/>
      <c r="M749" s="1606"/>
      <c r="N749" s="1607"/>
      <c r="O749" s="1470"/>
      <c r="P749" s="1471"/>
      <c r="Q749" s="1471"/>
      <c r="R749" s="1471"/>
      <c r="S749" s="1472"/>
      <c r="T749" s="1470"/>
      <c r="U749" s="1471"/>
      <c r="V749" s="1471"/>
      <c r="W749" s="1472"/>
      <c r="X749" s="1358">
        <f t="shared" si="42"/>
        <v>0</v>
      </c>
      <c r="Y749" s="1359"/>
      <c r="Z749" s="1359"/>
      <c r="AA749" s="1359"/>
      <c r="AB749" s="1360"/>
      <c r="AC749" s="1614"/>
      <c r="AD749" s="1615"/>
      <c r="AE749" s="1615"/>
      <c r="AF749" s="1615"/>
      <c r="AG749" s="1616"/>
      <c r="AH749" s="1361" t="str">
        <f t="shared" si="37"/>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8"/>
        <v>0</v>
      </c>
      <c r="CH749" s="1353"/>
      <c r="CI749" s="1335">
        <f t="shared" si="39"/>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5"/>
      <c r="L750" s="1606"/>
      <c r="M750" s="1606"/>
      <c r="N750" s="1607"/>
      <c r="O750" s="1470"/>
      <c r="P750" s="1471"/>
      <c r="Q750" s="1471"/>
      <c r="R750" s="1471"/>
      <c r="S750" s="1472"/>
      <c r="T750" s="1470"/>
      <c r="U750" s="1471"/>
      <c r="V750" s="1471"/>
      <c r="W750" s="1472"/>
      <c r="X750" s="1358">
        <f t="shared" si="42"/>
        <v>0</v>
      </c>
      <c r="Y750" s="1359"/>
      <c r="Z750" s="1359"/>
      <c r="AA750" s="1359"/>
      <c r="AB750" s="1360"/>
      <c r="AC750" s="1614"/>
      <c r="AD750" s="1615"/>
      <c r="AE750" s="1615"/>
      <c r="AF750" s="1615"/>
      <c r="AG750" s="1616"/>
      <c r="AH750" s="1361" t="str">
        <f t="shared" si="37"/>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8"/>
        <v>0</v>
      </c>
      <c r="CH750" s="1353"/>
      <c r="CI750" s="1335">
        <f t="shared" si="39"/>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5"/>
      <c r="L751" s="1606"/>
      <c r="M751" s="1606"/>
      <c r="N751" s="1607"/>
      <c r="O751" s="1470"/>
      <c r="P751" s="1471"/>
      <c r="Q751" s="1471"/>
      <c r="R751" s="1471"/>
      <c r="S751" s="1472"/>
      <c r="T751" s="1470"/>
      <c r="U751" s="1471"/>
      <c r="V751" s="1471"/>
      <c r="W751" s="1472"/>
      <c r="X751" s="1358">
        <f t="shared" si="42"/>
        <v>0</v>
      </c>
      <c r="Y751" s="1359"/>
      <c r="Z751" s="1359"/>
      <c r="AA751" s="1359"/>
      <c r="AB751" s="1360"/>
      <c r="AC751" s="1614"/>
      <c r="AD751" s="1615"/>
      <c r="AE751" s="1615"/>
      <c r="AF751" s="1615"/>
      <c r="AG751" s="1616"/>
      <c r="AH751" s="1361" t="str">
        <f t="shared" si="37"/>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8"/>
        <v>0</v>
      </c>
      <c r="CH751" s="1353"/>
      <c r="CI751" s="1335">
        <f t="shared" si="39"/>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5"/>
      <c r="L752" s="1606"/>
      <c r="M752" s="1606"/>
      <c r="N752" s="1607"/>
      <c r="O752" s="1470"/>
      <c r="P752" s="1471"/>
      <c r="Q752" s="1471"/>
      <c r="R752" s="1471"/>
      <c r="S752" s="1472"/>
      <c r="T752" s="1470"/>
      <c r="U752" s="1471"/>
      <c r="V752" s="1471"/>
      <c r="W752" s="1472"/>
      <c r="X752" s="1358">
        <f>O752+T752</f>
        <v>0</v>
      </c>
      <c r="Y752" s="1359"/>
      <c r="Z752" s="1359"/>
      <c r="AA752" s="1359"/>
      <c r="AB752" s="1360"/>
      <c r="AC752" s="1614"/>
      <c r="AD752" s="1615"/>
      <c r="AE752" s="1615"/>
      <c r="AF752" s="1615"/>
      <c r="AG752" s="1616"/>
      <c r="AH752" s="1361" t="str">
        <f t="shared" si="37"/>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8"/>
        <v>0</v>
      </c>
      <c r="CH752" s="1353"/>
      <c r="CI752" s="1335">
        <f t="shared" si="39"/>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19">
        <f>SUM(G718:G752)</f>
        <v>268</v>
      </c>
      <c r="H753" s="1720"/>
      <c r="I753" s="1720"/>
      <c r="J753" s="1721"/>
      <c r="K753" s="902" t="s">
        <v>124</v>
      </c>
      <c r="L753" s="5"/>
      <c r="M753" s="5"/>
      <c r="N753" s="46"/>
      <c r="O753" s="1358">
        <f>SUMPRODUCT(G718:G752,O718:O752)</f>
        <v>439211</v>
      </c>
      <c r="P753" s="1359"/>
      <c r="Q753" s="1359"/>
      <c r="R753" s="1359"/>
      <c r="S753" s="1360"/>
      <c r="T753"/>
      <c r="U753"/>
      <c r="V753"/>
      <c r="W753"/>
      <c r="X753" s="904" t="s">
        <v>901</v>
      </c>
      <c r="Y753" s="903"/>
      <c r="Z753" s="903"/>
      <c r="AA753" s="903"/>
      <c r="AB753" s="905"/>
      <c r="AC753" s="1618">
        <f>BH753</f>
        <v>0.57014925373134329</v>
      </c>
      <c r="AD753" s="1619"/>
      <c r="AE753" s="1619"/>
      <c r="AF753" s="1619"/>
      <c r="AG753" s="1620"/>
      <c r="AH753" s="1618">
        <f>IFERROR(BU753,"")</f>
        <v>0.57018058562151075</v>
      </c>
      <c r="AI753" s="1619"/>
      <c r="AJ753" s="1620"/>
      <c r="AK753"/>
      <c r="AL753"/>
      <c r="AM753"/>
      <c r="AN753"/>
      <c r="AO753"/>
      <c r="AP753" s="205"/>
      <c r="AQ753" s="205"/>
      <c r="AR753" s="205"/>
      <c r="AS753" s="205"/>
      <c r="AT753"/>
      <c r="AU753"/>
      <c r="AV753"/>
      <c r="AW753"/>
      <c r="AX753"/>
      <c r="AY753"/>
      <c r="AZ753" s="34"/>
      <c r="BA753" s="34"/>
      <c r="BB753" s="34"/>
      <c r="BC753" s="34"/>
      <c r="BE753" s="290" t="s">
        <v>900</v>
      </c>
      <c r="BF753" s="299">
        <f>SUM(BF718:BF752)</f>
        <v>268</v>
      </c>
      <c r="BG753" s="300">
        <f>SUM(BG718:BG752)</f>
        <v>1</v>
      </c>
      <c r="BH753" s="300">
        <f>SUM(BH718:BH752)</f>
        <v>0.57014925373134329</v>
      </c>
      <c r="BI753"/>
      <c r="BJ753"/>
      <c r="BK753"/>
      <c r="BL753"/>
      <c r="BO753"/>
      <c r="BP753"/>
      <c r="BQ753"/>
      <c r="BR753"/>
      <c r="BS753" s="859">
        <f>SUM(BS718:BS752)</f>
        <v>268</v>
      </c>
      <c r="BT753" s="300">
        <f>SUM(BT718:BT752)</f>
        <v>1</v>
      </c>
      <c r="BU753" s="300">
        <f>SUM(BU718:BU752)</f>
        <v>0.57018058562151075</v>
      </c>
      <c r="CI753" s="1351">
        <f>SUM(CI718:CJ752)</f>
        <v>43</v>
      </c>
      <c r="CJ753" s="1353"/>
      <c r="CM753" s="1351">
        <f>SUM(CM718:CN752)</f>
        <v>84</v>
      </c>
      <c r="CN753" s="1353"/>
      <c r="CP753" s="1351">
        <f>SUM(CP718:CT752)</f>
        <v>48</v>
      </c>
      <c r="CQ753" s="1352"/>
      <c r="CR753" s="1352"/>
      <c r="CS753" s="1352"/>
      <c r="CT753" s="1353"/>
      <c r="CU753" s="1367">
        <f>SUM(CU718:CY752)</f>
        <v>173</v>
      </c>
      <c r="CV753" s="1367"/>
      <c r="CW753" s="1367"/>
      <c r="CX753" s="1367"/>
      <c r="CY753" s="1367"/>
      <c r="CZ753" s="1367">
        <f>SUM(CZ718:DD752)</f>
        <v>47</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40</v>
      </c>
      <c r="DV753" s="1367"/>
      <c r="DW753" s="1367"/>
      <c r="DX753" s="1367"/>
      <c r="DY753" s="1367"/>
      <c r="DZ753" s="1367">
        <f>SUM(DZ718:ED752)</f>
        <v>39</v>
      </c>
      <c r="EA753" s="1367"/>
      <c r="EB753" s="1367"/>
      <c r="EC753" s="1367"/>
      <c r="ED753" s="1367"/>
      <c r="EE753" s="1367">
        <f>SUM(EE718:EI752)</f>
        <v>5</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3087</v>
      </c>
      <c r="FA753" s="1367"/>
      <c r="FB753" s="1367"/>
      <c r="FC753" s="1367"/>
      <c r="FD753" s="1367"/>
      <c r="FE753" s="1367">
        <f>SUM(FE718:FI752)</f>
        <v>8021</v>
      </c>
      <c r="FF753" s="1367"/>
      <c r="FG753" s="1367"/>
      <c r="FH753" s="1367"/>
      <c r="FI753" s="1367"/>
      <c r="FJ753" s="1367">
        <f>SUM(FJ718:FN752)</f>
        <v>5963.8</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3" t="s">
        <v>1894</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1861</v>
      </c>
      <c r="DO754" s="1351">
        <f>CP753+CU753+CZ753+DE753+DJ753+DO753</f>
        <v>268</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48</v>
      </c>
      <c r="CU755" s="3"/>
      <c r="CV755" s="3"/>
      <c r="CW755" s="3"/>
      <c r="CX755" s="3"/>
      <c r="CY755" s="861">
        <f>CU753*1</f>
        <v>173</v>
      </c>
      <c r="CZ755" s="3"/>
      <c r="DA755" s="3"/>
      <c r="DB755" s="3"/>
      <c r="DC755" s="3"/>
      <c r="DD755" s="861">
        <f>CZ753*2</f>
        <v>94</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315</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67">
        <f>DU755</f>
        <v>315</v>
      </c>
      <c r="P756" s="1367"/>
      <c r="Q756" s="1367"/>
      <c r="R756" s="1367"/>
      <c r="S756" s="969"/>
      <c r="T756" s="969"/>
      <c r="U756" s="118" t="s">
        <v>1893</v>
      </c>
      <c r="V756" s="1032"/>
      <c r="W756" s="1032"/>
      <c r="X756" s="1032"/>
      <c r="Y756" s="1033"/>
      <c r="Z756" s="1033"/>
      <c r="AA756" s="1033"/>
      <c r="AB756" s="1033"/>
      <c r="AC756" s="1032"/>
      <c r="AD756" s="1032"/>
      <c r="AE756" s="1032"/>
      <c r="AF756" s="1032"/>
      <c r="AG756" s="1715">
        <v>0</v>
      </c>
      <c r="AH756" s="1715"/>
      <c r="AI756" s="1715"/>
      <c r="AJ756" s="171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2" t="s">
        <v>592</v>
      </c>
      <c r="AE759" s="1722"/>
      <c r="AF759" s="172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6" t="s">
        <v>389</v>
      </c>
      <c r="K769" s="1497"/>
      <c r="L769" s="1497"/>
      <c r="M769" s="1497"/>
      <c r="N769" s="1498"/>
      <c r="O769" s="1603" t="s">
        <v>285</v>
      </c>
      <c r="P769" s="1603"/>
      <c r="Q769" s="1603"/>
      <c r="R769" s="1603"/>
      <c r="S769" s="1603"/>
      <c r="T769" s="1513" t="s">
        <v>1680</v>
      </c>
      <c r="U769" s="1514"/>
      <c r="V769" s="1514"/>
      <c r="W769" s="1515"/>
      <c r="X769" s="1496" t="s">
        <v>448</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9"/>
      <c r="K770" s="1500"/>
      <c r="L770" s="1500"/>
      <c r="M770" s="1500"/>
      <c r="N770" s="1501"/>
      <c r="O770" s="1603"/>
      <c r="P770" s="1603"/>
      <c r="Q770" s="1603"/>
      <c r="R770" s="1603"/>
      <c r="S770" s="1603"/>
      <c r="T770" s="1516"/>
      <c r="U770" s="1517"/>
      <c r="V770" s="1517"/>
      <c r="W770" s="1518"/>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9"/>
      <c r="K771" s="1500"/>
      <c r="L771" s="1500"/>
      <c r="M771" s="1500"/>
      <c r="N771" s="1501"/>
      <c r="O771" s="1603"/>
      <c r="P771" s="1603"/>
      <c r="Q771" s="1603"/>
      <c r="R771" s="1603"/>
      <c r="S771" s="1603"/>
      <c r="T771" s="1516"/>
      <c r="U771" s="1517"/>
      <c r="V771" s="1517"/>
      <c r="W771" s="1518"/>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2"/>
      <c r="K772" s="1503"/>
      <c r="L772" s="1503"/>
      <c r="M772" s="1503"/>
      <c r="N772" s="1504"/>
      <c r="O772" s="1603"/>
      <c r="P772" s="1603"/>
      <c r="Q772" s="1603"/>
      <c r="R772" s="1603"/>
      <c r="S772" s="1603"/>
      <c r="T772" s="1611"/>
      <c r="U772" s="1612"/>
      <c r="V772" s="1612"/>
      <c r="W772" s="1613"/>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6">
        <v>3</v>
      </c>
      <c r="P773" s="1466"/>
      <c r="Q773" s="1466"/>
      <c r="R773" s="1466"/>
      <c r="S773" s="1466"/>
      <c r="T773" s="1605">
        <v>730</v>
      </c>
      <c r="U773" s="1606"/>
      <c r="V773" s="1606"/>
      <c r="W773" s="1607"/>
      <c r="X773" s="1470">
        <v>2670.4</v>
      </c>
      <c r="Y773" s="1471"/>
      <c r="Z773" s="1471"/>
      <c r="AA773" s="1471"/>
      <c r="AB773" s="1472"/>
      <c r="AC773" s="1358">
        <f>X773*O773</f>
        <v>8011.2000000000007</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3</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6"/>
      <c r="P774" s="1466"/>
      <c r="Q774" s="1466"/>
      <c r="R774" s="1466"/>
      <c r="S774" s="1466"/>
      <c r="T774" s="1605"/>
      <c r="U774" s="1606"/>
      <c r="V774" s="1606"/>
      <c r="W774" s="1607"/>
      <c r="X774" s="1470"/>
      <c r="Y774" s="1471"/>
      <c r="Z774" s="1471"/>
      <c r="AA774" s="1471"/>
      <c r="AB774" s="1472"/>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6"/>
      <c r="P775" s="1466"/>
      <c r="Q775" s="1466"/>
      <c r="R775" s="1466"/>
      <c r="S775" s="1466"/>
      <c r="T775" s="1605"/>
      <c r="U775" s="1606"/>
      <c r="V775" s="1606"/>
      <c r="W775" s="1607"/>
      <c r="X775" s="1470"/>
      <c r="Y775" s="1471"/>
      <c r="Z775" s="1471"/>
      <c r="AA775" s="1471"/>
      <c r="AB775" s="1472"/>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6"/>
      <c r="P776" s="1466"/>
      <c r="Q776" s="1466"/>
      <c r="R776" s="1466"/>
      <c r="S776" s="1466"/>
      <c r="T776" s="1605"/>
      <c r="U776" s="1606"/>
      <c r="V776" s="1606"/>
      <c r="W776" s="1607"/>
      <c r="X776" s="1470"/>
      <c r="Y776" s="1471"/>
      <c r="Z776" s="1471"/>
      <c r="AA776" s="1471"/>
      <c r="AB776" s="1472"/>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3</v>
      </c>
      <c r="P777" s="1336"/>
      <c r="Q777" s="1336"/>
      <c r="R777" s="1336"/>
      <c r="S777" s="1337"/>
      <c r="X777" s="1408" t="s">
        <v>124</v>
      </c>
      <c r="Y777" s="1409"/>
      <c r="Z777" s="1409"/>
      <c r="AA777" s="1409"/>
      <c r="AB777" s="1411"/>
      <c r="AC777" s="1358">
        <f>SUM(AC773:AG776)</f>
        <v>8011.2000000000007</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3</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3</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6</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6</v>
      </c>
      <c r="DV778" s="57" t="s">
        <v>1862</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6" t="s">
        <v>389</v>
      </c>
      <c r="K783" s="1497"/>
      <c r="L783" s="1497"/>
      <c r="M783" s="1497"/>
      <c r="N783" s="1498"/>
      <c r="O783" s="1603" t="s">
        <v>285</v>
      </c>
      <c r="P783" s="1603"/>
      <c r="Q783" s="1603"/>
      <c r="R783" s="1603"/>
      <c r="S783" s="1603"/>
      <c r="T783" s="1513" t="s">
        <v>1680</v>
      </c>
      <c r="U783" s="1514"/>
      <c r="V783" s="1514"/>
      <c r="W783" s="1515"/>
      <c r="X783" s="1496" t="s">
        <v>448</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9"/>
      <c r="K784" s="1500"/>
      <c r="L784" s="1500"/>
      <c r="M784" s="1500"/>
      <c r="N784" s="1501"/>
      <c r="O784" s="1603"/>
      <c r="P784" s="1603"/>
      <c r="Q784" s="1603"/>
      <c r="R784" s="1603"/>
      <c r="S784" s="1603"/>
      <c r="T784" s="1516"/>
      <c r="U784" s="1517"/>
      <c r="V784" s="1517"/>
      <c r="W784" s="1518"/>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9"/>
      <c r="K785" s="1500"/>
      <c r="L785" s="1500"/>
      <c r="M785" s="1500"/>
      <c r="N785" s="1501"/>
      <c r="O785" s="1603"/>
      <c r="P785" s="1603"/>
      <c r="Q785" s="1603"/>
      <c r="R785" s="1603"/>
      <c r="S785" s="1603"/>
      <c r="T785" s="1516"/>
      <c r="U785" s="1517"/>
      <c r="V785" s="1517"/>
      <c r="W785" s="1518"/>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2"/>
      <c r="K786" s="1503"/>
      <c r="L786" s="1503"/>
      <c r="M786" s="1503"/>
      <c r="N786" s="1504"/>
      <c r="O786" s="1603"/>
      <c r="P786" s="1603"/>
      <c r="Q786" s="1603"/>
      <c r="R786" s="1603"/>
      <c r="S786" s="1603"/>
      <c r="T786" s="1611"/>
      <c r="U786" s="1612"/>
      <c r="V786" s="1612"/>
      <c r="W786" s="1613"/>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6"/>
      <c r="P787" s="1466"/>
      <c r="Q787" s="1466"/>
      <c r="R787" s="1466"/>
      <c r="S787" s="1466"/>
      <c r="T787" s="1605"/>
      <c r="U787" s="1606"/>
      <c r="V787" s="1606"/>
      <c r="W787" s="1607"/>
      <c r="X787" s="1470"/>
      <c r="Y787" s="1471"/>
      <c r="Z787" s="1471"/>
      <c r="AA787" s="1471"/>
      <c r="AB787" s="1472"/>
      <c r="AC787" s="1358">
        <f t="shared" ref="AC787:AC796" si="43">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4">IF(J787="SRO/Studio",O787,0)</f>
        <v>0</v>
      </c>
      <c r="CQ787" s="1333"/>
      <c r="CR787" s="1333"/>
      <c r="CS787" s="1333"/>
      <c r="CT787" s="1334"/>
      <c r="CU787" s="1332">
        <f t="shared" ref="CU787:CU796" si="45">IF(J787="1 Bedroom",O787,0)</f>
        <v>0</v>
      </c>
      <c r="CV787" s="1333"/>
      <c r="CW787" s="1333"/>
      <c r="CX787" s="1333"/>
      <c r="CY787" s="1334"/>
      <c r="CZ787" s="1332">
        <f t="shared" ref="CZ787:CZ796" si="46">IF(J787="2 Bedrooms",O787,0)</f>
        <v>0</v>
      </c>
      <c r="DA787" s="1333"/>
      <c r="DB787" s="1333"/>
      <c r="DC787" s="1333"/>
      <c r="DD787" s="1334"/>
      <c r="DE787" s="1332">
        <f t="shared" ref="DE787:DE796" si="47">IF(J787="3 Bedrooms",O787,0)</f>
        <v>0</v>
      </c>
      <c r="DF787" s="1333"/>
      <c r="DG787" s="1333"/>
      <c r="DH787" s="1333"/>
      <c r="DI787" s="1334"/>
      <c r="DJ787" s="1332">
        <f t="shared" ref="DJ787:DJ796" si="48">IF(J787="4 Bedrooms",O787,0)</f>
        <v>0</v>
      </c>
      <c r="DK787" s="1333"/>
      <c r="DL787" s="1333"/>
      <c r="DM787" s="1333"/>
      <c r="DN787" s="1334"/>
      <c r="DO787" s="1332">
        <f t="shared" ref="DO787:DO796" si="49">IF(J787="5 Bedrooms",O787,0)</f>
        <v>0</v>
      </c>
      <c r="DP787" s="1333"/>
      <c r="DQ787" s="1333"/>
      <c r="DR787" s="1333"/>
      <c r="DS787" s="1334"/>
      <c r="DT787" s="6"/>
      <c r="DU787" s="1332">
        <f t="shared" ref="DU787:DU796" si="50">IF(AND(CP787&gt;=1,AH787&gt;=0.1,AH787&lt;=1),O787,0)</f>
        <v>0</v>
      </c>
      <c r="DV787" s="1333"/>
      <c r="DW787" s="1333"/>
      <c r="DX787" s="1333"/>
      <c r="DY787" s="1334"/>
      <c r="DZ787" s="1332">
        <f t="shared" ref="DZ787:DZ796" si="51">IF(AND(CU787&gt;=1,AH787&gt;=0.1,AH787&lt;=1),O787,0)</f>
        <v>0</v>
      </c>
      <c r="EA787" s="1333"/>
      <c r="EB787" s="1333"/>
      <c r="EC787" s="1333"/>
      <c r="ED787" s="1334"/>
      <c r="EE787" s="1332">
        <f t="shared" ref="EE787:EE796" si="52">IF(AND(CZ787&gt;=1,AH787&gt;=0.1,AH787&lt;=1),O787,0)</f>
        <v>0</v>
      </c>
      <c r="EF787" s="1333"/>
      <c r="EG787" s="1333"/>
      <c r="EH787" s="1333"/>
      <c r="EI787" s="1334"/>
      <c r="EJ787" s="1332">
        <f t="shared" ref="EJ787:EJ796" si="53">IF(AND(DE787&gt;=1,AH787&gt;=0.1,AH787&lt;=1),O787,0)</f>
        <v>0</v>
      </c>
      <c r="EK787" s="1333"/>
      <c r="EL787" s="1333"/>
      <c r="EM787" s="1333"/>
      <c r="EN787" s="1334"/>
      <c r="EO787" s="1332">
        <f t="shared" ref="EO787:EO796" si="54">IF(AND(DJ787&gt;=1,AH787&gt;=0.1,AH787&lt;=1),O787,0)</f>
        <v>0</v>
      </c>
      <c r="EP787" s="1333"/>
      <c r="EQ787" s="1333"/>
      <c r="ER787" s="1333"/>
      <c r="ES787" s="1334"/>
      <c r="ET787" s="1332">
        <f t="shared" ref="ET787:ET796" si="55">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6"/>
      <c r="P788" s="1466"/>
      <c r="Q788" s="1466"/>
      <c r="R788" s="1466"/>
      <c r="S788" s="1466"/>
      <c r="T788" s="1605"/>
      <c r="U788" s="1606"/>
      <c r="V788" s="1606"/>
      <c r="W788" s="1607"/>
      <c r="X788" s="1470"/>
      <c r="Y788" s="1471"/>
      <c r="Z788" s="1471"/>
      <c r="AA788" s="1471"/>
      <c r="AB788" s="1472"/>
      <c r="AC788" s="1358">
        <f t="shared" si="43"/>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4"/>
        <v>0</v>
      </c>
      <c r="CQ788" s="1333"/>
      <c r="CR788" s="1333"/>
      <c r="CS788" s="1333"/>
      <c r="CT788" s="1334"/>
      <c r="CU788" s="1332">
        <f t="shared" si="45"/>
        <v>0</v>
      </c>
      <c r="CV788" s="1333"/>
      <c r="CW788" s="1333"/>
      <c r="CX788" s="1333"/>
      <c r="CY788" s="1334"/>
      <c r="CZ788" s="1332">
        <f t="shared" si="46"/>
        <v>0</v>
      </c>
      <c r="DA788" s="1333"/>
      <c r="DB788" s="1333"/>
      <c r="DC788" s="1333"/>
      <c r="DD788" s="1334"/>
      <c r="DE788" s="1332">
        <f t="shared" si="47"/>
        <v>0</v>
      </c>
      <c r="DF788" s="1333"/>
      <c r="DG788" s="1333"/>
      <c r="DH788" s="1333"/>
      <c r="DI788" s="1334"/>
      <c r="DJ788" s="1332">
        <f t="shared" si="48"/>
        <v>0</v>
      </c>
      <c r="DK788" s="1333"/>
      <c r="DL788" s="1333"/>
      <c r="DM788" s="1333"/>
      <c r="DN788" s="1334"/>
      <c r="DO788" s="1332">
        <f t="shared" si="49"/>
        <v>0</v>
      </c>
      <c r="DP788" s="1333"/>
      <c r="DQ788" s="1333"/>
      <c r="DR788" s="1333"/>
      <c r="DS788" s="1334"/>
      <c r="DT788" s="6"/>
      <c r="DU788" s="1332">
        <f t="shared" si="50"/>
        <v>0</v>
      </c>
      <c r="DV788" s="1333"/>
      <c r="DW788" s="1333"/>
      <c r="DX788" s="1333"/>
      <c r="DY788" s="1334"/>
      <c r="DZ788" s="1332">
        <f t="shared" si="51"/>
        <v>0</v>
      </c>
      <c r="EA788" s="1333"/>
      <c r="EB788" s="1333"/>
      <c r="EC788" s="1333"/>
      <c r="ED788" s="1334"/>
      <c r="EE788" s="1332">
        <f t="shared" si="52"/>
        <v>0</v>
      </c>
      <c r="EF788" s="1333"/>
      <c r="EG788" s="1333"/>
      <c r="EH788" s="1333"/>
      <c r="EI788" s="1334"/>
      <c r="EJ788" s="1332">
        <f t="shared" si="53"/>
        <v>0</v>
      </c>
      <c r="EK788" s="1333"/>
      <c r="EL788" s="1333"/>
      <c r="EM788" s="1333"/>
      <c r="EN788" s="1334"/>
      <c r="EO788" s="1332">
        <f t="shared" si="54"/>
        <v>0</v>
      </c>
      <c r="EP788" s="1333"/>
      <c r="EQ788" s="1333"/>
      <c r="ER788" s="1333"/>
      <c r="ES788" s="1334"/>
      <c r="ET788" s="1332">
        <f t="shared" si="55"/>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6"/>
      <c r="P789" s="1466"/>
      <c r="Q789" s="1466"/>
      <c r="R789" s="1466"/>
      <c r="S789" s="1466"/>
      <c r="T789" s="1605"/>
      <c r="U789" s="1606"/>
      <c r="V789" s="1606"/>
      <c r="W789" s="1607"/>
      <c r="X789" s="1470"/>
      <c r="Y789" s="1471"/>
      <c r="Z789" s="1471"/>
      <c r="AA789" s="1471"/>
      <c r="AB789" s="1472"/>
      <c r="AC789" s="1358">
        <f t="shared" si="43"/>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4"/>
        <v>0</v>
      </c>
      <c r="CQ789" s="1333"/>
      <c r="CR789" s="1333"/>
      <c r="CS789" s="1333"/>
      <c r="CT789" s="1334"/>
      <c r="CU789" s="1332">
        <f t="shared" si="45"/>
        <v>0</v>
      </c>
      <c r="CV789" s="1333"/>
      <c r="CW789" s="1333"/>
      <c r="CX789" s="1333"/>
      <c r="CY789" s="1334"/>
      <c r="CZ789" s="1332">
        <f t="shared" si="46"/>
        <v>0</v>
      </c>
      <c r="DA789" s="1333"/>
      <c r="DB789" s="1333"/>
      <c r="DC789" s="1333"/>
      <c r="DD789" s="1334"/>
      <c r="DE789" s="1332">
        <f t="shared" si="47"/>
        <v>0</v>
      </c>
      <c r="DF789" s="1333"/>
      <c r="DG789" s="1333"/>
      <c r="DH789" s="1333"/>
      <c r="DI789" s="1334"/>
      <c r="DJ789" s="1332">
        <f t="shared" si="48"/>
        <v>0</v>
      </c>
      <c r="DK789" s="1333"/>
      <c r="DL789" s="1333"/>
      <c r="DM789" s="1333"/>
      <c r="DN789" s="1334"/>
      <c r="DO789" s="1332">
        <f t="shared" si="49"/>
        <v>0</v>
      </c>
      <c r="DP789" s="1333"/>
      <c r="DQ789" s="1333"/>
      <c r="DR789" s="1333"/>
      <c r="DS789" s="1334"/>
      <c r="DT789" s="6"/>
      <c r="DU789" s="1332">
        <f t="shared" si="50"/>
        <v>0</v>
      </c>
      <c r="DV789" s="1333"/>
      <c r="DW789" s="1333"/>
      <c r="DX789" s="1333"/>
      <c r="DY789" s="1334"/>
      <c r="DZ789" s="1332">
        <f t="shared" si="51"/>
        <v>0</v>
      </c>
      <c r="EA789" s="1333"/>
      <c r="EB789" s="1333"/>
      <c r="EC789" s="1333"/>
      <c r="ED789" s="1334"/>
      <c r="EE789" s="1332">
        <f t="shared" si="52"/>
        <v>0</v>
      </c>
      <c r="EF789" s="1333"/>
      <c r="EG789" s="1333"/>
      <c r="EH789" s="1333"/>
      <c r="EI789" s="1334"/>
      <c r="EJ789" s="1332">
        <f t="shared" si="53"/>
        <v>0</v>
      </c>
      <c r="EK789" s="1333"/>
      <c r="EL789" s="1333"/>
      <c r="EM789" s="1333"/>
      <c r="EN789" s="1334"/>
      <c r="EO789" s="1332">
        <f t="shared" si="54"/>
        <v>0</v>
      </c>
      <c r="EP789" s="1333"/>
      <c r="EQ789" s="1333"/>
      <c r="ER789" s="1333"/>
      <c r="ES789" s="1334"/>
      <c r="ET789" s="1332">
        <f t="shared" si="55"/>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6"/>
      <c r="P790" s="1466"/>
      <c r="Q790" s="1466"/>
      <c r="R790" s="1466"/>
      <c r="S790" s="1466"/>
      <c r="T790" s="1605"/>
      <c r="U790" s="1606"/>
      <c r="V790" s="1606"/>
      <c r="W790" s="1607"/>
      <c r="X790" s="1470"/>
      <c r="Y790" s="1471"/>
      <c r="Z790" s="1471"/>
      <c r="AA790" s="1471"/>
      <c r="AB790" s="1472"/>
      <c r="AC790" s="1358">
        <f t="shared" si="43"/>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4"/>
        <v>0</v>
      </c>
      <c r="CQ790" s="1333"/>
      <c r="CR790" s="1333"/>
      <c r="CS790" s="1333"/>
      <c r="CT790" s="1334"/>
      <c r="CU790" s="1332">
        <f t="shared" si="45"/>
        <v>0</v>
      </c>
      <c r="CV790" s="1333"/>
      <c r="CW790" s="1333"/>
      <c r="CX790" s="1333"/>
      <c r="CY790" s="1334"/>
      <c r="CZ790" s="1332">
        <f t="shared" si="46"/>
        <v>0</v>
      </c>
      <c r="DA790" s="1333"/>
      <c r="DB790" s="1333"/>
      <c r="DC790" s="1333"/>
      <c r="DD790" s="1334"/>
      <c r="DE790" s="1332">
        <f t="shared" si="47"/>
        <v>0</v>
      </c>
      <c r="DF790" s="1333"/>
      <c r="DG790" s="1333"/>
      <c r="DH790" s="1333"/>
      <c r="DI790" s="1334"/>
      <c r="DJ790" s="1332">
        <f t="shared" si="48"/>
        <v>0</v>
      </c>
      <c r="DK790" s="1333"/>
      <c r="DL790" s="1333"/>
      <c r="DM790" s="1333"/>
      <c r="DN790" s="1334"/>
      <c r="DO790" s="1332">
        <f t="shared" si="49"/>
        <v>0</v>
      </c>
      <c r="DP790" s="1333"/>
      <c r="DQ790" s="1333"/>
      <c r="DR790" s="1333"/>
      <c r="DS790" s="1334"/>
      <c r="DT790" s="6"/>
      <c r="DU790" s="1332">
        <f t="shared" si="50"/>
        <v>0</v>
      </c>
      <c r="DV790" s="1333"/>
      <c r="DW790" s="1333"/>
      <c r="DX790" s="1333"/>
      <c r="DY790" s="1334"/>
      <c r="DZ790" s="1332">
        <f t="shared" si="51"/>
        <v>0</v>
      </c>
      <c r="EA790" s="1333"/>
      <c r="EB790" s="1333"/>
      <c r="EC790" s="1333"/>
      <c r="ED790" s="1334"/>
      <c r="EE790" s="1332">
        <f t="shared" si="52"/>
        <v>0</v>
      </c>
      <c r="EF790" s="1333"/>
      <c r="EG790" s="1333"/>
      <c r="EH790" s="1333"/>
      <c r="EI790" s="1334"/>
      <c r="EJ790" s="1332">
        <f t="shared" si="53"/>
        <v>0</v>
      </c>
      <c r="EK790" s="1333"/>
      <c r="EL790" s="1333"/>
      <c r="EM790" s="1333"/>
      <c r="EN790" s="1334"/>
      <c r="EO790" s="1332">
        <f t="shared" si="54"/>
        <v>0</v>
      </c>
      <c r="EP790" s="1333"/>
      <c r="EQ790" s="1333"/>
      <c r="ER790" s="1333"/>
      <c r="ES790" s="1334"/>
      <c r="ET790" s="1332">
        <f t="shared" si="55"/>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6"/>
      <c r="P791" s="1466"/>
      <c r="Q791" s="1466"/>
      <c r="R791" s="1466"/>
      <c r="S791" s="1466"/>
      <c r="T791" s="1605"/>
      <c r="U791" s="1606"/>
      <c r="V791" s="1606"/>
      <c r="W791" s="1607"/>
      <c r="X791" s="1470"/>
      <c r="Y791" s="1471"/>
      <c r="Z791" s="1471"/>
      <c r="AA791" s="1471"/>
      <c r="AB791" s="1472"/>
      <c r="AC791" s="1358">
        <f t="shared" si="43"/>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4"/>
        <v>0</v>
      </c>
      <c r="CQ791" s="1333"/>
      <c r="CR791" s="1333"/>
      <c r="CS791" s="1333"/>
      <c r="CT791" s="1334"/>
      <c r="CU791" s="1332">
        <f t="shared" si="45"/>
        <v>0</v>
      </c>
      <c r="CV791" s="1333"/>
      <c r="CW791" s="1333"/>
      <c r="CX791" s="1333"/>
      <c r="CY791" s="1334"/>
      <c r="CZ791" s="1332">
        <f t="shared" si="46"/>
        <v>0</v>
      </c>
      <c r="DA791" s="1333"/>
      <c r="DB791" s="1333"/>
      <c r="DC791" s="1333"/>
      <c r="DD791" s="1334"/>
      <c r="DE791" s="1332">
        <f t="shared" si="47"/>
        <v>0</v>
      </c>
      <c r="DF791" s="1333"/>
      <c r="DG791" s="1333"/>
      <c r="DH791" s="1333"/>
      <c r="DI791" s="1334"/>
      <c r="DJ791" s="1332">
        <f t="shared" si="48"/>
        <v>0</v>
      </c>
      <c r="DK791" s="1333"/>
      <c r="DL791" s="1333"/>
      <c r="DM791" s="1333"/>
      <c r="DN791" s="1334"/>
      <c r="DO791" s="1332">
        <f t="shared" si="49"/>
        <v>0</v>
      </c>
      <c r="DP791" s="1333"/>
      <c r="DQ791" s="1333"/>
      <c r="DR791" s="1333"/>
      <c r="DS791" s="1334"/>
      <c r="DT791" s="6"/>
      <c r="DU791" s="1332">
        <f t="shared" si="50"/>
        <v>0</v>
      </c>
      <c r="DV791" s="1333"/>
      <c r="DW791" s="1333"/>
      <c r="DX791" s="1333"/>
      <c r="DY791" s="1334"/>
      <c r="DZ791" s="1332">
        <f t="shared" si="51"/>
        <v>0</v>
      </c>
      <c r="EA791" s="1333"/>
      <c r="EB791" s="1333"/>
      <c r="EC791" s="1333"/>
      <c r="ED791" s="1334"/>
      <c r="EE791" s="1332">
        <f t="shared" si="52"/>
        <v>0</v>
      </c>
      <c r="EF791" s="1333"/>
      <c r="EG791" s="1333"/>
      <c r="EH791" s="1333"/>
      <c r="EI791" s="1334"/>
      <c r="EJ791" s="1332">
        <f t="shared" si="53"/>
        <v>0</v>
      </c>
      <c r="EK791" s="1333"/>
      <c r="EL791" s="1333"/>
      <c r="EM791" s="1333"/>
      <c r="EN791" s="1334"/>
      <c r="EO791" s="1332">
        <f t="shared" si="54"/>
        <v>0</v>
      </c>
      <c r="EP791" s="1333"/>
      <c r="EQ791" s="1333"/>
      <c r="ER791" s="1333"/>
      <c r="ES791" s="1334"/>
      <c r="ET791" s="1332">
        <f t="shared" si="55"/>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6"/>
      <c r="P792" s="1466"/>
      <c r="Q792" s="1466"/>
      <c r="R792" s="1466"/>
      <c r="S792" s="1466"/>
      <c r="T792" s="1605"/>
      <c r="U792" s="1606"/>
      <c r="V792" s="1606"/>
      <c r="W792" s="1607"/>
      <c r="X792" s="1470"/>
      <c r="Y792" s="1471"/>
      <c r="Z792" s="1471"/>
      <c r="AA792" s="1471"/>
      <c r="AB792" s="1472"/>
      <c r="AC792" s="1358">
        <f t="shared" si="43"/>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4"/>
        <v>0</v>
      </c>
      <c r="CQ792" s="1333"/>
      <c r="CR792" s="1333"/>
      <c r="CS792" s="1333"/>
      <c r="CT792" s="1334"/>
      <c r="CU792" s="1332">
        <f t="shared" si="45"/>
        <v>0</v>
      </c>
      <c r="CV792" s="1333"/>
      <c r="CW792" s="1333"/>
      <c r="CX792" s="1333"/>
      <c r="CY792" s="1334"/>
      <c r="CZ792" s="1332">
        <f t="shared" si="46"/>
        <v>0</v>
      </c>
      <c r="DA792" s="1333"/>
      <c r="DB792" s="1333"/>
      <c r="DC792" s="1333"/>
      <c r="DD792" s="1334"/>
      <c r="DE792" s="1332">
        <f t="shared" si="47"/>
        <v>0</v>
      </c>
      <c r="DF792" s="1333"/>
      <c r="DG792" s="1333"/>
      <c r="DH792" s="1333"/>
      <c r="DI792" s="1334"/>
      <c r="DJ792" s="1332">
        <f t="shared" si="48"/>
        <v>0</v>
      </c>
      <c r="DK792" s="1333"/>
      <c r="DL792" s="1333"/>
      <c r="DM792" s="1333"/>
      <c r="DN792" s="1334"/>
      <c r="DO792" s="1332">
        <f t="shared" si="49"/>
        <v>0</v>
      </c>
      <c r="DP792" s="1333"/>
      <c r="DQ792" s="1333"/>
      <c r="DR792" s="1333"/>
      <c r="DS792" s="1334"/>
      <c r="DT792" s="6"/>
      <c r="DU792" s="1332">
        <f t="shared" si="50"/>
        <v>0</v>
      </c>
      <c r="DV792" s="1333"/>
      <c r="DW792" s="1333"/>
      <c r="DX792" s="1333"/>
      <c r="DY792" s="1334"/>
      <c r="DZ792" s="1332">
        <f t="shared" si="51"/>
        <v>0</v>
      </c>
      <c r="EA792" s="1333"/>
      <c r="EB792" s="1333"/>
      <c r="EC792" s="1333"/>
      <c r="ED792" s="1334"/>
      <c r="EE792" s="1332">
        <f t="shared" si="52"/>
        <v>0</v>
      </c>
      <c r="EF792" s="1333"/>
      <c r="EG792" s="1333"/>
      <c r="EH792" s="1333"/>
      <c r="EI792" s="1334"/>
      <c r="EJ792" s="1332">
        <f t="shared" si="53"/>
        <v>0</v>
      </c>
      <c r="EK792" s="1333"/>
      <c r="EL792" s="1333"/>
      <c r="EM792" s="1333"/>
      <c r="EN792" s="1334"/>
      <c r="EO792" s="1332">
        <f t="shared" si="54"/>
        <v>0</v>
      </c>
      <c r="EP792" s="1333"/>
      <c r="EQ792" s="1333"/>
      <c r="ER792" s="1333"/>
      <c r="ES792" s="1334"/>
      <c r="ET792" s="1332">
        <f t="shared" si="55"/>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6"/>
      <c r="P793" s="1466"/>
      <c r="Q793" s="1466"/>
      <c r="R793" s="1466"/>
      <c r="S793" s="1466"/>
      <c r="T793" s="1605"/>
      <c r="U793" s="1606"/>
      <c r="V793" s="1606"/>
      <c r="W793" s="1607"/>
      <c r="X793" s="1470"/>
      <c r="Y793" s="1471"/>
      <c r="Z793" s="1471"/>
      <c r="AA793" s="1471"/>
      <c r="AB793" s="1472"/>
      <c r="AC793" s="1358">
        <f t="shared" si="43"/>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4"/>
        <v>0</v>
      </c>
      <c r="CQ793" s="1333"/>
      <c r="CR793" s="1333"/>
      <c r="CS793" s="1333"/>
      <c r="CT793" s="1334"/>
      <c r="CU793" s="1332">
        <f t="shared" si="45"/>
        <v>0</v>
      </c>
      <c r="CV793" s="1333"/>
      <c r="CW793" s="1333"/>
      <c r="CX793" s="1333"/>
      <c r="CY793" s="1334"/>
      <c r="CZ793" s="1332">
        <f t="shared" si="46"/>
        <v>0</v>
      </c>
      <c r="DA793" s="1333"/>
      <c r="DB793" s="1333"/>
      <c r="DC793" s="1333"/>
      <c r="DD793" s="1334"/>
      <c r="DE793" s="1332">
        <f t="shared" si="47"/>
        <v>0</v>
      </c>
      <c r="DF793" s="1333"/>
      <c r="DG793" s="1333"/>
      <c r="DH793" s="1333"/>
      <c r="DI793" s="1334"/>
      <c r="DJ793" s="1332">
        <f t="shared" si="48"/>
        <v>0</v>
      </c>
      <c r="DK793" s="1333"/>
      <c r="DL793" s="1333"/>
      <c r="DM793" s="1333"/>
      <c r="DN793" s="1334"/>
      <c r="DO793" s="1332">
        <f t="shared" si="49"/>
        <v>0</v>
      </c>
      <c r="DP793" s="1333"/>
      <c r="DQ793" s="1333"/>
      <c r="DR793" s="1333"/>
      <c r="DS793" s="1334"/>
      <c r="DT793" s="6"/>
      <c r="DU793" s="1332">
        <f t="shared" si="50"/>
        <v>0</v>
      </c>
      <c r="DV793" s="1333"/>
      <c r="DW793" s="1333"/>
      <c r="DX793" s="1333"/>
      <c r="DY793" s="1334"/>
      <c r="DZ793" s="1332">
        <f t="shared" si="51"/>
        <v>0</v>
      </c>
      <c r="EA793" s="1333"/>
      <c r="EB793" s="1333"/>
      <c r="EC793" s="1333"/>
      <c r="ED793" s="1334"/>
      <c r="EE793" s="1332">
        <f t="shared" si="52"/>
        <v>0</v>
      </c>
      <c r="EF793" s="1333"/>
      <c r="EG793" s="1333"/>
      <c r="EH793" s="1333"/>
      <c r="EI793" s="1334"/>
      <c r="EJ793" s="1332">
        <f t="shared" si="53"/>
        <v>0</v>
      </c>
      <c r="EK793" s="1333"/>
      <c r="EL793" s="1333"/>
      <c r="EM793" s="1333"/>
      <c r="EN793" s="1334"/>
      <c r="EO793" s="1332">
        <f t="shared" si="54"/>
        <v>0</v>
      </c>
      <c r="EP793" s="1333"/>
      <c r="EQ793" s="1333"/>
      <c r="ER793" s="1333"/>
      <c r="ES793" s="1334"/>
      <c r="ET793" s="1332">
        <f t="shared" si="55"/>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6"/>
      <c r="P794" s="1466"/>
      <c r="Q794" s="1466"/>
      <c r="R794" s="1466"/>
      <c r="S794" s="1466"/>
      <c r="T794" s="1605"/>
      <c r="U794" s="1606"/>
      <c r="V794" s="1606"/>
      <c r="W794" s="1607"/>
      <c r="X794" s="1470"/>
      <c r="Y794" s="1471"/>
      <c r="Z794" s="1471"/>
      <c r="AA794" s="1471"/>
      <c r="AB794" s="1472"/>
      <c r="AC794" s="1358">
        <f t="shared" si="43"/>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4"/>
        <v>0</v>
      </c>
      <c r="CQ794" s="1333"/>
      <c r="CR794" s="1333"/>
      <c r="CS794" s="1333"/>
      <c r="CT794" s="1334"/>
      <c r="CU794" s="1332">
        <f t="shared" si="45"/>
        <v>0</v>
      </c>
      <c r="CV794" s="1333"/>
      <c r="CW794" s="1333"/>
      <c r="CX794" s="1333"/>
      <c r="CY794" s="1334"/>
      <c r="CZ794" s="1332">
        <f t="shared" si="46"/>
        <v>0</v>
      </c>
      <c r="DA794" s="1333"/>
      <c r="DB794" s="1333"/>
      <c r="DC794" s="1333"/>
      <c r="DD794" s="1334"/>
      <c r="DE794" s="1332">
        <f t="shared" si="47"/>
        <v>0</v>
      </c>
      <c r="DF794" s="1333"/>
      <c r="DG794" s="1333"/>
      <c r="DH794" s="1333"/>
      <c r="DI794" s="1334"/>
      <c r="DJ794" s="1332">
        <f t="shared" si="48"/>
        <v>0</v>
      </c>
      <c r="DK794" s="1333"/>
      <c r="DL794" s="1333"/>
      <c r="DM794" s="1333"/>
      <c r="DN794" s="1334"/>
      <c r="DO794" s="1332">
        <f t="shared" si="49"/>
        <v>0</v>
      </c>
      <c r="DP794" s="1333"/>
      <c r="DQ794" s="1333"/>
      <c r="DR794" s="1333"/>
      <c r="DS794" s="1334"/>
      <c r="DT794" s="6"/>
      <c r="DU794" s="1332">
        <f t="shared" si="50"/>
        <v>0</v>
      </c>
      <c r="DV794" s="1333"/>
      <c r="DW794" s="1333"/>
      <c r="DX794" s="1333"/>
      <c r="DY794" s="1334"/>
      <c r="DZ794" s="1332">
        <f t="shared" si="51"/>
        <v>0</v>
      </c>
      <c r="EA794" s="1333"/>
      <c r="EB794" s="1333"/>
      <c r="EC794" s="1333"/>
      <c r="ED794" s="1334"/>
      <c r="EE794" s="1332">
        <f t="shared" si="52"/>
        <v>0</v>
      </c>
      <c r="EF794" s="1333"/>
      <c r="EG794" s="1333"/>
      <c r="EH794" s="1333"/>
      <c r="EI794" s="1334"/>
      <c r="EJ794" s="1332">
        <f t="shared" si="53"/>
        <v>0</v>
      </c>
      <c r="EK794" s="1333"/>
      <c r="EL794" s="1333"/>
      <c r="EM794" s="1333"/>
      <c r="EN794" s="1334"/>
      <c r="EO794" s="1332">
        <f t="shared" si="54"/>
        <v>0</v>
      </c>
      <c r="EP794" s="1333"/>
      <c r="EQ794" s="1333"/>
      <c r="ER794" s="1333"/>
      <c r="ES794" s="1334"/>
      <c r="ET794" s="1332">
        <f t="shared" si="55"/>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6"/>
      <c r="P795" s="1466"/>
      <c r="Q795" s="1466"/>
      <c r="R795" s="1466"/>
      <c r="S795" s="1466"/>
      <c r="T795" s="1605"/>
      <c r="U795" s="1606"/>
      <c r="V795" s="1606"/>
      <c r="W795" s="1607"/>
      <c r="X795" s="1470"/>
      <c r="Y795" s="1471"/>
      <c r="Z795" s="1471"/>
      <c r="AA795" s="1471"/>
      <c r="AB795" s="1472"/>
      <c r="AC795" s="1358">
        <f t="shared" si="43"/>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4"/>
        <v>0</v>
      </c>
      <c r="CQ795" s="1333"/>
      <c r="CR795" s="1333"/>
      <c r="CS795" s="1333"/>
      <c r="CT795" s="1334"/>
      <c r="CU795" s="1332">
        <f t="shared" si="45"/>
        <v>0</v>
      </c>
      <c r="CV795" s="1333"/>
      <c r="CW795" s="1333"/>
      <c r="CX795" s="1333"/>
      <c r="CY795" s="1334"/>
      <c r="CZ795" s="1332">
        <f t="shared" si="46"/>
        <v>0</v>
      </c>
      <c r="DA795" s="1333"/>
      <c r="DB795" s="1333"/>
      <c r="DC795" s="1333"/>
      <c r="DD795" s="1334"/>
      <c r="DE795" s="1332">
        <f t="shared" si="47"/>
        <v>0</v>
      </c>
      <c r="DF795" s="1333"/>
      <c r="DG795" s="1333"/>
      <c r="DH795" s="1333"/>
      <c r="DI795" s="1334"/>
      <c r="DJ795" s="1332">
        <f t="shared" si="48"/>
        <v>0</v>
      </c>
      <c r="DK795" s="1333"/>
      <c r="DL795" s="1333"/>
      <c r="DM795" s="1333"/>
      <c r="DN795" s="1334"/>
      <c r="DO795" s="1332">
        <f t="shared" si="49"/>
        <v>0</v>
      </c>
      <c r="DP795" s="1333"/>
      <c r="DQ795" s="1333"/>
      <c r="DR795" s="1333"/>
      <c r="DS795" s="1334"/>
      <c r="DT795" s="6"/>
      <c r="DU795" s="1332">
        <f t="shared" si="50"/>
        <v>0</v>
      </c>
      <c r="DV795" s="1333"/>
      <c r="DW795" s="1333"/>
      <c r="DX795" s="1333"/>
      <c r="DY795" s="1334"/>
      <c r="DZ795" s="1332">
        <f t="shared" si="51"/>
        <v>0</v>
      </c>
      <c r="EA795" s="1333"/>
      <c r="EB795" s="1333"/>
      <c r="EC795" s="1333"/>
      <c r="ED795" s="1334"/>
      <c r="EE795" s="1332">
        <f t="shared" si="52"/>
        <v>0</v>
      </c>
      <c r="EF795" s="1333"/>
      <c r="EG795" s="1333"/>
      <c r="EH795" s="1333"/>
      <c r="EI795" s="1334"/>
      <c r="EJ795" s="1332">
        <f t="shared" si="53"/>
        <v>0</v>
      </c>
      <c r="EK795" s="1333"/>
      <c r="EL795" s="1333"/>
      <c r="EM795" s="1333"/>
      <c r="EN795" s="1334"/>
      <c r="EO795" s="1332">
        <f t="shared" si="54"/>
        <v>0</v>
      </c>
      <c r="EP795" s="1333"/>
      <c r="EQ795" s="1333"/>
      <c r="ER795" s="1333"/>
      <c r="ES795" s="1334"/>
      <c r="ET795" s="1332">
        <f t="shared" si="55"/>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6"/>
      <c r="P796" s="1466"/>
      <c r="Q796" s="1466"/>
      <c r="R796" s="1466"/>
      <c r="S796" s="1466"/>
      <c r="T796" s="1605"/>
      <c r="U796" s="1606"/>
      <c r="V796" s="1606"/>
      <c r="W796" s="1607"/>
      <c r="X796" s="1470"/>
      <c r="Y796" s="1471"/>
      <c r="Z796" s="1471"/>
      <c r="AA796" s="1471"/>
      <c r="AB796" s="1472"/>
      <c r="AC796" s="1358">
        <f t="shared" si="43"/>
        <v>0</v>
      </c>
      <c r="AD796" s="1359"/>
      <c r="AE796" s="1359"/>
      <c r="AF796" s="1359"/>
      <c r="AG796" s="1360"/>
      <c r="AH796"/>
      <c r="AI796"/>
      <c r="AJ796"/>
      <c r="AK796"/>
      <c r="AL796"/>
      <c r="AM796"/>
      <c r="AN796"/>
      <c r="AO796"/>
      <c r="AP796"/>
      <c r="AQ796"/>
      <c r="AR796"/>
      <c r="AS796"/>
      <c r="AT796"/>
      <c r="AU796"/>
      <c r="AV796"/>
      <c r="AW796"/>
      <c r="AX796"/>
      <c r="AY796"/>
      <c r="AZ796" s="3"/>
      <c r="CP796" s="1332">
        <f t="shared" si="44"/>
        <v>0</v>
      </c>
      <c r="CQ796" s="1333"/>
      <c r="CR796" s="1333"/>
      <c r="CS796" s="1333"/>
      <c r="CT796" s="1334"/>
      <c r="CU796" s="1332">
        <f t="shared" si="45"/>
        <v>0</v>
      </c>
      <c r="CV796" s="1333"/>
      <c r="CW796" s="1333"/>
      <c r="CX796" s="1333"/>
      <c r="CY796" s="1334"/>
      <c r="CZ796" s="1332">
        <f t="shared" si="46"/>
        <v>0</v>
      </c>
      <c r="DA796" s="1333"/>
      <c r="DB796" s="1333"/>
      <c r="DC796" s="1333"/>
      <c r="DD796" s="1334"/>
      <c r="DE796" s="1332">
        <f t="shared" si="47"/>
        <v>0</v>
      </c>
      <c r="DF796" s="1333"/>
      <c r="DG796" s="1333"/>
      <c r="DH796" s="1333"/>
      <c r="DI796" s="1334"/>
      <c r="DJ796" s="1332">
        <f t="shared" si="48"/>
        <v>0</v>
      </c>
      <c r="DK796" s="1333"/>
      <c r="DL796" s="1333"/>
      <c r="DM796" s="1333"/>
      <c r="DN796" s="1334"/>
      <c r="DO796" s="1332">
        <f t="shared" si="49"/>
        <v>0</v>
      </c>
      <c r="DP796" s="1333"/>
      <c r="DQ796" s="1333"/>
      <c r="DR796" s="1333"/>
      <c r="DS796" s="1334"/>
      <c r="DT796" s="6"/>
      <c r="DU796" s="1332">
        <f t="shared" si="50"/>
        <v>0</v>
      </c>
      <c r="DV796" s="1333"/>
      <c r="DW796" s="1333"/>
      <c r="DX796" s="1333"/>
      <c r="DY796" s="1334"/>
      <c r="DZ796" s="1332">
        <f t="shared" si="51"/>
        <v>0</v>
      </c>
      <c r="EA796" s="1333"/>
      <c r="EB796" s="1333"/>
      <c r="EC796" s="1333"/>
      <c r="ED796" s="1334"/>
      <c r="EE796" s="1332">
        <f t="shared" si="52"/>
        <v>0</v>
      </c>
      <c r="EF796" s="1333"/>
      <c r="EG796" s="1333"/>
      <c r="EH796" s="1333"/>
      <c r="EI796" s="1334"/>
      <c r="EJ796" s="1332">
        <f t="shared" si="53"/>
        <v>0</v>
      </c>
      <c r="EK796" s="1333"/>
      <c r="EL796" s="1333"/>
      <c r="EM796" s="1333"/>
      <c r="EN796" s="1334"/>
      <c r="EO796" s="1332">
        <f t="shared" si="54"/>
        <v>0</v>
      </c>
      <c r="EP796" s="1333"/>
      <c r="EQ796" s="1333"/>
      <c r="ER796" s="1333"/>
      <c r="ES796" s="1334"/>
      <c r="ET796" s="1332">
        <f t="shared" si="55"/>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5">
        <f>SUM(O787:S796)</f>
        <v>0</v>
      </c>
      <c r="P797" s="1625"/>
      <c r="Q797" s="1625"/>
      <c r="R797" s="1625"/>
      <c r="S797" s="1625"/>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447222.2</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5366666.4000000004</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48</v>
      </c>
      <c r="CQ802" s="1349"/>
      <c r="CR802" s="1349"/>
      <c r="CS802" s="1349"/>
      <c r="CT802" s="1350"/>
      <c r="CU802" s="1348">
        <f>CU753+CU777+CU797</f>
        <v>173</v>
      </c>
      <c r="CV802" s="1349"/>
      <c r="CW802" s="1349"/>
      <c r="CX802" s="1349"/>
      <c r="CY802" s="1350"/>
      <c r="CZ802" s="1348">
        <f>CZ753+CZ777+CZ797</f>
        <v>50</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315</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4">
        <v>0</v>
      </c>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8" t="s">
        <v>2718</v>
      </c>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t="s">
        <v>2718</v>
      </c>
      <c r="AA808" s="1522"/>
      <c r="AB808" s="1522"/>
      <c r="AC808" s="1522"/>
      <c r="AD808" s="1522"/>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0</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117403</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v>90735</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3" t="s">
        <v>2719</v>
      </c>
      <c r="Q816" s="1644"/>
      <c r="R816" s="1644"/>
      <c r="S816" s="1644"/>
      <c r="T816" s="1644"/>
      <c r="U816" s="1644"/>
      <c r="V816" s="1644"/>
      <c r="W816" s="1644"/>
      <c r="X816" s="1644"/>
      <c r="Y816" s="1645"/>
      <c r="Z816" s="1477">
        <v>62862</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271000</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4">
        <f>Z817+Y801+Z809</f>
        <v>5637666.4000000004</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7" t="s">
        <v>126</v>
      </c>
      <c r="N823" s="1687"/>
      <c r="O823" s="1687"/>
      <c r="P823" s="1688"/>
      <c r="Q823" s="1622" t="s">
        <v>290</v>
      </c>
      <c r="R823" s="1622"/>
      <c r="S823" s="1622"/>
      <c r="T823" s="1622"/>
      <c r="U823" s="1622" t="s">
        <v>291</v>
      </c>
      <c r="V823" s="1622"/>
      <c r="W823" s="1622"/>
      <c r="X823" s="1622"/>
      <c r="Y823" s="1622" t="s">
        <v>292</v>
      </c>
      <c r="Z823" s="1622"/>
      <c r="AA823" s="1622"/>
      <c r="AB823" s="1622"/>
      <c r="AC823" s="1622" t="s">
        <v>361</v>
      </c>
      <c r="AD823" s="1622"/>
      <c r="AE823" s="1622"/>
      <c r="AF823" s="1622"/>
      <c r="AG823" s="1617" t="s">
        <v>335</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9"/>
      <c r="N824" s="1689"/>
      <c r="O824" s="1689"/>
      <c r="P824" s="1690"/>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4" t="s">
        <v>40</v>
      </c>
      <c r="D825" s="1485"/>
      <c r="E825" s="1485"/>
      <c r="F825" s="1485"/>
      <c r="G825" s="1485"/>
      <c r="H825" s="1485"/>
      <c r="I825" s="48"/>
      <c r="J825" s="48"/>
      <c r="K825" s="48"/>
      <c r="L825" s="49"/>
      <c r="M825" s="1601">
        <v>6</v>
      </c>
      <c r="N825" s="1601"/>
      <c r="O825" s="1601"/>
      <c r="P825" s="1601"/>
      <c r="Q825" s="1601">
        <v>8</v>
      </c>
      <c r="R825" s="1601"/>
      <c r="S825" s="1601"/>
      <c r="T825" s="1601"/>
      <c r="U825" s="1601">
        <v>11</v>
      </c>
      <c r="V825" s="1601"/>
      <c r="W825" s="1601"/>
      <c r="X825" s="1601"/>
      <c r="Y825" s="1601"/>
      <c r="Z825" s="1601"/>
      <c r="AA825" s="1601"/>
      <c r="AB825" s="1601"/>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6" t="s">
        <v>41</v>
      </c>
      <c r="D826" s="1441"/>
      <c r="E826" s="1441"/>
      <c r="F826" s="1441"/>
      <c r="G826" s="1441"/>
      <c r="H826" s="1441"/>
      <c r="I826" s="5"/>
      <c r="J826" s="5"/>
      <c r="K826" s="5"/>
      <c r="L826" s="46"/>
      <c r="M826" s="1601"/>
      <c r="N826" s="1601"/>
      <c r="O826" s="1601"/>
      <c r="P826" s="1601"/>
      <c r="Q826" s="1601"/>
      <c r="R826" s="1601"/>
      <c r="S826" s="1601"/>
      <c r="T826" s="1601"/>
      <c r="U826" s="1601"/>
      <c r="V826" s="1601"/>
      <c r="W826" s="1601"/>
      <c r="X826" s="1601"/>
      <c r="Y826" s="1601"/>
      <c r="Z826" s="1601"/>
      <c r="AA826" s="1601"/>
      <c r="AB826" s="1601"/>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6" t="s">
        <v>42</v>
      </c>
      <c r="D827" s="1441"/>
      <c r="E827" s="1441"/>
      <c r="F827" s="1441"/>
      <c r="G827" s="1441"/>
      <c r="H827" s="1441"/>
      <c r="I827" s="60"/>
      <c r="J827" s="60"/>
      <c r="K827" s="60"/>
      <c r="L827" s="61"/>
      <c r="M827" s="1601">
        <v>2</v>
      </c>
      <c r="N827" s="1601"/>
      <c r="O827" s="1601"/>
      <c r="P827" s="1601"/>
      <c r="Q827" s="1601">
        <v>3</v>
      </c>
      <c r="R827" s="1601"/>
      <c r="S827" s="1601"/>
      <c r="T827" s="1601"/>
      <c r="U827" s="1601">
        <v>4</v>
      </c>
      <c r="V827" s="1601"/>
      <c r="W827" s="1601"/>
      <c r="X827" s="1601"/>
      <c r="Y827" s="1601"/>
      <c r="Z827" s="1601"/>
      <c r="AA827" s="1601"/>
      <c r="AB827" s="1601"/>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6" t="s">
        <v>763</v>
      </c>
      <c r="D828" s="1441"/>
      <c r="E828" s="1441"/>
      <c r="F828" s="1441"/>
      <c r="G828" s="1441"/>
      <c r="H828" s="1441"/>
      <c r="I828" s="60"/>
      <c r="J828" s="60"/>
      <c r="K828" s="60"/>
      <c r="L828" s="61"/>
      <c r="M828" s="1601"/>
      <c r="N828" s="1601"/>
      <c r="O828" s="1601"/>
      <c r="P828" s="1601"/>
      <c r="Q828" s="1601"/>
      <c r="R828" s="1601"/>
      <c r="S828" s="1601"/>
      <c r="T828" s="1601"/>
      <c r="U828" s="1601"/>
      <c r="V828" s="1601"/>
      <c r="W828" s="1601"/>
      <c r="X828" s="1601"/>
      <c r="Y828" s="1601"/>
      <c r="Z828" s="1601"/>
      <c r="AA828" s="1601"/>
      <c r="AB828" s="1601"/>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6" t="s">
        <v>460</v>
      </c>
      <c r="D829" s="1441"/>
      <c r="E829" s="1441"/>
      <c r="F829" s="1441"/>
      <c r="G829" s="1441"/>
      <c r="H829" s="1441"/>
      <c r="I829" s="60"/>
      <c r="J829" s="60"/>
      <c r="K829" s="60"/>
      <c r="L829" s="61"/>
      <c r="M829" s="1601">
        <v>16</v>
      </c>
      <c r="N829" s="1601"/>
      <c r="O829" s="1601"/>
      <c r="P829" s="1601"/>
      <c r="Q829" s="1601">
        <v>22</v>
      </c>
      <c r="R829" s="1601"/>
      <c r="S829" s="1601"/>
      <c r="T829" s="1601"/>
      <c r="U829" s="1601">
        <v>28</v>
      </c>
      <c r="V829" s="1601"/>
      <c r="W829" s="1601"/>
      <c r="X829" s="1601"/>
      <c r="Y829" s="1601"/>
      <c r="Z829" s="1601"/>
      <c r="AA829" s="1601"/>
      <c r="AB829" s="1601"/>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2" t="s">
        <v>784</v>
      </c>
      <c r="D830" s="1441"/>
      <c r="E830" s="1441"/>
      <c r="F830" s="1441"/>
      <c r="G830" s="1441"/>
      <c r="H830" s="1441"/>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3" t="s">
        <v>2713</v>
      </c>
      <c r="G831" s="1644"/>
      <c r="H831" s="1644"/>
      <c r="I831" s="1644"/>
      <c r="J831" s="1644"/>
      <c r="K831" s="1644"/>
      <c r="L831" s="1644"/>
      <c r="M831" s="1601">
        <v>7</v>
      </c>
      <c r="N831" s="1601"/>
      <c r="O831" s="1601"/>
      <c r="P831" s="1601"/>
      <c r="Q831" s="1601">
        <v>10</v>
      </c>
      <c r="R831" s="1601"/>
      <c r="S831" s="1601"/>
      <c r="T831" s="1601"/>
      <c r="U831" s="1601">
        <v>13</v>
      </c>
      <c r="V831" s="1601"/>
      <c r="W831" s="1601"/>
      <c r="X831" s="1601"/>
      <c r="Y831" s="1601"/>
      <c r="Z831" s="1601"/>
      <c r="AA831" s="1601"/>
      <c r="AB831" s="1601"/>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50">
        <f>SUM(M825:P831)</f>
        <v>31</v>
      </c>
      <c r="N832" s="1650"/>
      <c r="O832" s="1650"/>
      <c r="P832" s="1650"/>
      <c r="Q832" s="1650">
        <f>SUM(Q825:T831)</f>
        <v>43</v>
      </c>
      <c r="R832" s="1650"/>
      <c r="S832" s="1650"/>
      <c r="T832" s="1650"/>
      <c r="U832" s="1650">
        <f>SUM(U825:X831)</f>
        <v>56</v>
      </c>
      <c r="V832" s="1650"/>
      <c r="W832" s="1650"/>
      <c r="X832" s="1650"/>
      <c r="Y832" s="1650">
        <f>SUM(Y825:AB831)</f>
        <v>0</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6" t="s">
        <v>2714</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9">
        <f>16612+10000</f>
        <v>26612</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9">
        <v>55089</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9">
        <v>44090</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9">
        <v>70650</v>
      </c>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2.95" customHeight="1">
      <c r="J846" s="45" t="s">
        <v>170</v>
      </c>
      <c r="K846" s="5"/>
      <c r="L846" s="5"/>
      <c r="M846" s="1643" t="s">
        <v>2720</v>
      </c>
      <c r="N846" s="1644"/>
      <c r="O846" s="1644"/>
      <c r="P846" s="1644"/>
      <c r="Q846" s="1644"/>
      <c r="R846" s="1644"/>
      <c r="S846" s="1644"/>
      <c r="T846" s="1644"/>
      <c r="U846" s="1644"/>
      <c r="V846" s="1645"/>
      <c r="W846" s="1639">
        <v>53474</v>
      </c>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4">
        <f>SUM(W842:W846)</f>
        <v>249915</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5"/>
      <c r="BH848" s="1635"/>
      <c r="BI848" s="1635"/>
      <c r="BJ848" s="1635"/>
      <c r="BK848" s="1635"/>
      <c r="BL848" s="1635"/>
    </row>
    <row r="849" spans="3:55" ht="12.95" customHeight="1">
      <c r="C849" s="2" t="s">
        <v>344</v>
      </c>
      <c r="J849" s="1408" t="s">
        <v>345</v>
      </c>
      <c r="K849" s="1409"/>
      <c r="L849" s="1409"/>
      <c r="M849" s="1409"/>
      <c r="N849" s="1409"/>
      <c r="O849" s="1409"/>
      <c r="P849" s="1409"/>
      <c r="Q849" s="1409"/>
      <c r="R849" s="1409"/>
      <c r="S849" s="1409"/>
      <c r="T849" s="1409"/>
      <c r="U849" s="1409"/>
      <c r="V849" s="1411"/>
      <c r="W849" s="1477">
        <v>232033</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4"/>
      <c r="X851" s="1654"/>
      <c r="Y851" s="1654"/>
      <c r="Z851" s="1654"/>
      <c r="AA851" s="1654"/>
      <c r="AB851" s="1654"/>
      <c r="AC851" s="1654"/>
      <c r="AZ851" s="1621"/>
      <c r="BA851" s="1621"/>
      <c r="BB851" s="14"/>
      <c r="BC851" s="14"/>
    </row>
    <row r="852" spans="3:55" ht="12.95" customHeight="1">
      <c r="J852" s="45" t="s">
        <v>351</v>
      </c>
      <c r="K852" s="5"/>
      <c r="L852" s="5"/>
      <c r="M852" s="5"/>
      <c r="N852" s="5"/>
      <c r="O852" s="5"/>
      <c r="P852" s="5"/>
      <c r="Q852" s="5"/>
      <c r="R852" s="5"/>
      <c r="S852" s="5"/>
      <c r="T852" s="5"/>
      <c r="U852" s="5"/>
      <c r="V852" s="46"/>
      <c r="W852" s="1654"/>
      <c r="X852" s="1654"/>
      <c r="Y852" s="1654"/>
      <c r="Z852" s="1654"/>
      <c r="AA852" s="1654"/>
      <c r="AB852" s="1654"/>
      <c r="AC852" s="1654"/>
      <c r="AZ852" s="30"/>
      <c r="BA852" s="30"/>
      <c r="BB852" s="14"/>
      <c r="BC852" s="14"/>
    </row>
    <row r="853" spans="3:55" ht="12.95" customHeight="1">
      <c r="J853" s="45" t="s">
        <v>460</v>
      </c>
      <c r="K853" s="5"/>
      <c r="L853" s="5"/>
      <c r="M853" s="5"/>
      <c r="N853" s="5"/>
      <c r="O853" s="5"/>
      <c r="P853" s="5"/>
      <c r="Q853" s="5"/>
      <c r="R853" s="5"/>
      <c r="S853" s="5"/>
      <c r="T853" s="5"/>
      <c r="U853" s="5"/>
      <c r="V853" s="46"/>
      <c r="W853" s="1654">
        <f>104010+58567+20000</f>
        <v>182577</v>
      </c>
      <c r="X853" s="1654"/>
      <c r="Y853" s="1654"/>
      <c r="Z853" s="1654"/>
      <c r="AA853" s="1654"/>
      <c r="AB853" s="1654"/>
      <c r="AC853" s="1654"/>
      <c r="AZ853" s="30"/>
      <c r="BA853" s="30"/>
      <c r="BB853" s="14"/>
      <c r="BC853" s="14"/>
    </row>
    <row r="854" spans="3:55" ht="12.95" customHeight="1">
      <c r="J854" s="62" t="s">
        <v>621</v>
      </c>
      <c r="K854" s="5"/>
      <c r="L854" s="5"/>
      <c r="M854" s="5"/>
      <c r="N854" s="5"/>
      <c r="O854" s="5"/>
      <c r="P854" s="5"/>
      <c r="Q854" s="5"/>
      <c r="R854" s="5"/>
      <c r="S854" s="5"/>
      <c r="T854" s="5"/>
      <c r="U854" s="5"/>
      <c r="V854" s="46"/>
      <c r="W854" s="1654">
        <v>141848</v>
      </c>
      <c r="X854" s="1654"/>
      <c r="Y854" s="1654"/>
      <c r="Z854" s="1654"/>
      <c r="AA854" s="1654"/>
      <c r="AB854" s="1654"/>
      <c r="AC854" s="1654"/>
      <c r="AZ854" s="34"/>
      <c r="BA854" s="34"/>
      <c r="BB854" s="34"/>
      <c r="BC854" s="34"/>
    </row>
    <row r="855" spans="3:55" ht="12.95" customHeight="1">
      <c r="J855" s="63"/>
      <c r="K855" s="48"/>
      <c r="L855" s="48"/>
      <c r="M855" s="48"/>
      <c r="N855" s="48"/>
      <c r="O855" s="48"/>
      <c r="P855" s="48"/>
      <c r="Q855" s="48"/>
      <c r="R855" s="48"/>
      <c r="S855" s="48"/>
      <c r="T855" s="48"/>
      <c r="U855" s="48"/>
      <c r="V855" s="54" t="s">
        <v>272</v>
      </c>
      <c r="W855" s="1655">
        <f>SUM(W851:W854)</f>
        <v>324425</v>
      </c>
      <c r="X855" s="1655"/>
      <c r="Y855" s="1655"/>
      <c r="Z855" s="1655"/>
      <c r="AA855" s="1655"/>
      <c r="AB855" s="1655"/>
      <c r="AC855" s="165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1">
        <v>194218</v>
      </c>
      <c r="X857" s="1652"/>
      <c r="Y857" s="1652"/>
      <c r="Z857" s="1652"/>
      <c r="AA857" s="1652"/>
      <c r="AB857" s="1652"/>
      <c r="AC857" s="1653"/>
      <c r="AD857" s="528"/>
      <c r="AZ857" s="34"/>
      <c r="BA857" s="34"/>
      <c r="BB857" s="34"/>
      <c r="BC857" s="34"/>
    </row>
    <row r="858" spans="3:55" ht="12.95" customHeight="1">
      <c r="C858" s="2" t="s">
        <v>347</v>
      </c>
      <c r="J858" s="121" t="s">
        <v>1656</v>
      </c>
      <c r="K858" s="5"/>
      <c r="L858" s="5"/>
      <c r="M858" s="5"/>
      <c r="N858" s="5"/>
      <c r="O858" s="5"/>
      <c r="P858" s="5"/>
      <c r="Q858" s="5"/>
      <c r="R858" s="5"/>
      <c r="S858" s="5"/>
      <c r="T858" s="1637">
        <v>3</v>
      </c>
      <c r="U858" s="1600"/>
      <c r="V858" s="1638"/>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1">
        <v>162017</v>
      </c>
      <c r="X859" s="1652"/>
      <c r="Y859" s="1652"/>
      <c r="Z859" s="1652"/>
      <c r="AA859" s="1652"/>
      <c r="AB859" s="1652"/>
      <c r="AC859" s="1653"/>
      <c r="AD859" s="533"/>
      <c r="AZ859" s="34"/>
      <c r="BA859" s="34"/>
      <c r="BB859" s="34"/>
      <c r="BC859" s="34"/>
    </row>
    <row r="860" spans="3:55" ht="12.95" customHeight="1">
      <c r="C860" s="2"/>
      <c r="J860" s="121" t="s">
        <v>1657</v>
      </c>
      <c r="K860" s="5"/>
      <c r="L860" s="5"/>
      <c r="M860" s="5"/>
      <c r="N860" s="5"/>
      <c r="O860" s="5"/>
      <c r="P860" s="5"/>
      <c r="Q860" s="5"/>
      <c r="R860" s="5"/>
      <c r="S860" s="5"/>
      <c r="T860" s="1637">
        <v>0</v>
      </c>
      <c r="U860" s="1600"/>
      <c r="V860" s="1638"/>
      <c r="W860" s="874"/>
      <c r="X860" s="875"/>
      <c r="Y860" s="875"/>
      <c r="Z860" s="875"/>
      <c r="AA860" s="875"/>
      <c r="AB860" s="875"/>
      <c r="AC860" s="876"/>
      <c r="AD860" s="533"/>
      <c r="AZ860" s="34"/>
      <c r="BA860" s="34"/>
      <c r="BB860" s="34"/>
      <c r="BC860" s="34"/>
    </row>
    <row r="861" spans="3:55" ht="12.95" customHeight="1">
      <c r="J861" s="45" t="s">
        <v>170</v>
      </c>
      <c r="K861" s="5"/>
      <c r="L861" s="5"/>
      <c r="M861" s="1643" t="s">
        <v>2721</v>
      </c>
      <c r="N861" s="1644"/>
      <c r="O861" s="1644"/>
      <c r="P861" s="1644"/>
      <c r="Q861" s="1644"/>
      <c r="R861" s="1644"/>
      <c r="S861" s="1644"/>
      <c r="T861" s="1644"/>
      <c r="U861" s="1644"/>
      <c r="V861" s="1645"/>
      <c r="W861" s="1651">
        <v>88330</v>
      </c>
      <c r="X861" s="1652"/>
      <c r="Y861" s="1652"/>
      <c r="Z861" s="1652"/>
      <c r="AA861" s="1652"/>
      <c r="AB861" s="1652"/>
      <c r="AC861" s="165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0">
        <f>SUM(W857:W861)</f>
        <v>444565</v>
      </c>
      <c r="X862" s="1641"/>
      <c r="Y862" s="1641"/>
      <c r="Z862" s="1641"/>
      <c r="AA862" s="1641"/>
      <c r="AB862" s="1641"/>
      <c r="AC862" s="1642"/>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1">
        <v>174314</v>
      </c>
      <c r="X863" s="1652"/>
      <c r="Y863" s="1652"/>
      <c r="Z863" s="1652"/>
      <c r="AA863" s="1652"/>
      <c r="AB863" s="1652"/>
      <c r="AC863" s="165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9">
        <v>15445</v>
      </c>
      <c r="X865" s="1639"/>
      <c r="Y865" s="1639"/>
      <c r="Z865" s="1639"/>
      <c r="AA865" s="1639"/>
      <c r="AB865" s="1639"/>
      <c r="AC865" s="1639"/>
      <c r="AU865" s="14"/>
      <c r="AZ865" s="34"/>
      <c r="BA865" s="34"/>
      <c r="BB865" s="34"/>
      <c r="BC865" s="34"/>
    </row>
    <row r="866" spans="3:55" ht="12.95" customHeight="1">
      <c r="J866" s="45" t="s">
        <v>523</v>
      </c>
      <c r="K866" s="5"/>
      <c r="L866" s="5"/>
      <c r="M866" s="5"/>
      <c r="N866" s="5"/>
      <c r="O866" s="5"/>
      <c r="P866" s="5"/>
      <c r="Q866" s="5"/>
      <c r="R866" s="5"/>
      <c r="S866" s="5"/>
      <c r="T866" s="5"/>
      <c r="U866" s="5"/>
      <c r="V866" s="46"/>
      <c r="W866" s="1639">
        <f>45768+20930+10000</f>
        <v>76698</v>
      </c>
      <c r="X866" s="1639"/>
      <c r="Y866" s="1639"/>
      <c r="Z866" s="1639"/>
      <c r="AA866" s="1639"/>
      <c r="AB866" s="1639"/>
      <c r="AC866" s="1639"/>
      <c r="AU866" s="4"/>
      <c r="AZ866" s="34"/>
      <c r="BA866" s="34"/>
      <c r="BB866" s="34"/>
      <c r="BC866" s="34"/>
    </row>
    <row r="867" spans="3:55" ht="12.95" customHeight="1">
      <c r="J867" s="45" t="s">
        <v>522</v>
      </c>
      <c r="K867" s="5"/>
      <c r="L867" s="5"/>
      <c r="M867" s="5"/>
      <c r="N867" s="5"/>
      <c r="O867" s="5"/>
      <c r="P867" s="5"/>
      <c r="Q867" s="5"/>
      <c r="R867" s="5"/>
      <c r="S867" s="5"/>
      <c r="T867" s="5"/>
      <c r="U867" s="5"/>
      <c r="V867" s="46"/>
      <c r="W867" s="1639">
        <v>43487</v>
      </c>
      <c r="X867" s="1639"/>
      <c r="Y867" s="1639"/>
      <c r="Z867" s="1639"/>
      <c r="AA867" s="1639"/>
      <c r="AB867" s="1639"/>
      <c r="AC867" s="1639"/>
      <c r="AU867" s="4"/>
      <c r="AZ867" s="34"/>
      <c r="BA867" s="34"/>
      <c r="BB867" s="34"/>
      <c r="BC867" s="34"/>
    </row>
    <row r="868" spans="3:55" ht="12.95" customHeight="1">
      <c r="J868" s="45" t="s">
        <v>521</v>
      </c>
      <c r="K868" s="5"/>
      <c r="L868" s="5"/>
      <c r="M868" s="5"/>
      <c r="N868" s="5"/>
      <c r="O868" s="5"/>
      <c r="P868" s="5"/>
      <c r="Q868" s="5"/>
      <c r="R868" s="5"/>
      <c r="S868" s="5"/>
      <c r="T868" s="5"/>
      <c r="U868" s="5"/>
      <c r="V868" s="46"/>
      <c r="W868" s="1639">
        <v>30213</v>
      </c>
      <c r="X868" s="1639"/>
      <c r="Y868" s="1639"/>
      <c r="Z868" s="1639"/>
      <c r="AA868" s="1639"/>
      <c r="AB868" s="1639"/>
      <c r="AC868" s="1639"/>
      <c r="AU868" s="4"/>
      <c r="AZ868" s="34"/>
      <c r="BA868" s="34"/>
      <c r="BB868" s="34"/>
      <c r="BC868" s="34"/>
    </row>
    <row r="869" spans="3:55" ht="12.95" customHeight="1">
      <c r="J869" s="45" t="s">
        <v>520</v>
      </c>
      <c r="K869" s="5"/>
      <c r="L869" s="5"/>
      <c r="M869" s="5"/>
      <c r="N869" s="5"/>
      <c r="O869" s="5"/>
      <c r="P869" s="5"/>
      <c r="Q869" s="5"/>
      <c r="R869" s="5"/>
      <c r="S869" s="5"/>
      <c r="T869" s="5"/>
      <c r="U869" s="5"/>
      <c r="V869" s="46"/>
      <c r="W869" s="1639">
        <f>73474-30000</f>
        <v>43474</v>
      </c>
      <c r="X869" s="1639"/>
      <c r="Y869" s="1639"/>
      <c r="Z869" s="1639"/>
      <c r="AA869" s="1639"/>
      <c r="AB869" s="1639"/>
      <c r="AC869" s="1639"/>
      <c r="AU869" s="4"/>
      <c r="AZ869" s="34"/>
      <c r="BA869" s="34"/>
      <c r="BB869" s="34"/>
      <c r="BC869" s="34"/>
    </row>
    <row r="870" spans="3:55" ht="12.95" customHeight="1">
      <c r="J870" s="45" t="s">
        <v>519</v>
      </c>
      <c r="K870" s="5"/>
      <c r="L870" s="5"/>
      <c r="M870" s="5"/>
      <c r="N870" s="5"/>
      <c r="O870" s="5"/>
      <c r="P870" s="5"/>
      <c r="Q870" s="5"/>
      <c r="R870" s="5"/>
      <c r="S870" s="5"/>
      <c r="T870" s="5"/>
      <c r="U870" s="5"/>
      <c r="V870" s="46"/>
      <c r="W870" s="1639">
        <f>7412+13484</f>
        <v>20896</v>
      </c>
      <c r="X870" s="1639"/>
      <c r="Y870" s="1639"/>
      <c r="Z870" s="1639"/>
      <c r="AA870" s="1639"/>
      <c r="AB870" s="1639"/>
      <c r="AC870" s="1639"/>
      <c r="AU870" s="4"/>
      <c r="AZ870" s="34"/>
      <c r="BA870" s="34"/>
      <c r="BB870" s="34"/>
      <c r="BC870" s="34"/>
    </row>
    <row r="871" spans="3:55" ht="12.95" customHeight="1">
      <c r="J871" s="45" t="s">
        <v>170</v>
      </c>
      <c r="K871" s="5"/>
      <c r="L871" s="5"/>
      <c r="M871" s="1643" t="s">
        <v>2722</v>
      </c>
      <c r="N871" s="1644"/>
      <c r="O871" s="1644"/>
      <c r="P871" s="1644"/>
      <c r="Q871" s="1644"/>
      <c r="R871" s="1644"/>
      <c r="S871" s="1644"/>
      <c r="T871" s="1644"/>
      <c r="U871" s="1644"/>
      <c r="V871" s="1645"/>
      <c r="W871" s="1639">
        <v>51835</v>
      </c>
      <c r="X871" s="1639"/>
      <c r="Y871" s="1639"/>
      <c r="Z871" s="1639"/>
      <c r="AA871" s="1639"/>
      <c r="AB871" s="1639"/>
      <c r="AC871" s="1639"/>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2">
        <f>SUM(W865:W871)</f>
        <v>282048</v>
      </c>
      <c r="X872" s="1602"/>
      <c r="Y872" s="1602"/>
      <c r="Z872" s="1602"/>
      <c r="AA872" s="1602"/>
      <c r="AB872" s="1602"/>
      <c r="AC872" s="160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43" t="s">
        <v>334</v>
      </c>
      <c r="N874" s="1644"/>
      <c r="O874" s="1644"/>
      <c r="P874" s="1644"/>
      <c r="Q874" s="1644"/>
      <c r="R874" s="1644"/>
      <c r="S874" s="1644"/>
      <c r="T874" s="1644"/>
      <c r="U874" s="1644"/>
      <c r="V874" s="1645"/>
      <c r="W874" s="1477"/>
      <c r="X874" s="1338"/>
      <c r="Y874" s="1338"/>
      <c r="Z874" s="1338"/>
      <c r="AA874" s="1338"/>
      <c r="AB874" s="1338"/>
      <c r="AC874" s="1339"/>
      <c r="AD874" s="533"/>
      <c r="AV874" s="14"/>
      <c r="AW874" s="14"/>
      <c r="AX874" s="14"/>
      <c r="AY874" s="14"/>
      <c r="AZ874" s="34"/>
      <c r="BA874" s="34"/>
      <c r="BB874" s="34"/>
      <c r="BC874" s="34"/>
    </row>
    <row r="875" spans="3:55" ht="12.95" customHeight="1">
      <c r="C875" s="2" t="s">
        <v>1245</v>
      </c>
      <c r="J875" s="45" t="s">
        <v>170</v>
      </c>
      <c r="K875" s="5"/>
      <c r="L875" s="5"/>
      <c r="M875" s="1643" t="s">
        <v>334</v>
      </c>
      <c r="N875" s="1644"/>
      <c r="O875" s="1644"/>
      <c r="P875" s="1644"/>
      <c r="Q875" s="1644"/>
      <c r="R875" s="1644"/>
      <c r="S875" s="1644"/>
      <c r="T875" s="1644"/>
      <c r="U875" s="1644"/>
      <c r="V875" s="1645"/>
      <c r="W875" s="1477"/>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3" t="s">
        <v>334</v>
      </c>
      <c r="N876" s="1644"/>
      <c r="O876" s="1644"/>
      <c r="P876" s="1644"/>
      <c r="Q876" s="1644"/>
      <c r="R876" s="1644"/>
      <c r="S876" s="1644"/>
      <c r="T876" s="1644"/>
      <c r="U876" s="1644"/>
      <c r="V876" s="1645"/>
      <c r="W876" s="1477"/>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3" t="s">
        <v>334</v>
      </c>
      <c r="N877" s="1644"/>
      <c r="O877" s="1644"/>
      <c r="P877" s="1644"/>
      <c r="Q877" s="1644"/>
      <c r="R877" s="1644"/>
      <c r="S877" s="1644"/>
      <c r="T877" s="1644"/>
      <c r="U877" s="1644"/>
      <c r="V877" s="1645"/>
      <c r="W877" s="1477"/>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3" t="s">
        <v>334</v>
      </c>
      <c r="N878" s="1644"/>
      <c r="O878" s="1644"/>
      <c r="P878" s="1644"/>
      <c r="Q878" s="1644"/>
      <c r="R878" s="1644"/>
      <c r="S878" s="1644"/>
      <c r="T878" s="1644"/>
      <c r="U878" s="1644"/>
      <c r="V878" s="1645"/>
      <c r="W878" s="1477"/>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4">
        <f>SUM(W874:W878)</f>
        <v>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5">
        <f>W847+W855+W862+W863+W872+W879+W849</f>
        <v>1707300</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6">
        <f>O797+O777+G753</f>
        <v>271</v>
      </c>
      <c r="AD884" s="1646"/>
      <c r="AE884" s="1646"/>
      <c r="AF884" s="1646"/>
      <c r="AG884" s="1646"/>
      <c r="AH884" s="1647"/>
      <c r="AL884" s="4"/>
      <c r="AM884" s="4"/>
      <c r="AN884" s="4"/>
      <c r="AO884" s="4"/>
      <c r="AP884" s="4"/>
      <c r="AQ884" s="4"/>
      <c r="AR884" s="4"/>
      <c r="AS884" s="4"/>
      <c r="AT884" s="4"/>
      <c r="AZ884" s="34"/>
      <c r="BA884" s="34"/>
      <c r="BB884" s="34"/>
      <c r="BC884" s="34"/>
    </row>
    <row r="885" spans="3:55" ht="12.95"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2">
        <f>IF(ISERROR((ROUNDDOWN(AC883/AC884,0))),0,(ROUNDDOWN(AC883/AC884,0)))</f>
        <v>6300</v>
      </c>
      <c r="AD885" s="1602"/>
      <c r="AE885" s="1602"/>
      <c r="AF885" s="1602"/>
      <c r="AG885" s="1602"/>
      <c r="AH885" s="160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8">
        <f>'Sources and Uses Budget'!C75</f>
        <v>1224429</v>
      </c>
      <c r="AD886" s="1649"/>
      <c r="AE886" s="1649"/>
      <c r="AF886" s="1649"/>
      <c r="AG886" s="1649"/>
      <c r="AH886" s="164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9"/>
      <c r="AE887" s="1639"/>
      <c r="AF887" s="1639"/>
      <c r="AG887" s="1639"/>
      <c r="AH887" s="1639"/>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28800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81300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2"/>
      <c r="AD890" s="1493"/>
      <c r="AE890" s="1493"/>
      <c r="AF890" s="1493"/>
      <c r="AG890" s="1493"/>
      <c r="AH890" s="1494"/>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16260</v>
      </c>
      <c r="AD891" s="1338"/>
      <c r="AE891" s="1338"/>
      <c r="AF891" s="1338"/>
      <c r="AG891" s="1338"/>
      <c r="AH891" s="1339"/>
      <c r="AZ891" s="34"/>
      <c r="BA891" s="34"/>
      <c r="BB891" s="34"/>
      <c r="BC891" s="34"/>
    </row>
    <row r="892" spans="3:55" ht="12.95" hidden="1" customHeight="1">
      <c r="C892" s="1408" t="s">
        <v>2233</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5" customHeight="1">
      <c r="C894" s="1667" t="s">
        <v>2723</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39">
        <v>12427</v>
      </c>
      <c r="AD894" s="1639"/>
      <c r="AE894" s="1639"/>
      <c r="AF894" s="1639"/>
      <c r="AG894" s="1639"/>
      <c r="AH894" s="1639"/>
      <c r="AZ894" s="34"/>
      <c r="BA894" s="34"/>
      <c r="BB894" s="34"/>
      <c r="BC894" s="34"/>
    </row>
    <row r="895" spans="3:55" ht="12.95" customHeight="1">
      <c r="C895" s="1667" t="s">
        <v>957</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39"/>
      <c r="AD895" s="1639"/>
      <c r="AE895" s="1639"/>
      <c r="AF895" s="1639"/>
      <c r="AG895" s="1639"/>
      <c r="AH895" s="1639"/>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7"/>
      <c r="AA899" s="1338"/>
      <c r="AB899" s="1338"/>
      <c r="AC899" s="1338"/>
      <c r="AD899" s="1338"/>
      <c r="AE899" s="1339"/>
      <c r="AF899" s="533"/>
      <c r="AZ899" s="34"/>
      <c r="BB899" s="30"/>
      <c r="BC899" s="816"/>
      <c r="BD899" s="1636"/>
      <c r="BE899" s="1636"/>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7"/>
      <c r="AA900" s="1338"/>
      <c r="AB900" s="1338"/>
      <c r="AC900" s="1338"/>
      <c r="AD900" s="1338"/>
      <c r="AE900" s="1339"/>
      <c r="AZ900" s="34"/>
      <c r="BB900" s="30"/>
      <c r="BC900" s="816"/>
      <c r="BD900" s="1636"/>
      <c r="BE900" s="1636"/>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7"/>
      <c r="AA901" s="1338"/>
      <c r="AB901" s="1338"/>
      <c r="AC901" s="1338"/>
      <c r="AD901" s="1338"/>
      <c r="AE901" s="1339"/>
      <c r="AZ901" s="34"/>
      <c r="BB901" s="30"/>
      <c r="BC901" s="816"/>
      <c r="BD901" s="1635"/>
      <c r="BE901" s="1635"/>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4">
        <f>Z899-(Z900+Z901)</f>
        <v>0</v>
      </c>
      <c r="AA902" s="1475"/>
      <c r="AB902" s="1475"/>
      <c r="AC902" s="1475"/>
      <c r="AD902" s="1475"/>
      <c r="AE902" s="1476"/>
      <c r="AZ902" s="34"/>
      <c r="BB902" s="30"/>
      <c r="BC902" s="816"/>
      <c r="BD902" s="1635"/>
      <c r="BE902" s="1635"/>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5"/>
      <c r="BE903" s="1635"/>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6"/>
      <c r="BE904" s="1635"/>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5"/>
      <c r="BE905" s="1665"/>
      <c r="BF905" s="166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5"/>
      <c r="BE907" s="1635"/>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6"/>
      <c r="BE908" s="1635"/>
      <c r="BF908" s="14"/>
    </row>
    <row r="909" spans="1:58" ht="12.95" customHeight="1">
      <c r="AZ909" s="34"/>
      <c r="BB909" s="30"/>
      <c r="BC909" s="816"/>
    </row>
    <row r="910" spans="1:58" ht="12.95"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36"/>
      <c r="BE910" s="1635"/>
      <c r="BF910" s="911"/>
    </row>
    <row r="911" spans="1:58" ht="12.95"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2" t="s">
        <v>793</v>
      </c>
      <c r="G915" s="1713"/>
      <c r="H915" s="1713"/>
      <c r="I915" s="1713"/>
      <c r="J915" s="1713"/>
      <c r="K915" s="1713"/>
      <c r="L915" s="1713"/>
      <c r="M915" s="1713"/>
      <c r="N915" s="1713"/>
      <c r="O915" s="1713"/>
      <c r="P915" s="1713"/>
      <c r="Q915" s="1713"/>
      <c r="R915" s="1713"/>
      <c r="S915" s="1713"/>
      <c r="T915" s="1714"/>
      <c r="U915" s="1755" t="s">
        <v>31</v>
      </c>
      <c r="V915" s="1687"/>
      <c r="W915" s="1687"/>
      <c r="X915" s="1687"/>
      <c r="Y915" s="1687"/>
      <c r="Z915" s="1687"/>
      <c r="AA915" s="43"/>
      <c r="AB915" s="105"/>
      <c r="AC915" s="105"/>
      <c r="AD915" s="105"/>
      <c r="AE915" s="105"/>
      <c r="AF915" s="106"/>
      <c r="AZ915" s="34"/>
      <c r="BA915" s="34"/>
      <c r="BB915" s="34"/>
      <c r="BC915" s="34"/>
    </row>
    <row r="916" spans="1:58" ht="12.95" customHeight="1">
      <c r="B916" s="2"/>
      <c r="F916" s="1756" t="s">
        <v>819</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2.95" customHeight="1">
      <c r="B917" s="2"/>
      <c r="F917" s="1758"/>
      <c r="G917" s="1689"/>
      <c r="H917" s="1689"/>
      <c r="I917" s="1689"/>
      <c r="J917" s="1689"/>
      <c r="K917" s="1689"/>
      <c r="L917" s="1689"/>
      <c r="M917" s="1689"/>
      <c r="N917" s="1689"/>
      <c r="O917" s="1689"/>
      <c r="P917" s="1689"/>
      <c r="Q917" s="1689"/>
      <c r="R917" s="1689"/>
      <c r="S917" s="1689"/>
      <c r="T917" s="1690"/>
      <c r="U917" s="1758"/>
      <c r="V917" s="1689"/>
      <c r="W917" s="1689"/>
      <c r="X917" s="1689"/>
      <c r="Y917" s="1689"/>
      <c r="Z917" s="1689"/>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9" t="s">
        <v>546</v>
      </c>
      <c r="V918" s="1427"/>
      <c r="W918" s="1427"/>
      <c r="X918" s="1427"/>
      <c r="Y918" s="1427"/>
      <c r="Z918" s="1428"/>
      <c r="AA918" s="1633">
        <f>AM554</f>
        <v>24853880</v>
      </c>
      <c r="AB918" s="1527"/>
      <c r="AC918" s="1527"/>
      <c r="AD918" s="1527"/>
      <c r="AE918" s="1527"/>
      <c r="AF918" s="1634"/>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9" t="s">
        <v>546</v>
      </c>
      <c r="V919" s="1427"/>
      <c r="W919" s="1427"/>
      <c r="X919" s="1427"/>
      <c r="Y919" s="1427"/>
      <c r="Z919" s="1428"/>
      <c r="AA919" s="1633">
        <f>AM555</f>
        <v>38454048</v>
      </c>
      <c r="AB919" s="1527"/>
      <c r="AC919" s="1527"/>
      <c r="AD919" s="1527"/>
      <c r="AE919" s="1527"/>
      <c r="AF919" s="1634"/>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9" t="s">
        <v>592</v>
      </c>
      <c r="V920" s="1427"/>
      <c r="W920" s="1427"/>
      <c r="X920" s="1427"/>
      <c r="Y920" s="1427"/>
      <c r="Z920" s="1428"/>
      <c r="AA920" s="1633"/>
      <c r="AB920" s="1527"/>
      <c r="AC920" s="1527"/>
      <c r="AD920" s="1527"/>
      <c r="AE920" s="1527"/>
      <c r="AF920" s="1634"/>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9" t="s">
        <v>592</v>
      </c>
      <c r="V921" s="1427"/>
      <c r="W921" s="1427"/>
      <c r="X921" s="1427"/>
      <c r="Y921" s="1427"/>
      <c r="Z921" s="1428"/>
      <c r="AA921" s="1633"/>
      <c r="AB921" s="1527"/>
      <c r="AC921" s="1527"/>
      <c r="AD921" s="1527"/>
      <c r="AE921" s="1527"/>
      <c r="AF921" s="1634"/>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9" t="s">
        <v>592</v>
      </c>
      <c r="V922" s="1427"/>
      <c r="W922" s="1427"/>
      <c r="X922" s="1427"/>
      <c r="Y922" s="1427"/>
      <c r="Z922" s="1428"/>
      <c r="AA922" s="1633"/>
      <c r="AB922" s="1527"/>
      <c r="AC922" s="1527"/>
      <c r="AD922" s="1527"/>
      <c r="AE922" s="1527"/>
      <c r="AF922" s="1634"/>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9" t="s">
        <v>592</v>
      </c>
      <c r="V923" s="1427"/>
      <c r="W923" s="1427"/>
      <c r="X923" s="1427"/>
      <c r="Y923" s="1427"/>
      <c r="Z923" s="1428"/>
      <c r="AA923" s="1633"/>
      <c r="AB923" s="1527"/>
      <c r="AC923" s="1527"/>
      <c r="AD923" s="1527"/>
      <c r="AE923" s="1527"/>
      <c r="AF923" s="1634"/>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9" t="s">
        <v>592</v>
      </c>
      <c r="V924" s="1427"/>
      <c r="W924" s="1427"/>
      <c r="X924" s="1427"/>
      <c r="Y924" s="1427"/>
      <c r="Z924" s="1428"/>
      <c r="AA924" s="1633"/>
      <c r="AB924" s="1527"/>
      <c r="AC924" s="1527"/>
      <c r="AD924" s="1527"/>
      <c r="AE924" s="1527"/>
      <c r="AF924" s="1634"/>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9" t="s">
        <v>592</v>
      </c>
      <c r="V925" s="1427"/>
      <c r="W925" s="1427"/>
      <c r="X925" s="1427"/>
      <c r="Y925" s="1427"/>
      <c r="Z925" s="1428"/>
      <c r="AA925" s="1633"/>
      <c r="AB925" s="1527"/>
      <c r="AC925" s="1527"/>
      <c r="AD925" s="1527"/>
      <c r="AE925" s="1527"/>
      <c r="AF925" s="1634"/>
      <c r="AZ925" s="34"/>
      <c r="BA925" s="34"/>
      <c r="BB925" s="34"/>
      <c r="BC925" s="34"/>
    </row>
    <row r="926" spans="1:58" ht="12.95" customHeight="1">
      <c r="F926" s="1626" t="s">
        <v>2193</v>
      </c>
      <c r="G926" s="1627"/>
      <c r="H926" s="1627"/>
      <c r="I926" s="1627"/>
      <c r="J926" s="1627"/>
      <c r="K926" s="1627"/>
      <c r="L926" s="1627"/>
      <c r="M926" s="1627"/>
      <c r="N926" s="1627"/>
      <c r="O926" s="1627"/>
      <c r="P926" s="1627"/>
      <c r="Q926" s="1627"/>
      <c r="R926" s="1627"/>
      <c r="S926" s="1627"/>
      <c r="T926" s="1628"/>
      <c r="U926" s="1629" t="s">
        <v>592</v>
      </c>
      <c r="V926" s="1427"/>
      <c r="W926" s="1427"/>
      <c r="X926" s="1427"/>
      <c r="Y926" s="1427"/>
      <c r="Z926" s="1428"/>
      <c r="AA926" s="1633"/>
      <c r="AB926" s="1527"/>
      <c r="AC926" s="1527"/>
      <c r="AD926" s="1527"/>
      <c r="AE926" s="1527"/>
      <c r="AF926" s="1634"/>
      <c r="AZ926" s="34"/>
      <c r="BA926" s="34"/>
      <c r="BB926" s="34"/>
      <c r="BC926" s="34"/>
    </row>
    <row r="927" spans="1:58" ht="12.95" customHeight="1">
      <c r="F927" s="1626" t="s">
        <v>680</v>
      </c>
      <c r="G927" s="1627"/>
      <c r="H927" s="1627"/>
      <c r="I927" s="1627"/>
      <c r="J927" s="1627"/>
      <c r="K927" s="1627"/>
      <c r="L927" s="1627"/>
      <c r="M927" s="1627"/>
      <c r="N927" s="1627"/>
      <c r="O927" s="1627"/>
      <c r="P927" s="1627"/>
      <c r="Q927" s="1627"/>
      <c r="R927" s="1627"/>
      <c r="S927" s="1627"/>
      <c r="T927" s="1628"/>
      <c r="U927" s="1629" t="s">
        <v>592</v>
      </c>
      <c r="V927" s="1427"/>
      <c r="W927" s="1427"/>
      <c r="X927" s="1427"/>
      <c r="Y927" s="1427"/>
      <c r="Z927" s="1428"/>
      <c r="AA927" s="1633"/>
      <c r="AB927" s="1527"/>
      <c r="AC927" s="1527"/>
      <c r="AD927" s="1527"/>
      <c r="AE927" s="1527"/>
      <c r="AF927" s="1634"/>
      <c r="AU927" s="2"/>
      <c r="AZ927" s="34"/>
      <c r="BA927" s="34"/>
      <c r="BB927" s="34"/>
      <c r="BC927" s="34"/>
    </row>
    <row r="928" spans="1:58" ht="12.95" customHeight="1">
      <c r="F928" s="1626" t="s">
        <v>2194</v>
      </c>
      <c r="G928" s="1627"/>
      <c r="H928" s="1627"/>
      <c r="I928" s="1627"/>
      <c r="J928" s="1627"/>
      <c r="K928" s="1627"/>
      <c r="L928" s="1627"/>
      <c r="M928" s="1627"/>
      <c r="N928" s="1627"/>
      <c r="O928" s="1627"/>
      <c r="P928" s="1627"/>
      <c r="Q928" s="1627"/>
      <c r="R928" s="1627"/>
      <c r="S928" s="1627"/>
      <c r="T928" s="1628"/>
      <c r="U928" s="1629" t="s">
        <v>592</v>
      </c>
      <c r="V928" s="1427"/>
      <c r="W928" s="1427"/>
      <c r="X928" s="1427"/>
      <c r="Y928" s="1427"/>
      <c r="Z928" s="1428"/>
      <c r="AA928" s="1633"/>
      <c r="AB928" s="1527"/>
      <c r="AC928" s="1527"/>
      <c r="AD928" s="1527"/>
      <c r="AE928" s="1527"/>
      <c r="AF928" s="1634"/>
      <c r="AU928" s="2"/>
      <c r="AZ928" s="34"/>
      <c r="BA928" s="34"/>
      <c r="BB928" s="34"/>
      <c r="BC928" s="34"/>
    </row>
    <row r="929" spans="6:55" ht="12.95" customHeight="1">
      <c r="F929" s="1626" t="s">
        <v>2195</v>
      </c>
      <c r="G929" s="1627"/>
      <c r="H929" s="1627"/>
      <c r="I929" s="1627"/>
      <c r="J929" s="1627"/>
      <c r="K929" s="1627"/>
      <c r="L929" s="1627"/>
      <c r="M929" s="1627"/>
      <c r="N929" s="1627"/>
      <c r="O929" s="1627"/>
      <c r="P929" s="1627"/>
      <c r="Q929" s="1627"/>
      <c r="R929" s="1627"/>
      <c r="S929" s="1627"/>
      <c r="T929" s="1628"/>
      <c r="U929" s="1629" t="s">
        <v>592</v>
      </c>
      <c r="V929" s="1427"/>
      <c r="W929" s="1427"/>
      <c r="X929" s="1427"/>
      <c r="Y929" s="1427"/>
      <c r="Z929" s="1428"/>
      <c r="AA929" s="1633"/>
      <c r="AB929" s="1527"/>
      <c r="AC929" s="1527"/>
      <c r="AD929" s="1527"/>
      <c r="AE929" s="1527"/>
      <c r="AF929" s="1634"/>
      <c r="AU929" s="2"/>
      <c r="AZ929" s="34"/>
      <c r="BA929" s="34"/>
      <c r="BB929" s="34"/>
      <c r="BC929" s="34"/>
    </row>
    <row r="930" spans="6:55" ht="12.95" customHeight="1">
      <c r="F930" s="1626" t="s">
        <v>2196</v>
      </c>
      <c r="G930" s="1627"/>
      <c r="H930" s="1627"/>
      <c r="I930" s="1627"/>
      <c r="J930" s="1627"/>
      <c r="K930" s="1627"/>
      <c r="L930" s="1627"/>
      <c r="M930" s="1627"/>
      <c r="N930" s="1627"/>
      <c r="O930" s="1627"/>
      <c r="P930" s="1627"/>
      <c r="Q930" s="1627"/>
      <c r="R930" s="1627"/>
      <c r="S930" s="1627"/>
      <c r="T930" s="1628"/>
      <c r="U930" s="1629" t="s">
        <v>592</v>
      </c>
      <c r="V930" s="1427"/>
      <c r="W930" s="1427"/>
      <c r="X930" s="1427"/>
      <c r="Y930" s="1427"/>
      <c r="Z930" s="1428"/>
      <c r="AA930" s="1633"/>
      <c r="AB930" s="1527"/>
      <c r="AC930" s="1527"/>
      <c r="AD930" s="1527"/>
      <c r="AE930" s="1527"/>
      <c r="AF930" s="1634"/>
      <c r="AU930" s="2"/>
      <c r="AZ930" s="34"/>
      <c r="BA930" s="34"/>
      <c r="BB930" s="34"/>
      <c r="BC930" s="34"/>
    </row>
    <row r="931" spans="6:55" ht="12.95" customHeight="1">
      <c r="F931" s="1626" t="s">
        <v>2197</v>
      </c>
      <c r="G931" s="1627"/>
      <c r="H931" s="1627"/>
      <c r="I931" s="1627"/>
      <c r="J931" s="1627"/>
      <c r="K931" s="1627"/>
      <c r="L931" s="1627"/>
      <c r="M931" s="1627"/>
      <c r="N931" s="1627"/>
      <c r="O931" s="1627"/>
      <c r="P931" s="1627"/>
      <c r="Q931" s="1627"/>
      <c r="R931" s="1627"/>
      <c r="S931" s="1627"/>
      <c r="T931" s="1628"/>
      <c r="U931" s="1629" t="s">
        <v>592</v>
      </c>
      <c r="V931" s="1427"/>
      <c r="W931" s="1427"/>
      <c r="X931" s="1427"/>
      <c r="Y931" s="1427"/>
      <c r="Z931" s="1428"/>
      <c r="AA931" s="1633"/>
      <c r="AB931" s="1527"/>
      <c r="AC931" s="1527"/>
      <c r="AD931" s="1527"/>
      <c r="AE931" s="1527"/>
      <c r="AF931" s="1634"/>
      <c r="AU931" s="2"/>
      <c r="AZ931" s="34"/>
      <c r="BA931" s="34"/>
      <c r="BB931" s="34"/>
      <c r="BC931" s="34"/>
    </row>
    <row r="932" spans="6:55" ht="12.95" customHeight="1">
      <c r="F932" s="1626" t="s">
        <v>2198</v>
      </c>
      <c r="G932" s="1627"/>
      <c r="H932" s="1627"/>
      <c r="I932" s="1627"/>
      <c r="J932" s="1627"/>
      <c r="K932" s="1627"/>
      <c r="L932" s="1627"/>
      <c r="M932" s="1627"/>
      <c r="N932" s="1627"/>
      <c r="O932" s="1627"/>
      <c r="P932" s="1627"/>
      <c r="Q932" s="1627"/>
      <c r="R932" s="1627"/>
      <c r="S932" s="1627"/>
      <c r="T932" s="1628"/>
      <c r="U932" s="1629" t="s">
        <v>592</v>
      </c>
      <c r="V932" s="1427"/>
      <c r="W932" s="1427"/>
      <c r="X932" s="1427"/>
      <c r="Y932" s="1427"/>
      <c r="Z932" s="1428"/>
      <c r="AA932" s="1633"/>
      <c r="AB932" s="1527"/>
      <c r="AC932" s="1527"/>
      <c r="AD932" s="1527"/>
      <c r="AE932" s="1527"/>
      <c r="AF932" s="1634"/>
      <c r="AZ932" s="30"/>
      <c r="BA932" s="30"/>
    </row>
    <row r="933" spans="6:55" ht="12.95" customHeight="1">
      <c r="F933" s="178" t="s">
        <v>677</v>
      </c>
      <c r="G933" s="5"/>
      <c r="H933" s="5"/>
      <c r="I933" s="5"/>
      <c r="J933" s="5"/>
      <c r="K933" s="5"/>
      <c r="L933" s="5"/>
      <c r="M933" s="5"/>
      <c r="N933" s="5"/>
      <c r="O933" s="5"/>
      <c r="P933" s="5"/>
      <c r="Q933" s="5"/>
      <c r="R933" s="5"/>
      <c r="S933" s="5"/>
      <c r="T933" s="46"/>
      <c r="U933" s="1629" t="s">
        <v>592</v>
      </c>
      <c r="V933" s="1427"/>
      <c r="W933" s="1427"/>
      <c r="X933" s="1427"/>
      <c r="Y933" s="1427"/>
      <c r="Z933" s="1428"/>
      <c r="AA933" s="1633"/>
      <c r="AB933" s="1527"/>
      <c r="AC933" s="1527"/>
      <c r="AD933" s="1527"/>
      <c r="AE933" s="1527"/>
      <c r="AF933" s="1634"/>
    </row>
    <row r="934" spans="6:55" ht="12.95" customHeight="1">
      <c r="F934" s="121" t="s">
        <v>1278</v>
      </c>
      <c r="G934" s="5"/>
      <c r="H934" s="5"/>
      <c r="I934" s="5"/>
      <c r="J934" s="5"/>
      <c r="K934" s="5"/>
      <c r="L934" s="5"/>
      <c r="M934" s="5"/>
      <c r="N934" s="5"/>
      <c r="O934" s="5"/>
      <c r="P934" s="5"/>
      <c r="Q934" s="5"/>
      <c r="R934" s="5"/>
      <c r="S934" s="5"/>
      <c r="T934" s="46"/>
      <c r="U934" s="1629" t="s">
        <v>592</v>
      </c>
      <c r="V934" s="1427"/>
      <c r="W934" s="1427"/>
      <c r="X934" s="1427"/>
      <c r="Y934" s="1427"/>
      <c r="Z934" s="1428"/>
      <c r="AA934" s="1633"/>
      <c r="AB934" s="1527"/>
      <c r="AC934" s="1527"/>
      <c r="AD934" s="1527"/>
      <c r="AE934" s="1527"/>
      <c r="AF934" s="1634"/>
      <c r="AZ934" s="30"/>
      <c r="BA934" s="14"/>
    </row>
    <row r="935" spans="6:55" ht="12.95" customHeight="1">
      <c r="F935" s="66" t="s">
        <v>803</v>
      </c>
      <c r="G935" s="5"/>
      <c r="H935" s="5"/>
      <c r="I935" s="5"/>
      <c r="J935" s="5"/>
      <c r="K935" s="5"/>
      <c r="L935" s="5"/>
      <c r="M935" s="5"/>
      <c r="N935" s="5"/>
      <c r="O935" s="5"/>
      <c r="P935" s="5"/>
      <c r="Q935" s="5"/>
      <c r="R935" s="5"/>
      <c r="S935" s="5"/>
      <c r="T935" s="46"/>
      <c r="U935" s="1629" t="s">
        <v>592</v>
      </c>
      <c r="V935" s="1427"/>
      <c r="W935" s="1427"/>
      <c r="X935" s="1427"/>
      <c r="Y935" s="1427"/>
      <c r="Z935" s="1428"/>
      <c r="AA935" s="1633"/>
      <c r="AB935" s="1527"/>
      <c r="AC935" s="1527"/>
      <c r="AD935" s="1527"/>
      <c r="AE935" s="1527"/>
      <c r="AF935" s="1634"/>
      <c r="AZ935" s="30"/>
      <c r="BA935" s="14"/>
    </row>
    <row r="936" spans="6:55" ht="12.95" customHeight="1">
      <c r="F936" s="1630" t="s">
        <v>2202</v>
      </c>
      <c r="G936" s="1631"/>
      <c r="H936" s="1631"/>
      <c r="I936" s="1631"/>
      <c r="J936" s="1631"/>
      <c r="K936" s="1631"/>
      <c r="L936" s="1631"/>
      <c r="M936" s="1631"/>
      <c r="N936" s="1631"/>
      <c r="O936" s="1631"/>
      <c r="P936" s="1631"/>
      <c r="Q936" s="1631"/>
      <c r="R936" s="1631"/>
      <c r="S936" s="1631"/>
      <c r="T936" s="1632"/>
      <c r="U936" s="1629" t="s">
        <v>592</v>
      </c>
      <c r="V936" s="1427"/>
      <c r="W936" s="1427"/>
      <c r="X936" s="1427"/>
      <c r="Y936" s="1427"/>
      <c r="Z936" s="1428"/>
      <c r="AA936" s="1633"/>
      <c r="AB936" s="1527"/>
      <c r="AC936" s="1527"/>
      <c r="AD936" s="1527"/>
      <c r="AE936" s="1527"/>
      <c r="AF936" s="1634"/>
      <c r="AZ936" s="30"/>
      <c r="BA936" s="14"/>
    </row>
    <row r="937" spans="6:55" ht="12.95" customHeight="1">
      <c r="F937" s="1630" t="s">
        <v>2203</v>
      </c>
      <c r="G937" s="1631"/>
      <c r="H937" s="1631"/>
      <c r="I937" s="1631"/>
      <c r="J937" s="1631"/>
      <c r="K937" s="1631"/>
      <c r="L937" s="1631"/>
      <c r="M937" s="1631"/>
      <c r="N937" s="1631"/>
      <c r="O937" s="1631"/>
      <c r="P937" s="1631"/>
      <c r="Q937" s="1631"/>
      <c r="R937" s="1631"/>
      <c r="S937" s="1631"/>
      <c r="T937" s="1632"/>
      <c r="U937" s="1629" t="s">
        <v>592</v>
      </c>
      <c r="V937" s="1427"/>
      <c r="W937" s="1427"/>
      <c r="X937" s="1427"/>
      <c r="Y937" s="1427"/>
      <c r="Z937" s="1428"/>
      <c r="AA937" s="1633"/>
      <c r="AB937" s="1527"/>
      <c r="AC937" s="1527"/>
      <c r="AD937" s="1527"/>
      <c r="AE937" s="1527"/>
      <c r="AF937" s="1634"/>
      <c r="AZ937" s="30"/>
      <c r="BA937" s="30"/>
    </row>
    <row r="938" spans="6:55" ht="12.95" customHeight="1">
      <c r="F938" s="1626" t="s">
        <v>2199</v>
      </c>
      <c r="G938" s="1627"/>
      <c r="H938" s="1627"/>
      <c r="I938" s="1627"/>
      <c r="J938" s="1627"/>
      <c r="K938" s="1627"/>
      <c r="L938" s="1627"/>
      <c r="M938" s="1627"/>
      <c r="N938" s="1627"/>
      <c r="O938" s="1627"/>
      <c r="P938" s="1627"/>
      <c r="Q938" s="1627"/>
      <c r="R938" s="1627"/>
      <c r="S938" s="1627"/>
      <c r="T938" s="1628"/>
      <c r="U938" s="1629" t="s">
        <v>592</v>
      </c>
      <c r="V938" s="1427"/>
      <c r="W938" s="1427"/>
      <c r="X938" s="1427"/>
      <c r="Y938" s="1427"/>
      <c r="Z938" s="1428"/>
      <c r="AA938" s="1633"/>
      <c r="AB938" s="1527"/>
      <c r="AC938" s="1527"/>
      <c r="AD938" s="1527"/>
      <c r="AE938" s="1527"/>
      <c r="AF938" s="1634"/>
      <c r="AZ938" s="30"/>
      <c r="BA938" s="30"/>
    </row>
    <row r="939" spans="6:55" ht="12.95" customHeight="1">
      <c r="F939" s="1626" t="s">
        <v>2200</v>
      </c>
      <c r="G939" s="1627"/>
      <c r="H939" s="1627"/>
      <c r="I939" s="1627"/>
      <c r="J939" s="1627"/>
      <c r="K939" s="1627"/>
      <c r="L939" s="1627"/>
      <c r="M939" s="1627"/>
      <c r="N939" s="1627"/>
      <c r="O939" s="1627"/>
      <c r="P939" s="1627"/>
      <c r="Q939" s="1627"/>
      <c r="R939" s="1627"/>
      <c r="S939" s="1627"/>
      <c r="T939" s="1628"/>
      <c r="U939" s="1629" t="s">
        <v>592</v>
      </c>
      <c r="V939" s="1427"/>
      <c r="W939" s="1427"/>
      <c r="X939" s="1427"/>
      <c r="Y939" s="1427"/>
      <c r="Z939" s="1428"/>
      <c r="AA939" s="1633"/>
      <c r="AB939" s="1527"/>
      <c r="AC939" s="1527"/>
      <c r="AD939" s="1527"/>
      <c r="AE939" s="1527"/>
      <c r="AF939" s="1634"/>
      <c r="AZ939" s="30"/>
      <c r="BA939" s="30"/>
    </row>
    <row r="940" spans="6:55" ht="12.95" customHeight="1">
      <c r="F940" s="1626" t="s">
        <v>2201</v>
      </c>
      <c r="G940" s="1627"/>
      <c r="H940" s="1627"/>
      <c r="I940" s="1627"/>
      <c r="J940" s="1627"/>
      <c r="K940" s="1627"/>
      <c r="L940" s="1627"/>
      <c r="M940" s="1627"/>
      <c r="N940" s="1627"/>
      <c r="O940" s="1627"/>
      <c r="P940" s="1627"/>
      <c r="Q940" s="1627"/>
      <c r="R940" s="1627"/>
      <c r="S940" s="1627"/>
      <c r="T940" s="1628"/>
      <c r="U940" s="1629" t="s">
        <v>592</v>
      </c>
      <c r="V940" s="1427"/>
      <c r="W940" s="1427"/>
      <c r="X940" s="1427"/>
      <c r="Y940" s="1427"/>
      <c r="Z940" s="1428"/>
      <c r="AA940" s="1633"/>
      <c r="AB940" s="1527"/>
      <c r="AC940" s="1527"/>
      <c r="AD940" s="1527"/>
      <c r="AE940" s="1527"/>
      <c r="AF940" s="1634"/>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29" t="s">
        <v>592</v>
      </c>
      <c r="V941" s="1427"/>
      <c r="W941" s="1427"/>
      <c r="X941" s="1427"/>
      <c r="Y941" s="1427"/>
      <c r="Z941" s="1428"/>
      <c r="AA941" s="1633"/>
      <c r="AB941" s="1527"/>
      <c r="AC941" s="1527"/>
      <c r="AD941" s="1527"/>
      <c r="AE941" s="1527"/>
      <c r="AF941" s="1634"/>
      <c r="AZ941" s="34"/>
      <c r="BA941" s="34"/>
      <c r="BB941" s="14"/>
      <c r="BC941" s="14"/>
    </row>
    <row r="942" spans="6:55" ht="12.95" customHeight="1">
      <c r="F942" s="1630" t="s">
        <v>2204</v>
      </c>
      <c r="G942" s="1631"/>
      <c r="H942" s="1631"/>
      <c r="I942" s="1631"/>
      <c r="J942" s="1631"/>
      <c r="K942" s="1631"/>
      <c r="L942" s="1631"/>
      <c r="M942" s="1631"/>
      <c r="N942" s="1631"/>
      <c r="O942" s="1631"/>
      <c r="P942" s="1631"/>
      <c r="Q942" s="1631"/>
      <c r="R942" s="1631"/>
      <c r="S942" s="1631"/>
      <c r="T942" s="1632"/>
      <c r="U942" s="1629" t="s">
        <v>592</v>
      </c>
      <c r="V942" s="1427"/>
      <c r="W942" s="1427"/>
      <c r="X942" s="1427"/>
      <c r="Y942" s="1427"/>
      <c r="Z942" s="1428"/>
      <c r="AA942" s="1633"/>
      <c r="AB942" s="1527"/>
      <c r="AC942" s="1527"/>
      <c r="AD942" s="1527"/>
      <c r="AE942" s="1527"/>
      <c r="AF942" s="1634"/>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29" t="s">
        <v>592</v>
      </c>
      <c r="V943" s="1427"/>
      <c r="W943" s="1427"/>
      <c r="X943" s="1427"/>
      <c r="Y943" s="1427"/>
      <c r="Z943" s="1428"/>
      <c r="AA943" s="1633"/>
      <c r="AB943" s="1527"/>
      <c r="AC943" s="1527"/>
      <c r="AD943" s="1527"/>
      <c r="AE943" s="1527"/>
      <c r="AF943" s="1634"/>
      <c r="AZ943" s="34"/>
      <c r="BA943" s="34"/>
      <c r="BB943" s="34"/>
      <c r="BC943" s="34"/>
    </row>
    <row r="944" spans="6:55" ht="12.95" customHeight="1">
      <c r="F944" s="1630" t="s">
        <v>2205</v>
      </c>
      <c r="G944" s="1631"/>
      <c r="H944" s="1631"/>
      <c r="I944" s="1631"/>
      <c r="J944" s="1631"/>
      <c r="K944" s="1631"/>
      <c r="L944" s="1631"/>
      <c r="M944" s="1631"/>
      <c r="N944" s="1631"/>
      <c r="O944" s="1631"/>
      <c r="P944" s="1631"/>
      <c r="Q944" s="1631"/>
      <c r="R944" s="1631"/>
      <c r="S944" s="1631"/>
      <c r="T944" s="1632"/>
      <c r="U944" s="1629" t="s">
        <v>592</v>
      </c>
      <c r="V944" s="1427"/>
      <c r="W944" s="1427"/>
      <c r="X944" s="1427"/>
      <c r="Y944" s="1427"/>
      <c r="Z944" s="1428"/>
      <c r="AA944" s="1633"/>
      <c r="AB944" s="1527"/>
      <c r="AC944" s="1527"/>
      <c r="AD944" s="1527"/>
      <c r="AE944" s="1527"/>
      <c r="AF944" s="1634"/>
      <c r="AZ944" s="34"/>
      <c r="BA944" s="34"/>
      <c r="BB944" s="34"/>
      <c r="BC944" s="34"/>
    </row>
    <row r="945" spans="1:55" ht="12.95" customHeight="1">
      <c r="F945" s="45" t="s">
        <v>807</v>
      </c>
      <c r="G945" s="5"/>
      <c r="H945" s="5"/>
      <c r="I945" s="5"/>
      <c r="J945" s="5"/>
      <c r="K945" s="5"/>
      <c r="L945" s="5"/>
      <c r="M945" s="5"/>
      <c r="N945" s="5"/>
      <c r="O945" s="5"/>
      <c r="P945" s="1629" t="s">
        <v>670</v>
      </c>
      <c r="Q945" s="1427"/>
      <c r="R945" s="1427"/>
      <c r="S945" s="1427"/>
      <c r="T945" s="1428"/>
      <c r="U945" s="1629" t="s">
        <v>592</v>
      </c>
      <c r="V945" s="1427"/>
      <c r="W945" s="1427"/>
      <c r="X945" s="1427"/>
      <c r="Y945" s="1427"/>
      <c r="Z945" s="1428"/>
      <c r="AA945" s="1633"/>
      <c r="AB945" s="1527"/>
      <c r="AC945" s="1527"/>
      <c r="AD945" s="1527"/>
      <c r="AE945" s="1527"/>
      <c r="AF945" s="1634"/>
      <c r="AZ945" s="34"/>
      <c r="BA945" s="34"/>
      <c r="BB945" s="34"/>
      <c r="BC945" s="34"/>
    </row>
    <row r="946" spans="1:55" ht="12.95" customHeight="1">
      <c r="F946" s="1626" t="s">
        <v>2192</v>
      </c>
      <c r="G946" s="1627"/>
      <c r="H946" s="1628"/>
      <c r="I946" s="1643" t="s">
        <v>334</v>
      </c>
      <c r="J946" s="1644"/>
      <c r="K946" s="1644"/>
      <c r="L946" s="1644"/>
      <c r="M946" s="1644"/>
      <c r="N946" s="1644"/>
      <c r="O946" s="1644"/>
      <c r="P946" s="1644"/>
      <c r="Q946" s="1644"/>
      <c r="R946" s="1644"/>
      <c r="S946" s="1644"/>
      <c r="T946" s="1645"/>
      <c r="U946" s="1629" t="s">
        <v>592</v>
      </c>
      <c r="V946" s="1427"/>
      <c r="W946" s="1427"/>
      <c r="X946" s="1427"/>
      <c r="Y946" s="1427"/>
      <c r="Z946" s="1428"/>
      <c r="AA946" s="1633"/>
      <c r="AB946" s="1527"/>
      <c r="AC946" s="1527"/>
      <c r="AD946" s="1527"/>
      <c r="AE946" s="1527"/>
      <c r="AF946" s="1634"/>
      <c r="AZ946" s="34"/>
      <c r="BA946" s="34"/>
      <c r="BB946" s="34"/>
      <c r="BC946" s="34"/>
    </row>
    <row r="947" spans="1:55" ht="12.95" customHeight="1">
      <c r="F947" s="45" t="s">
        <v>86</v>
      </c>
      <c r="G947" s="48"/>
      <c r="H947" s="48"/>
      <c r="I947" s="1643" t="s">
        <v>334</v>
      </c>
      <c r="J947" s="1644"/>
      <c r="K947" s="1644"/>
      <c r="L947" s="1644"/>
      <c r="M947" s="1644"/>
      <c r="N947" s="1644"/>
      <c r="O947" s="1644"/>
      <c r="P947" s="1644"/>
      <c r="Q947" s="1644"/>
      <c r="R947" s="1644"/>
      <c r="S947" s="1644"/>
      <c r="T947" s="1645"/>
      <c r="U947" s="1629" t="s">
        <v>592</v>
      </c>
      <c r="V947" s="1427"/>
      <c r="W947" s="1427"/>
      <c r="X947" s="1427"/>
      <c r="Y947" s="1427"/>
      <c r="Z947" s="1428"/>
      <c r="AA947" s="1633"/>
      <c r="AB947" s="1527"/>
      <c r="AC947" s="1527"/>
      <c r="AD947" s="1527"/>
      <c r="AE947" s="1527"/>
      <c r="AF947" s="1634"/>
      <c r="AZ947" s="34"/>
      <c r="BA947" s="34"/>
      <c r="BB947" s="34"/>
      <c r="BC947" s="34"/>
    </row>
    <row r="948" spans="1:55" ht="12.95" customHeight="1">
      <c r="F948" s="45" t="s">
        <v>10</v>
      </c>
      <c r="G948" s="48"/>
      <c r="H948" s="48"/>
      <c r="I948" s="1699" t="s">
        <v>334</v>
      </c>
      <c r="J948" s="1700"/>
      <c r="K948" s="1700"/>
      <c r="L948" s="1700"/>
      <c r="M948" s="1700"/>
      <c r="N948" s="1700"/>
      <c r="O948" s="1700"/>
      <c r="P948" s="1700"/>
      <c r="Q948" s="1700"/>
      <c r="R948" s="1700"/>
      <c r="S948" s="1700"/>
      <c r="T948" s="1701"/>
      <c r="U948" s="1629" t="s">
        <v>592</v>
      </c>
      <c r="V948" s="1427"/>
      <c r="W948" s="1427"/>
      <c r="X948" s="1427"/>
      <c r="Y948" s="1427"/>
      <c r="Z948" s="1428"/>
      <c r="AA948" s="1633"/>
      <c r="AB948" s="1527"/>
      <c r="AC948" s="1527"/>
      <c r="AD948" s="1527"/>
      <c r="AE948" s="1527"/>
      <c r="AF948" s="1634"/>
      <c r="AV948" s="2"/>
      <c r="AW948" s="2"/>
      <c r="AX948" s="2"/>
      <c r="AY948" s="2"/>
      <c r="AZ948" s="34"/>
      <c r="BA948" s="34"/>
      <c r="BB948" s="34"/>
      <c r="BC948" s="34"/>
    </row>
    <row r="949" spans="1:55" ht="12.95" customHeight="1">
      <c r="F949" s="47" t="s">
        <v>170</v>
      </c>
      <c r="G949" s="48"/>
      <c r="H949" s="48"/>
      <c r="I949" s="1643" t="s">
        <v>2725</v>
      </c>
      <c r="J949" s="1700"/>
      <c r="K949" s="1700"/>
      <c r="L949" s="1700"/>
      <c r="M949" s="1700"/>
      <c r="N949" s="1700"/>
      <c r="O949" s="1700"/>
      <c r="P949" s="1700"/>
      <c r="Q949" s="1700"/>
      <c r="R949" s="1700"/>
      <c r="S949" s="1700"/>
      <c r="T949" s="1701"/>
      <c r="U949" s="1629" t="s">
        <v>546</v>
      </c>
      <c r="V949" s="1427"/>
      <c r="W949" s="1427"/>
      <c r="X949" s="1427"/>
      <c r="Y949" s="1427"/>
      <c r="Z949" s="1428"/>
      <c r="AA949" s="1633">
        <f>AM556</f>
        <v>10000000</v>
      </c>
      <c r="AB949" s="1527"/>
      <c r="AC949" s="1527"/>
      <c r="AD949" s="1527"/>
      <c r="AE949" s="1527"/>
      <c r="AF949" s="1634"/>
      <c r="AU949" s="2"/>
      <c r="AZ949" s="34"/>
      <c r="BA949" s="34"/>
      <c r="BB949" s="34"/>
      <c r="BC949" s="34"/>
    </row>
    <row r="950" spans="1:55" ht="12.95" customHeight="1">
      <c r="F950" s="47" t="s">
        <v>170</v>
      </c>
      <c r="G950" s="48"/>
      <c r="H950" s="48"/>
      <c r="I950" s="1699" t="s">
        <v>334</v>
      </c>
      <c r="J950" s="1700"/>
      <c r="K950" s="1700"/>
      <c r="L950" s="1700"/>
      <c r="M950" s="1700"/>
      <c r="N950" s="1700"/>
      <c r="O950" s="1700"/>
      <c r="P950" s="1700"/>
      <c r="Q950" s="1700"/>
      <c r="R950" s="1700"/>
      <c r="S950" s="1700"/>
      <c r="T950" s="1701"/>
      <c r="U950" s="1629" t="s">
        <v>592</v>
      </c>
      <c r="V950" s="1427"/>
      <c r="W950" s="1427"/>
      <c r="X950" s="1427"/>
      <c r="Y950" s="1427"/>
      <c r="Z950" s="1428"/>
      <c r="AA950" s="1633"/>
      <c r="AB950" s="1527"/>
      <c r="AC950" s="1527"/>
      <c r="AD950" s="1527"/>
      <c r="AE950" s="1527"/>
      <c r="AF950" s="1634"/>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3"/>
      <c r="N955" s="1522"/>
      <c r="O955" s="1522"/>
      <c r="P955" s="1522"/>
      <c r="Q955" s="1522"/>
      <c r="R955" s="1522"/>
      <c r="S955" s="1624"/>
      <c r="U955" s="66" t="s">
        <v>11</v>
      </c>
      <c r="V955" s="5"/>
      <c r="W955" s="5"/>
      <c r="X955" s="5"/>
      <c r="Y955" s="5"/>
      <c r="Z955" s="5"/>
      <c r="AA955" s="5"/>
      <c r="AB955" s="5"/>
      <c r="AC955" s="5"/>
      <c r="AD955" s="46"/>
      <c r="AE955" s="1703"/>
      <c r="AF955" s="1522"/>
      <c r="AG955" s="1522"/>
      <c r="AH955" s="1522"/>
      <c r="AI955" s="1522"/>
      <c r="AJ955" s="1522"/>
      <c r="AK955" s="1624"/>
      <c r="AZ955" s="34"/>
      <c r="BA955" s="34"/>
      <c r="BB955" s="34"/>
      <c r="BC955" s="34"/>
    </row>
    <row r="956" spans="1:55" ht="12.95" customHeight="1">
      <c r="C956" s="66" t="s">
        <v>12</v>
      </c>
      <c r="D956" s="5"/>
      <c r="E956" s="5"/>
      <c r="F956" s="5"/>
      <c r="G956" s="5"/>
      <c r="H956" s="5"/>
      <c r="I956" s="5"/>
      <c r="J956" s="5"/>
      <c r="K956" s="5"/>
      <c r="L956" s="46"/>
      <c r="M956" s="1662"/>
      <c r="N956" s="1546"/>
      <c r="O956" s="1546"/>
      <c r="P956" s="1546"/>
      <c r="Q956" s="1546"/>
      <c r="R956" s="1546"/>
      <c r="S956" s="1663"/>
      <c r="U956" s="66" t="s">
        <v>12</v>
      </c>
      <c r="V956" s="5"/>
      <c r="W956" s="5"/>
      <c r="X956" s="5"/>
      <c r="Y956" s="5"/>
      <c r="Z956" s="5"/>
      <c r="AA956" s="5"/>
      <c r="AB956" s="5"/>
      <c r="AC956" s="5"/>
      <c r="AD956" s="46"/>
      <c r="AE956" s="1662"/>
      <c r="AF956" s="1546"/>
      <c r="AG956" s="1546"/>
      <c r="AH956" s="1546"/>
      <c r="AI956" s="1546"/>
      <c r="AJ956" s="1546"/>
      <c r="AK956" s="1663"/>
      <c r="AZ956" s="34"/>
      <c r="BA956" s="34"/>
      <c r="BB956" s="34"/>
      <c r="BC956" s="34"/>
    </row>
    <row r="957" spans="1:55" ht="12.95" customHeight="1">
      <c r="C957" s="66" t="s">
        <v>881</v>
      </c>
      <c r="D957" s="5"/>
      <c r="E957" s="5"/>
      <c r="J957" s="1807" t="s">
        <v>307</v>
      </c>
      <c r="K957" s="1808"/>
      <c r="L957" s="1808"/>
      <c r="M957" s="1808"/>
      <c r="N957" s="1808"/>
      <c r="O957" s="1808"/>
      <c r="P957" s="1808"/>
      <c r="Q957" s="1808"/>
      <c r="R957" s="1808"/>
      <c r="S957" s="1809"/>
      <c r="U957" s="66" t="s">
        <v>881</v>
      </c>
      <c r="V957" s="5"/>
      <c r="W957" s="5"/>
      <c r="AB957" s="1807" t="s">
        <v>307</v>
      </c>
      <c r="AC957" s="1808"/>
      <c r="AD957" s="1808"/>
      <c r="AE957" s="1808"/>
      <c r="AF957" s="1808"/>
      <c r="AG957" s="1808"/>
      <c r="AH957" s="1808"/>
      <c r="AI957" s="1808"/>
      <c r="AJ957" s="1808"/>
      <c r="AK957" s="1809"/>
      <c r="AZ957" s="34"/>
      <c r="BA957" s="34"/>
      <c r="BB957" s="34"/>
      <c r="BC957" s="34"/>
    </row>
    <row r="958" spans="1:55" ht="12.95" customHeight="1">
      <c r="C958" s="66" t="s">
        <v>13</v>
      </c>
      <c r="D958" s="5"/>
      <c r="E958" s="5"/>
      <c r="F958" s="5"/>
      <c r="G958" s="5"/>
      <c r="H958" s="5"/>
      <c r="I958" s="5"/>
      <c r="J958" s="5"/>
      <c r="K958" s="5"/>
      <c r="L958" s="46"/>
      <c r="M958" s="1704"/>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2.95" customHeight="1">
      <c r="C959" s="66" t="s">
        <v>14</v>
      </c>
      <c r="D959" s="5"/>
      <c r="E959" s="5"/>
      <c r="F959" s="5"/>
      <c r="G959" s="5"/>
      <c r="H959" s="5"/>
      <c r="I959" s="5"/>
      <c r="J959" s="5"/>
      <c r="K959" s="5"/>
      <c r="L959" s="46"/>
      <c r="M959" s="1724"/>
      <c r="N959" s="1609"/>
      <c r="O959" s="1609"/>
      <c r="P959" s="1609"/>
      <c r="Q959" s="1609"/>
      <c r="R959" s="1609"/>
      <c r="S959" s="1610"/>
      <c r="U959" s="66" t="s">
        <v>14</v>
      </c>
      <c r="V959" s="5"/>
      <c r="W959" s="5"/>
      <c r="X959" s="5"/>
      <c r="Y959" s="5"/>
      <c r="Z959" s="5"/>
      <c r="AA959" s="5"/>
      <c r="AB959" s="5"/>
      <c r="AC959" s="5"/>
      <c r="AD959" s="46"/>
      <c r="AE959" s="1724"/>
      <c r="AF959" s="1609"/>
      <c r="AG959" s="1609"/>
      <c r="AH959" s="1609"/>
      <c r="AI959" s="1609"/>
      <c r="AJ959" s="1609"/>
      <c r="AK959" s="1610"/>
      <c r="AV959" s="2"/>
      <c r="AW959" s="2"/>
      <c r="AX959" s="2"/>
      <c r="AY959" s="2"/>
      <c r="AZ959" s="34"/>
      <c r="BA959" s="34"/>
      <c r="BB959" s="34"/>
      <c r="BC959" s="34"/>
    </row>
    <row r="960" spans="1:55" ht="12.95" customHeight="1">
      <c r="C960" s="66" t="s">
        <v>15</v>
      </c>
      <c r="D960" s="5"/>
      <c r="E960" s="5"/>
      <c r="F960" s="5"/>
      <c r="G960" s="5"/>
      <c r="H960" s="5"/>
      <c r="I960" s="5"/>
      <c r="J960" s="5"/>
      <c r="K960" s="5"/>
      <c r="L960" s="46"/>
      <c r="M960" s="1633"/>
      <c r="N960" s="1527"/>
      <c r="O960" s="1527"/>
      <c r="P960" s="1527"/>
      <c r="Q960" s="1527"/>
      <c r="R960" s="1527"/>
      <c r="S960" s="1634"/>
      <c r="U960" s="66" t="s">
        <v>15</v>
      </c>
      <c r="V960" s="5"/>
      <c r="W960" s="5"/>
      <c r="X960" s="5"/>
      <c r="Y960" s="5"/>
      <c r="Z960" s="5"/>
      <c r="AA960" s="5"/>
      <c r="AB960" s="5"/>
      <c r="AC960" s="5"/>
      <c r="AD960" s="46"/>
      <c r="AE960" s="1633"/>
      <c r="AF960" s="1527"/>
      <c r="AG960" s="1527"/>
      <c r="AH960" s="1527"/>
      <c r="AI960" s="1527"/>
      <c r="AJ960" s="1527"/>
      <c r="AK960" s="1634"/>
      <c r="AV960" s="2"/>
      <c r="AW960" s="2"/>
      <c r="AX960" s="2"/>
      <c r="AY960" s="2"/>
      <c r="AZ960" s="34"/>
      <c r="BA960" s="34"/>
      <c r="BB960" s="34"/>
      <c r="BC960" s="34"/>
    </row>
    <row r="961" spans="1:64" ht="12.95" customHeight="1">
      <c r="C961" s="66" t="s">
        <v>16</v>
      </c>
      <c r="D961" s="5"/>
      <c r="E961" s="5"/>
      <c r="F961" s="5"/>
      <c r="G961" s="5"/>
      <c r="H961" s="5"/>
      <c r="I961" s="5"/>
      <c r="J961" s="5"/>
      <c r="K961" s="5"/>
      <c r="L961" s="46"/>
      <c r="M961" s="1633"/>
      <c r="N961" s="1527"/>
      <c r="O961" s="1527"/>
      <c r="P961" s="1527"/>
      <c r="Q961" s="1527"/>
      <c r="R961" s="1527"/>
      <c r="S961" s="1634"/>
      <c r="U961" s="66" t="s">
        <v>16</v>
      </c>
      <c r="V961" s="5"/>
      <c r="W961" s="5"/>
      <c r="X961" s="5"/>
      <c r="Y961" s="5"/>
      <c r="Z961" s="5"/>
      <c r="AA961" s="5"/>
      <c r="AB961" s="5"/>
      <c r="AC961" s="5"/>
      <c r="AD961" s="46"/>
      <c r="AE961" s="1633"/>
      <c r="AF961" s="1527"/>
      <c r="AG961" s="1527"/>
      <c r="AH961" s="1527"/>
      <c r="AI961" s="1527"/>
      <c r="AJ961" s="1527"/>
      <c r="AK961" s="1634"/>
      <c r="AV961" s="2"/>
      <c r="AW961" s="2"/>
      <c r="AX961" s="2"/>
      <c r="AY961" s="2"/>
      <c r="AZ961" s="34"/>
      <c r="BB961" s="34"/>
      <c r="BC961" s="34"/>
    </row>
    <row r="962" spans="1:64" ht="12.95" customHeight="1">
      <c r="C962" s="121" t="s">
        <v>1662</v>
      </c>
      <c r="D962" s="5"/>
      <c r="E962" s="5"/>
      <c r="F962" s="5"/>
      <c r="G962" s="5"/>
      <c r="H962" s="5"/>
      <c r="I962" s="5"/>
      <c r="J962" s="5"/>
      <c r="K962" s="5"/>
      <c r="L962" s="46"/>
      <c r="M962" s="1775"/>
      <c r="N962" s="1776"/>
      <c r="O962" s="1776"/>
      <c r="P962" s="1776"/>
      <c r="Q962" s="1776"/>
      <c r="R962" s="1776"/>
      <c r="S962" s="1777"/>
      <c r="U962" s="121" t="s">
        <v>1662</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9"/>
      <c r="N967" s="1660"/>
      <c r="O967" s="1660"/>
      <c r="P967" s="1660"/>
      <c r="Q967" s="1660"/>
      <c r="R967" s="1660"/>
      <c r="S967" s="1661"/>
      <c r="T967" s="66" t="s">
        <v>791</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9"/>
      <c r="N968" s="1660"/>
      <c r="O968" s="1660"/>
      <c r="P968" s="1660"/>
      <c r="Q968" s="1660"/>
      <c r="R968" s="1660"/>
      <c r="S968" s="1661"/>
      <c r="T968" s="66" t="s">
        <v>790</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7" t="s">
        <v>592</v>
      </c>
      <c r="N969" s="1708"/>
      <c r="O969" s="1708"/>
      <c r="P969" s="1708"/>
      <c r="Q969" s="1708"/>
      <c r="R969" s="1708"/>
      <c r="S969" s="1709"/>
      <c r="T969" s="45" t="s">
        <v>337</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9"/>
      <c r="N970" s="1660"/>
      <c r="O970" s="1660"/>
      <c r="P970" s="1660"/>
      <c r="Q970" s="1660"/>
      <c r="R970" s="1660"/>
      <c r="S970" s="1661"/>
      <c r="T970" s="45" t="s">
        <v>338</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9"/>
      <c r="N971" s="1660"/>
      <c r="O971" s="1660"/>
      <c r="P971" s="1660"/>
      <c r="Q971" s="1660"/>
      <c r="R971" s="1660"/>
      <c r="S971" s="1661"/>
      <c r="T971" s="45" t="s">
        <v>376</v>
      </c>
      <c r="U971" s="5"/>
      <c r="V971" s="5"/>
      <c r="W971" s="5"/>
      <c r="X971" s="5"/>
      <c r="Y971" s="5"/>
      <c r="Z971" s="46"/>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7" t="s">
        <v>307</v>
      </c>
      <c r="N972" s="1808"/>
      <c r="O972" s="1808"/>
      <c r="P972" s="1808"/>
      <c r="Q972" s="1808"/>
      <c r="R972" s="1808"/>
      <c r="S972" s="1809"/>
      <c r="T972" s="1762"/>
      <c r="U972" s="1763"/>
      <c r="V972" s="1763"/>
      <c r="W972" s="1763"/>
      <c r="X972" s="1763"/>
      <c r="Y972" s="1763"/>
      <c r="Z972" s="1764"/>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9"/>
      <c r="N973" s="1660"/>
      <c r="O973" s="1660"/>
      <c r="P973" s="1660"/>
      <c r="Q973" s="1660"/>
      <c r="R973" s="1660"/>
      <c r="S973" s="1661"/>
      <c r="T973" s="1762"/>
      <c r="U973" s="1763"/>
      <c r="V973" s="1763"/>
      <c r="W973" s="1763"/>
      <c r="X973" s="1763"/>
      <c r="Y973" s="1763"/>
      <c r="Z973" s="1764"/>
      <c r="AA973" s="1659"/>
      <c r="AB973" s="1660"/>
      <c r="AC973" s="1660"/>
      <c r="AD973" s="1660"/>
      <c r="AE973" s="1660"/>
      <c r="AF973" s="1660"/>
      <c r="AG973" s="166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10" t="s">
        <v>334</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2.95" customHeight="1">
      <c r="F975" s="1604" t="s">
        <v>33</v>
      </c>
      <c r="G975" s="1485"/>
      <c r="H975" s="1485"/>
      <c r="I975" s="1485"/>
      <c r="J975" s="1485"/>
      <c r="K975" s="1485"/>
      <c r="L975" s="1485"/>
      <c r="M975" s="1659"/>
      <c r="N975" s="1660"/>
      <c r="O975" s="1660"/>
      <c r="P975" s="1660"/>
      <c r="Q975" s="1660"/>
      <c r="R975" s="1660"/>
      <c r="S975" s="1661"/>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7" t="s">
        <v>549</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2.95"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2.95"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0" t="s">
        <v>639</v>
      </c>
      <c r="E985" s="1791"/>
      <c r="F985" s="1791"/>
      <c r="G985" s="1791"/>
      <c r="H985" s="1791"/>
      <c r="I985" s="1791"/>
      <c r="J985" s="1791"/>
      <c r="K985" s="1791"/>
      <c r="L985" s="1791"/>
      <c r="M985" s="1791"/>
      <c r="N985" s="1791"/>
      <c r="O985" s="1791"/>
      <c r="P985" s="1791"/>
      <c r="Q985" s="1792"/>
      <c r="R985" s="1790" t="s">
        <v>640</v>
      </c>
      <c r="S985" s="1791"/>
      <c r="T985" s="1791"/>
      <c r="U985" s="1791"/>
      <c r="V985" s="1791"/>
      <c r="W985" s="1791"/>
      <c r="X985" s="1791"/>
      <c r="Y985" s="1791"/>
      <c r="Z985" s="1791"/>
      <c r="AA985" s="1792"/>
      <c r="AB985" s="1790" t="s">
        <v>641</v>
      </c>
      <c r="AC985" s="1791"/>
      <c r="AD985" s="1791"/>
      <c r="AE985" s="1791"/>
      <c r="AF985" s="1791"/>
      <c r="AG985" s="1791"/>
      <c r="AH985" s="1791"/>
      <c r="AI985" s="1792"/>
      <c r="AJ985" s="1790" t="s">
        <v>642</v>
      </c>
      <c r="AK985" s="1791"/>
      <c r="AL985" s="1791"/>
      <c r="AM985" s="1791"/>
      <c r="AN985" s="1791"/>
      <c r="AO985" s="1791"/>
      <c r="AP985" s="1791"/>
      <c r="AQ985" s="1792"/>
      <c r="AR985" s="68"/>
      <c r="AS985" s="68"/>
      <c r="AT985" s="68"/>
      <c r="AU985" s="68"/>
      <c r="AV985" s="68"/>
      <c r="AW985" s="68"/>
      <c r="AX985" s="68"/>
      <c r="AY985" s="68"/>
      <c r="AZ985" s="30"/>
      <c r="BB985" s="14"/>
      <c r="BC985" s="14"/>
    </row>
    <row r="986" spans="1:64" ht="12.95" customHeight="1">
      <c r="A986" s="14"/>
      <c r="B986" s="73"/>
      <c r="C986" s="929"/>
      <c r="D986" s="1796" t="s">
        <v>634</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437727</v>
      </c>
      <c r="S986" s="1783"/>
      <c r="T986" s="1783"/>
      <c r="U986" s="1783"/>
      <c r="V986" s="1783"/>
      <c r="W986" s="1783"/>
      <c r="X986" s="1783"/>
      <c r="Y986" s="1783"/>
      <c r="Z986" s="1783"/>
      <c r="AA986" s="1783"/>
      <c r="AB986" s="1780">
        <f>CP802</f>
        <v>48</v>
      </c>
      <c r="AC986" s="1781"/>
      <c r="AD986" s="1781"/>
      <c r="AE986" s="1781"/>
      <c r="AF986" s="1781"/>
      <c r="AG986" s="1781"/>
      <c r="AH986" s="1781"/>
      <c r="AI986" s="1782"/>
      <c r="AJ986" s="1716">
        <f>IF(ISERROR((R986*AB986)),0,(R986*AB986))</f>
        <v>21010896</v>
      </c>
      <c r="AK986" s="1717"/>
      <c r="AL986" s="1717"/>
      <c r="AM986" s="1717"/>
      <c r="AN986" s="1717"/>
      <c r="AO986" s="1717"/>
      <c r="AP986" s="1717"/>
      <c r="AQ986" s="1718"/>
      <c r="AR986" s="68"/>
      <c r="AS986" s="68"/>
      <c r="AT986" s="68"/>
      <c r="AU986" s="68"/>
      <c r="AV986" s="68"/>
      <c r="AW986" s="68"/>
      <c r="AX986" s="68"/>
      <c r="AY986" s="68"/>
      <c r="AZ986" s="30"/>
      <c r="BB986" s="14"/>
      <c r="BC986" s="14"/>
    </row>
    <row r="987" spans="1:64" ht="12.95" customHeight="1">
      <c r="A987" s="14"/>
      <c r="B987" s="73"/>
      <c r="C987" s="83"/>
      <c r="D987" s="1796" t="s">
        <v>325</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504695</v>
      </c>
      <c r="S987" s="1783"/>
      <c r="T987" s="1783"/>
      <c r="U987" s="1783"/>
      <c r="V987" s="1783"/>
      <c r="W987" s="1783"/>
      <c r="X987" s="1783"/>
      <c r="Y987" s="1783"/>
      <c r="Z987" s="1783"/>
      <c r="AA987" s="1783"/>
      <c r="AB987" s="1780">
        <f>CU802</f>
        <v>173</v>
      </c>
      <c r="AC987" s="1781"/>
      <c r="AD987" s="1781"/>
      <c r="AE987" s="1781"/>
      <c r="AF987" s="1781"/>
      <c r="AG987" s="1781"/>
      <c r="AH987" s="1781"/>
      <c r="AI987" s="1782"/>
      <c r="AJ987" s="1716">
        <f>IF(ISERROR((R987*AB987)),0,(R987*AB987))</f>
        <v>87312235</v>
      </c>
      <c r="AK987" s="1717"/>
      <c r="AL987" s="1717"/>
      <c r="AM987" s="1717"/>
      <c r="AN987" s="1717"/>
      <c r="AO987" s="1717"/>
      <c r="AP987" s="1717"/>
      <c r="AQ987" s="1718"/>
      <c r="AR987" s="68"/>
      <c r="AS987" s="68"/>
      <c r="AT987" s="68"/>
      <c r="AU987" s="68"/>
      <c r="AV987" s="68"/>
      <c r="AW987" s="68"/>
      <c r="AX987" s="68"/>
      <c r="AY987" s="68"/>
      <c r="AZ987" s="30"/>
      <c r="BB987" s="14"/>
      <c r="BC987" s="14"/>
    </row>
    <row r="988" spans="1:64" ht="12.95"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608800</v>
      </c>
      <c r="S988" s="1783"/>
      <c r="T988" s="1783"/>
      <c r="U988" s="1783"/>
      <c r="V988" s="1783"/>
      <c r="W988" s="1783"/>
      <c r="X988" s="1783"/>
      <c r="Y988" s="1783"/>
      <c r="Z988" s="1783"/>
      <c r="AA988" s="1783"/>
      <c r="AB988" s="1780">
        <f>CZ802</f>
        <v>50</v>
      </c>
      <c r="AC988" s="1781"/>
      <c r="AD988" s="1781"/>
      <c r="AE988" s="1781"/>
      <c r="AF988" s="1781"/>
      <c r="AG988" s="1781"/>
      <c r="AH988" s="1781"/>
      <c r="AI988" s="1782"/>
      <c r="AJ988" s="1716">
        <f>IF(ISERROR((R988*AB988)),0,(R988*AB988))</f>
        <v>30440000</v>
      </c>
      <c r="AK988" s="1717"/>
      <c r="AL988" s="1717"/>
      <c r="AM988" s="1717"/>
      <c r="AN988" s="1717"/>
      <c r="AO988" s="1717"/>
      <c r="AP988" s="1717"/>
      <c r="AQ988" s="1718"/>
      <c r="AR988" s="68"/>
      <c r="AS988" s="68"/>
      <c r="AT988" s="68"/>
      <c r="AU988" s="68"/>
      <c r="AV988" s="68"/>
      <c r="AW988" s="68"/>
      <c r="AX988" s="68"/>
      <c r="AY988" s="68"/>
      <c r="AZ988" s="30"/>
      <c r="BB988" s="14"/>
      <c r="BC988" s="14"/>
    </row>
    <row r="989" spans="1:64" ht="12.95"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779264</v>
      </c>
      <c r="S989" s="1783"/>
      <c r="T989" s="1783"/>
      <c r="U989" s="1783"/>
      <c r="V989" s="1783"/>
      <c r="W989" s="1783"/>
      <c r="X989" s="1783"/>
      <c r="Y989" s="1783"/>
      <c r="Z989" s="1783"/>
      <c r="AA989" s="1783"/>
      <c r="AB989" s="1780">
        <f>DE802</f>
        <v>0</v>
      </c>
      <c r="AC989" s="1781"/>
      <c r="AD989" s="1781"/>
      <c r="AE989" s="1781"/>
      <c r="AF989" s="1781"/>
      <c r="AG989" s="1781"/>
      <c r="AH989" s="1781"/>
      <c r="AI989" s="1782"/>
      <c r="AJ989" s="1716">
        <f>IF(ISERROR((R989*AB989)),0,(R989*AB989))</f>
        <v>0</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2.95" customHeight="1">
      <c r="A990" s="14"/>
      <c r="B990" s="47"/>
      <c r="C990" s="78"/>
      <c r="D990" s="1796" t="s">
        <v>461</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868149</v>
      </c>
      <c r="S990" s="1783"/>
      <c r="T990" s="1783"/>
      <c r="U990" s="1783"/>
      <c r="V990" s="1783"/>
      <c r="W990" s="1783"/>
      <c r="X990" s="1783"/>
      <c r="Y990" s="1783"/>
      <c r="Z990" s="1783"/>
      <c r="AA990" s="1783"/>
      <c r="AB990" s="1780">
        <f>DO802+DJ802</f>
        <v>0</v>
      </c>
      <c r="AC990" s="1781"/>
      <c r="AD990" s="1781"/>
      <c r="AE990" s="1781"/>
      <c r="AF990" s="1781"/>
      <c r="AG990" s="1781"/>
      <c r="AH990" s="1781"/>
      <c r="AI990" s="1782"/>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2.95" customHeight="1">
      <c r="A991" s="14"/>
      <c r="B991" s="1737" t="s">
        <v>792</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271</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2.95" customHeight="1">
      <c r="A992" s="14"/>
      <c r="B992" s="1793" t="s">
        <v>513</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138763131</v>
      </c>
      <c r="AK992" s="1717"/>
      <c r="AL992" s="1717"/>
      <c r="AM992" s="1717"/>
      <c r="AN992" s="1717"/>
      <c r="AO992" s="1717"/>
      <c r="AP992" s="1717"/>
      <c r="AQ992" s="1718"/>
      <c r="AR992" s="68"/>
      <c r="AS992" s="68"/>
      <c r="AT992" s="68"/>
      <c r="AU992" s="68"/>
      <c r="AV992" s="68"/>
      <c r="AW992" s="68"/>
      <c r="AX992" s="68"/>
      <c r="AY992" s="68"/>
      <c r="AZ992" s="34"/>
      <c r="BB992" s="34"/>
      <c r="BC992" s="34"/>
    </row>
    <row r="993" spans="1:55" ht="12.95"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5" t="s">
        <v>667</v>
      </c>
      <c r="AG993" s="1826"/>
      <c r="AH993" s="1826"/>
      <c r="AI993" s="1827"/>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2.95" customHeight="1">
      <c r="A994" s="14"/>
      <c r="B994" s="73"/>
      <c r="C994" s="927" t="s">
        <v>669</v>
      </c>
      <c r="D994" s="1734" t="s">
        <v>1221</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8" t="s">
        <v>670</v>
      </c>
      <c r="AH994" s="1829"/>
      <c r="AI994" s="87"/>
      <c r="AJ994" s="1725">
        <f>ROUND(IF(AND(AG994="yes",D1000&gt;0),AJ992*0.2,0),0)</f>
        <v>0</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2.95" customHeight="1">
      <c r="A995" s="14"/>
      <c r="B995" s="257"/>
      <c r="C995" s="256"/>
      <c r="D995" s="1768" t="s">
        <v>2235</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2.95" customHeight="1">
      <c r="A996" s="14"/>
      <c r="B996" s="257"/>
      <c r="C996" s="256"/>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2.95" customHeight="1">
      <c r="A997" s="14"/>
      <c r="B997" s="257"/>
      <c r="C997" s="256"/>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2.95" customHeight="1">
      <c r="A998" s="14"/>
      <c r="B998" s="257"/>
      <c r="C998" s="256"/>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2.95" customHeight="1">
      <c r="A999" s="14"/>
      <c r="B999" s="257"/>
      <c r="C999" s="256"/>
      <c r="D999" s="1771" t="s">
        <v>2206</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2.95" customHeight="1">
      <c r="A1000" s="14"/>
      <c r="B1000" s="257"/>
      <c r="C1000" s="256"/>
      <c r="D1000" s="1740"/>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2.95" customHeight="1">
      <c r="A1001" s="14"/>
      <c r="B1001" s="255"/>
      <c r="C1001" s="318"/>
      <c r="D1001" s="1765" t="s">
        <v>1287</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670</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2.95" customHeight="1">
      <c r="A1002" s="14"/>
      <c r="B1002" s="257"/>
      <c r="C1002" s="82"/>
      <c r="D1002" s="1768" t="s">
        <v>1285</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2.95" customHeight="1">
      <c r="A1003" s="14"/>
      <c r="B1003" s="257"/>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4">
        <f>G753+O797</f>
        <v>268</v>
      </c>
      <c r="AZ1003" s="34"/>
      <c r="BB1003" s="34"/>
    </row>
    <row r="1004" spans="1:55" ht="12.95" customHeight="1">
      <c r="A1004" s="14"/>
      <c r="B1004" s="257"/>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2.95" customHeight="1">
      <c r="A1005" s="14"/>
      <c r="B1005" s="257"/>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3">
        <f>ROUNDDOWN(X1048/I1048,2)</f>
        <v>0.16</v>
      </c>
      <c r="AZ1005" s="34"/>
      <c r="BB1005" s="34"/>
    </row>
    <row r="1006" spans="1:55" ht="12.95"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3">
        <f>ROUNDDOWN(X1052/I1052,2)</f>
        <v>0.31</v>
      </c>
      <c r="AZ1006" s="34"/>
      <c r="BB1006" s="34"/>
    </row>
    <row r="1007" spans="1:55" ht="12.95" customHeight="1">
      <c r="A1007" s="14"/>
      <c r="B1007" s="255"/>
      <c r="C1007" s="80" t="s">
        <v>673</v>
      </c>
      <c r="D1007" s="1765" t="s">
        <v>1684</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670</v>
      </c>
      <c r="AH1007" s="1752"/>
      <c r="AI1007" s="87"/>
      <c r="AJ1007" s="1725">
        <f>ROUND(IF(AG1007="yes",AJ992*0.1,0),0)</f>
        <v>0</v>
      </c>
      <c r="AK1007" s="1726"/>
      <c r="AL1007" s="1726"/>
      <c r="AM1007" s="1726"/>
      <c r="AN1007" s="1726"/>
      <c r="AO1007" s="1726"/>
      <c r="AP1007" s="1726"/>
      <c r="AQ1007" s="1727"/>
      <c r="AR1007" s="68"/>
      <c r="AS1007" s="68"/>
      <c r="AT1007" s="68"/>
      <c r="AU1007" s="68"/>
      <c r="AV1007" s="68"/>
      <c r="AW1007" s="68"/>
      <c r="AX1007" s="68"/>
      <c r="BB1007" s="34"/>
    </row>
    <row r="1008" spans="1:55" ht="12.95" customHeight="1">
      <c r="A1008" s="14"/>
      <c r="B1008" s="73"/>
      <c r="C1008" s="74"/>
      <c r="D1008" s="1696" t="s">
        <v>1286</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8"/>
      <c r="AK1008" s="1729"/>
      <c r="AL1008" s="1729"/>
      <c r="AM1008" s="1729"/>
      <c r="AN1008" s="1729"/>
      <c r="AO1008" s="1729"/>
      <c r="AP1008" s="1729"/>
      <c r="AQ1008" s="1730"/>
      <c r="AR1008" s="68"/>
      <c r="AS1008" s="68"/>
      <c r="AT1008" s="68"/>
      <c r="AU1008" s="68"/>
      <c r="AV1008" s="68"/>
      <c r="AW1008" s="68"/>
      <c r="AX1008" s="68"/>
    </row>
    <row r="1009" spans="1:52" ht="12.95"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2" ht="12.95"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2" ht="12.95" customHeight="1">
      <c r="A1011" s="14"/>
      <c r="B1011" s="79"/>
      <c r="C1011" s="80" t="s">
        <v>212</v>
      </c>
      <c r="D1011" s="1765" t="s">
        <v>1288</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670</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row>
    <row r="1012" spans="1:52" ht="14.25" customHeight="1">
      <c r="A1012" s="14"/>
      <c r="B1012" s="73"/>
      <c r="C1012" s="74"/>
      <c r="D1012" s="1743" t="s">
        <v>1289</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3" t="s">
        <v>1842</v>
      </c>
      <c r="AZ1012" s="3" t="s">
        <v>2607</v>
      </c>
    </row>
    <row r="1013" spans="1:52" ht="12.95" customHeight="1">
      <c r="A1013" s="14"/>
      <c r="B1013" s="79"/>
      <c r="C1013" s="80" t="s">
        <v>215</v>
      </c>
      <c r="D1013" s="1765" t="s">
        <v>1290</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670</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6" t="s">
        <v>1291</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50" t="str">
        <f>IF(AND(AG1013="yes",T212&lt;&gt;1),"The project may not be eligible for this boost","")</f>
        <v/>
      </c>
      <c r="AG1014" s="1851"/>
      <c r="AH1014" s="1851"/>
      <c r="AI1014" s="1852"/>
      <c r="AJ1014" s="1728"/>
      <c r="AK1014" s="1729"/>
      <c r="AL1014" s="1729"/>
      <c r="AM1014" s="1729"/>
      <c r="AN1014" s="1729"/>
      <c r="AO1014" s="1729"/>
      <c r="AP1014" s="1729"/>
      <c r="AQ1014" s="1730"/>
      <c r="AR1014" s="68"/>
      <c r="AS1014" s="68"/>
      <c r="AT1014" s="68"/>
      <c r="AU1014" s="68"/>
      <c r="AV1014" s="68"/>
      <c r="AW1014" s="68"/>
      <c r="AX1014" s="3">
        <v>2</v>
      </c>
      <c r="AY1014" s="200">
        <f t="shared" ref="AY1014:AY1023" si="56">IF((_xlfn.XLOOKUP(AX1014,$C$1065:$C$1103,$A$1065:$A$1103,"",0,1))="Yes",AZ1014,0)</f>
        <v>0</v>
      </c>
      <c r="AZ1014" s="1255">
        <v>0.15</v>
      </c>
    </row>
    <row r="1015" spans="1:52" ht="12.95"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3"/>
      <c r="AG1015" s="1854"/>
      <c r="AH1015" s="1854"/>
      <c r="AI1015" s="1855"/>
      <c r="AJ1015" s="1731"/>
      <c r="AK1015" s="1732"/>
      <c r="AL1015" s="1732"/>
      <c r="AM1015" s="1732"/>
      <c r="AN1015" s="1732"/>
      <c r="AO1015" s="1732"/>
      <c r="AP1015" s="1732"/>
      <c r="AQ1015" s="1733"/>
      <c r="AR1015" s="68"/>
      <c r="AS1015" s="68"/>
      <c r="AT1015" s="68"/>
      <c r="AU1015" s="68"/>
      <c r="AV1015" s="68"/>
      <c r="AW1015" s="68"/>
      <c r="AX1015" s="3">
        <v>3</v>
      </c>
      <c r="AY1015" s="200">
        <f t="shared" si="56"/>
        <v>0</v>
      </c>
      <c r="AZ1015" s="1255">
        <v>0.05</v>
      </c>
    </row>
    <row r="1016" spans="1:52" ht="12.95" customHeight="1">
      <c r="A1016" s="14"/>
      <c r="B1016" s="79"/>
      <c r="C1016" s="80" t="s">
        <v>218</v>
      </c>
      <c r="D1016" s="1734" t="s">
        <v>2236</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670</v>
      </c>
      <c r="AH1016" s="1752"/>
      <c r="AI1016" s="87"/>
      <c r="AJ1016" s="1725">
        <f>IF(AG1016="yes",AJ992*AY1024,0)</f>
        <v>0</v>
      </c>
      <c r="AK1016" s="1726"/>
      <c r="AL1016" s="1726"/>
      <c r="AM1016" s="1726"/>
      <c r="AN1016" s="1726"/>
      <c r="AO1016" s="1726"/>
      <c r="AP1016" s="1726"/>
      <c r="AQ1016" s="1727"/>
      <c r="AR1016" s="68"/>
      <c r="AS1016" s="68"/>
      <c r="AT1016" s="68"/>
      <c r="AU1016" s="68"/>
      <c r="AV1016" s="68"/>
      <c r="AW1016" s="68"/>
      <c r="AX1016" s="3">
        <v>4</v>
      </c>
      <c r="AY1016" s="200">
        <f t="shared" si="56"/>
        <v>0</v>
      </c>
      <c r="AZ1016" s="1255">
        <v>0.02</v>
      </c>
    </row>
    <row r="1017" spans="1:52" ht="12.95" customHeight="1">
      <c r="A1017" s="14"/>
      <c r="B1017" s="73"/>
      <c r="C1017" s="74"/>
      <c r="D1017" s="1696" t="s">
        <v>1292</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4" t="str">
        <f>IF(AND(AG1016="Yes",AY1024=0),AY1027,"")</f>
        <v/>
      </c>
      <c r="AG1017" s="1845"/>
      <c r="AH1017" s="1845"/>
      <c r="AI1017" s="1846"/>
      <c r="AJ1017" s="1728"/>
      <c r="AK1017" s="1729"/>
      <c r="AL1017" s="1729"/>
      <c r="AM1017" s="1729"/>
      <c r="AN1017" s="1729"/>
      <c r="AO1017" s="1729"/>
      <c r="AP1017" s="1729"/>
      <c r="AQ1017" s="1730"/>
      <c r="AR1017" s="68"/>
      <c r="AS1017" s="68"/>
      <c r="AT1017" s="68"/>
      <c r="AU1017" s="68"/>
      <c r="AV1017" s="68"/>
      <c r="AW1017" s="68"/>
      <c r="AX1017" s="3">
        <v>5</v>
      </c>
      <c r="AY1017" s="200">
        <f t="shared" si="56"/>
        <v>0</v>
      </c>
      <c r="AZ1017" s="1255">
        <v>0.04</v>
      </c>
    </row>
    <row r="1018" spans="1:52" ht="12.95"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4"/>
      <c r="AG1018" s="1845"/>
      <c r="AH1018" s="1845"/>
      <c r="AI1018" s="1846"/>
      <c r="AJ1018" s="1728"/>
      <c r="AK1018" s="1729"/>
      <c r="AL1018" s="1729"/>
      <c r="AM1018" s="1729"/>
      <c r="AN1018" s="1729"/>
      <c r="AO1018" s="1729"/>
      <c r="AP1018" s="1729"/>
      <c r="AQ1018" s="1730"/>
      <c r="AR1018" s="68"/>
      <c r="AS1018" s="68"/>
      <c r="AT1018" s="68"/>
      <c r="AU1018" s="68"/>
      <c r="AV1018" s="68"/>
      <c r="AW1018" s="68"/>
      <c r="AX1018" s="3">
        <v>6</v>
      </c>
      <c r="AY1018" s="200">
        <f t="shared" si="56"/>
        <v>0</v>
      </c>
      <c r="AZ1018" s="1255">
        <v>0.04</v>
      </c>
    </row>
    <row r="1019" spans="1:52" ht="12.95"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7"/>
      <c r="AG1019" s="1848"/>
      <c r="AH1019" s="1848"/>
      <c r="AI1019" s="1849"/>
      <c r="AJ1019" s="1731"/>
      <c r="AK1019" s="1732"/>
      <c r="AL1019" s="1732"/>
      <c r="AM1019" s="1732"/>
      <c r="AN1019" s="1732"/>
      <c r="AO1019" s="1732"/>
      <c r="AP1019" s="1732"/>
      <c r="AQ1019" s="1733"/>
      <c r="AR1019" s="68"/>
      <c r="AS1019" s="68"/>
      <c r="AT1019" s="68"/>
      <c r="AU1019" s="68"/>
      <c r="AV1019" s="68"/>
      <c r="AW1019" s="68"/>
      <c r="AX1019" s="3">
        <v>7</v>
      </c>
      <c r="AY1019" s="200">
        <f t="shared" si="56"/>
        <v>0</v>
      </c>
      <c r="AZ1019" s="1255">
        <v>0.01</v>
      </c>
    </row>
    <row r="1020" spans="1:52" ht="12.95" customHeight="1">
      <c r="A1020" s="14"/>
      <c r="B1020" s="79"/>
      <c r="C1020" s="80" t="s">
        <v>223</v>
      </c>
      <c r="D1020" s="1813" t="s">
        <v>1293</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670</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3">
        <v>8</v>
      </c>
      <c r="AY1020" s="200">
        <f t="shared" si="56"/>
        <v>0</v>
      </c>
      <c r="AZ1020" s="1255">
        <v>0.01</v>
      </c>
    </row>
    <row r="1021" spans="1:52" ht="12.95"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0" t="str">
        <f>IF(AG1020="yes","Please Select Type and Enter Amount:","")</f>
        <v/>
      </c>
      <c r="AG1021" s="1831"/>
      <c r="AH1021" s="1831"/>
      <c r="AI1021" s="1832"/>
      <c r="AJ1021" s="1728"/>
      <c r="AK1021" s="1729"/>
      <c r="AL1021" s="1729"/>
      <c r="AM1021" s="1729"/>
      <c r="AN1021" s="1729"/>
      <c r="AO1021" s="1729"/>
      <c r="AP1021" s="1729"/>
      <c r="AQ1021" s="1730"/>
      <c r="AR1021" s="68"/>
      <c r="AS1021" s="68"/>
      <c r="AT1021" s="68"/>
      <c r="AU1021" s="68"/>
      <c r="AV1021" s="68"/>
      <c r="AW1021" s="68"/>
      <c r="AX1021" s="3">
        <v>9</v>
      </c>
      <c r="AY1021" s="200">
        <f t="shared" si="56"/>
        <v>0</v>
      </c>
      <c r="AZ1021" s="1255">
        <v>0.01</v>
      </c>
    </row>
    <row r="1022" spans="1:52" ht="12.95" customHeight="1">
      <c r="A1022" s="14"/>
      <c r="B1022" s="81"/>
      <c r="C1022" s="84"/>
      <c r="D1022" s="1696" t="s">
        <v>1294</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0"/>
      <c r="AG1022" s="1831"/>
      <c r="AH1022" s="1831"/>
      <c r="AI1022" s="1832"/>
      <c r="AJ1022" s="1728"/>
      <c r="AK1022" s="1729"/>
      <c r="AL1022" s="1729"/>
      <c r="AM1022" s="1729"/>
      <c r="AN1022" s="1729"/>
      <c r="AO1022" s="1729"/>
      <c r="AP1022" s="1729"/>
      <c r="AQ1022" s="1730"/>
      <c r="AR1022" s="68"/>
      <c r="AS1022" s="68"/>
      <c r="AT1022" s="68"/>
      <c r="AU1022" s="68"/>
      <c r="AV1022" s="68"/>
      <c r="AW1022" s="68"/>
      <c r="AX1022" s="3">
        <v>10</v>
      </c>
      <c r="AY1022" s="200">
        <f t="shared" si="56"/>
        <v>0</v>
      </c>
      <c r="AZ1022" s="1255">
        <v>0.02</v>
      </c>
    </row>
    <row r="1023" spans="1:52" ht="12.95"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3">
        <v>11</v>
      </c>
      <c r="AY1023" s="200">
        <f t="shared" si="56"/>
        <v>0</v>
      </c>
      <c r="AZ1023" s="1255">
        <v>0.02</v>
      </c>
    </row>
    <row r="1024" spans="1:52" ht="12.95" customHeight="1">
      <c r="A1024" s="14"/>
      <c r="B1024" s="81"/>
      <c r="C1024" s="84"/>
      <c r="D1024" s="526" t="s">
        <v>359</v>
      </c>
      <c r="E1024" s="90"/>
      <c r="F1024" s="90"/>
      <c r="G1024" s="104"/>
      <c r="H1024" s="104"/>
      <c r="I1024" s="49"/>
      <c r="J1024" s="1822" t="s">
        <v>592</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765" t="s">
        <v>1295</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670</v>
      </c>
      <c r="AH1025" s="1752"/>
      <c r="AI1025" s="87"/>
      <c r="AJ1025" s="1725">
        <f>ROUND(IF(AG1025="Yes",AF1027,0),0)</f>
        <v>0</v>
      </c>
      <c r="AK1025" s="1726"/>
      <c r="AL1025" s="1726"/>
      <c r="AM1025" s="1726"/>
      <c r="AN1025" s="1726"/>
      <c r="AO1025" s="1726"/>
      <c r="AP1025" s="1726"/>
      <c r="AQ1025" s="1727"/>
      <c r="AR1025" s="68"/>
      <c r="AS1025" s="68"/>
      <c r="AT1025" s="68"/>
      <c r="AU1025" s="68"/>
      <c r="AV1025" s="68"/>
      <c r="AW1025" s="68"/>
      <c r="AX1025" s="68"/>
      <c r="AY1025" s="68"/>
    </row>
    <row r="1026" spans="1:57" ht="12.95" customHeight="1">
      <c r="A1026" s="14"/>
      <c r="B1026" s="73"/>
      <c r="C1026" s="74"/>
      <c r="D1026" s="1696" t="s">
        <v>1691</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9" t="str">
        <f>IF(AG1025="yes","Enter Amount:","")</f>
        <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2.95"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4"/>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2.95" customHeight="1">
      <c r="A1029" s="14"/>
      <c r="B1029" s="79"/>
      <c r="C1029" s="80" t="s">
        <v>234</v>
      </c>
      <c r="D1029" s="1734" t="s">
        <v>1296</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546</v>
      </c>
      <c r="AH1029" s="1752"/>
      <c r="AI1029" s="87"/>
      <c r="AJ1029" s="1725">
        <f>ROUND(IF(AG1029="yes",(AJ992*0.1),0),0)</f>
        <v>13876313</v>
      </c>
      <c r="AK1029" s="1726"/>
      <c r="AL1029" s="1726"/>
      <c r="AM1029" s="1726"/>
      <c r="AN1029" s="1726"/>
      <c r="AO1029" s="1726"/>
      <c r="AP1029" s="1726"/>
      <c r="AQ1029" s="1727"/>
      <c r="AR1029" s="68"/>
      <c r="AS1029" s="68"/>
      <c r="AT1029" s="68"/>
      <c r="AU1029" s="68"/>
      <c r="AV1029" s="68"/>
      <c r="AW1029" s="68"/>
      <c r="AX1029" s="68"/>
      <c r="AY1029" s="68"/>
    </row>
    <row r="1030" spans="1:57" ht="12.95" customHeight="1">
      <c r="A1030" s="14"/>
      <c r="B1030" s="73"/>
      <c r="C1030" s="74"/>
      <c r="D1030" s="1696" t="s">
        <v>1297</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2.95"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2.95" customHeight="1">
      <c r="A1032" s="14"/>
      <c r="B1032" s="73"/>
      <c r="C1032" s="339" t="s">
        <v>688</v>
      </c>
      <c r="D1032" s="1765" t="s">
        <v>1687</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546</v>
      </c>
      <c r="AH1032" s="1752"/>
      <c r="AI1032" s="87"/>
      <c r="AJ1032" s="1725">
        <f>ROUND(IF(AG1032="yes",(AJ992*0.15),0),0)</f>
        <v>20814470</v>
      </c>
      <c r="AK1032" s="1726"/>
      <c r="AL1032" s="1726"/>
      <c r="AM1032" s="1726"/>
      <c r="AN1032" s="1726"/>
      <c r="AO1032" s="1726"/>
      <c r="AP1032" s="1726"/>
      <c r="AQ1032" s="1727"/>
      <c r="AR1032" s="68"/>
      <c r="AS1032" s="68"/>
      <c r="AT1032" s="68"/>
      <c r="AU1032" s="68"/>
      <c r="AV1032" s="68"/>
      <c r="AW1032" s="68"/>
      <c r="AX1032" s="68"/>
      <c r="AY1032" s="68"/>
    </row>
    <row r="1033" spans="1:57" ht="12.95" customHeight="1">
      <c r="A1033" s="14"/>
      <c r="B1033" s="73"/>
      <c r="C1033" s="74"/>
      <c r="D1033" s="1802"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3"/>
      <c r="AF1033" s="915"/>
      <c r="AG1033" s="916"/>
      <c r="AH1033" s="916"/>
      <c r="AI1033" s="917"/>
      <c r="AJ1033" s="1728"/>
      <c r="AK1033" s="1729"/>
      <c r="AL1033" s="1729"/>
      <c r="AM1033" s="1729"/>
      <c r="AN1033" s="1729"/>
      <c r="AO1033" s="1729"/>
      <c r="AP1033" s="1729"/>
      <c r="AQ1033" s="1730"/>
      <c r="AR1033" s="68"/>
      <c r="AS1033" s="68"/>
      <c r="AT1033" s="68"/>
      <c r="AU1033" s="68"/>
      <c r="AV1033" s="68"/>
      <c r="AW1033" s="68"/>
      <c r="AX1033" s="68"/>
      <c r="AY1033" s="68"/>
    </row>
    <row r="1034" spans="1:57" ht="12.95" customHeight="1">
      <c r="A1034" s="14"/>
      <c r="B1034" s="73"/>
      <c r="C1034" s="74"/>
      <c r="D1034" s="1802"/>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3"/>
      <c r="AF1034" s="915"/>
      <c r="AG1034" s="916"/>
      <c r="AH1034" s="916"/>
      <c r="AI1034" s="917"/>
      <c r="AJ1034" s="1728"/>
      <c r="AK1034" s="1729"/>
      <c r="AL1034" s="1729"/>
      <c r="AM1034" s="1729"/>
      <c r="AN1034" s="1729"/>
      <c r="AO1034" s="1729"/>
      <c r="AP1034" s="1729"/>
      <c r="AQ1034" s="1730"/>
      <c r="AR1034" s="68"/>
      <c r="AS1034" s="68"/>
      <c r="AT1034" s="68"/>
      <c r="AU1034" s="68"/>
      <c r="AV1034" s="68"/>
      <c r="AW1034" s="68"/>
      <c r="AX1034" s="68"/>
      <c r="AY1034" s="68"/>
    </row>
    <row r="1035" spans="1:57" ht="12.95"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8"/>
      <c r="AG1035" s="919"/>
      <c r="AH1035" s="919"/>
      <c r="AI1035" s="920"/>
      <c r="AJ1035" s="1731"/>
      <c r="AK1035" s="1732"/>
      <c r="AL1035" s="1732"/>
      <c r="AM1035" s="1732"/>
      <c r="AN1035" s="1732"/>
      <c r="AO1035" s="1732"/>
      <c r="AP1035" s="1732"/>
      <c r="AQ1035" s="1733"/>
      <c r="AR1035" s="68"/>
      <c r="AS1035" s="68"/>
      <c r="AT1035" s="68"/>
      <c r="AU1035" s="68"/>
      <c r="AV1035" s="68"/>
      <c r="AW1035" s="68"/>
      <c r="AX1035" s="68"/>
      <c r="AY1035" s="68"/>
    </row>
    <row r="1036" spans="1:57" ht="12.95" customHeight="1">
      <c r="A1036" s="14"/>
      <c r="B1036" s="73"/>
      <c r="C1036" s="339" t="s">
        <v>688</v>
      </c>
      <c r="D1036" s="1734" t="s">
        <v>1689</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670</v>
      </c>
      <c r="AH1036" s="1754"/>
      <c r="AI1036" s="83"/>
      <c r="AJ1036" s="1725">
        <f>ROUND(IF(AND(AG1036="yes",AJ1032=0),(AJ992*0.1),0),0)</f>
        <v>0</v>
      </c>
      <c r="AK1036" s="1726"/>
      <c r="AL1036" s="1726"/>
      <c r="AM1036" s="1726"/>
      <c r="AN1036" s="1726"/>
      <c r="AO1036" s="1726"/>
      <c r="AP1036" s="1726"/>
      <c r="AQ1036" s="1727"/>
      <c r="AR1036" s="68"/>
      <c r="AS1036" s="68"/>
      <c r="AT1036" s="68"/>
      <c r="AU1036" s="68"/>
      <c r="AV1036" s="68"/>
      <c r="AW1036" s="68"/>
      <c r="AX1036" s="68"/>
      <c r="AY1036" s="68"/>
    </row>
    <row r="1037" spans="1:57" ht="12.95" customHeight="1">
      <c r="A1037" s="14"/>
      <c r="B1037" s="73"/>
      <c r="C1037" s="74"/>
      <c r="D1037" s="1802"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2.95" customHeight="1">
      <c r="A1038" s="14"/>
      <c r="B1038" s="73"/>
      <c r="C1038" s="74"/>
      <c r="D1038" s="1802"/>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802"/>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0.47388059701492535</v>
      </c>
      <c r="BB1039" s="3" t="s">
        <v>2493</v>
      </c>
    </row>
    <row r="1040" spans="1:57" ht="12.95"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1</v>
      </c>
      <c r="BB1040" s="3" t="s">
        <v>2490</v>
      </c>
    </row>
    <row r="1041" spans="1:56" ht="12.95" customHeight="1">
      <c r="A1041" s="14"/>
      <c r="B1041" s="79"/>
      <c r="C1041" s="131" t="s">
        <v>1011</v>
      </c>
      <c r="D1041" s="1765" t="s">
        <v>1298</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670</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0</v>
      </c>
      <c r="BB1041" s="3" t="s">
        <v>2491</v>
      </c>
    </row>
    <row r="1042" spans="1:56" ht="12.95" customHeight="1">
      <c r="A1042" s="14"/>
      <c r="B1042" s="73"/>
      <c r="C1042" s="74"/>
      <c r="D1042" s="1696" t="s">
        <v>2145</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4">
        <f>T212</f>
        <v>0</v>
      </c>
      <c r="BB1042" s="3" t="s">
        <v>2492</v>
      </c>
    </row>
    <row r="1043" spans="1:56" ht="12.95"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2.95"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2.95" customHeight="1">
      <c r="A1045" s="14"/>
      <c r="B1045" s="79"/>
      <c r="C1045" s="131" t="s">
        <v>1685</v>
      </c>
      <c r="D1045" s="1734" t="s">
        <v>1865</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22202100.960000001</v>
      </c>
      <c r="AK1045" s="1726"/>
      <c r="AL1045" s="1726"/>
      <c r="AM1045" s="1726"/>
      <c r="AN1045" s="1726"/>
      <c r="AO1045" s="1726"/>
      <c r="AP1045" s="1726"/>
      <c r="AQ1045" s="172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696" t="s">
        <v>1300</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3"/>
      <c r="AH1046" s="443"/>
      <c r="AI1046" s="83"/>
      <c r="AJ1046" s="1728"/>
      <c r="AK1046" s="1729"/>
      <c r="AL1046" s="1729"/>
      <c r="AM1046" s="1729"/>
      <c r="AN1046" s="1729"/>
      <c r="AO1046" s="1729"/>
      <c r="AP1046" s="1729"/>
      <c r="AQ1046" s="1730"/>
      <c r="AR1046" s="68"/>
      <c r="AS1046" s="68"/>
      <c r="AT1046" s="68"/>
      <c r="AU1046" s="13"/>
      <c r="AV1046" s="68"/>
      <c r="AW1046" s="68"/>
      <c r="AX1046" s="68"/>
      <c r="AY1046" s="68"/>
      <c r="AZ1046" s="962">
        <f>'Sources and Uses Budget'!S97*BA1046</f>
        <v>10878641</v>
      </c>
      <c r="BA1046" s="1182">
        <f>IF(BA1040,20%,15%)</f>
        <v>0.2</v>
      </c>
      <c r="BB1046" s="3" t="s">
        <v>2479</v>
      </c>
      <c r="BC1046" s="3" t="s">
        <v>2480</v>
      </c>
      <c r="BD1046" s="3"/>
    </row>
    <row r="1047" spans="1:56" ht="12.95" customHeight="1">
      <c r="A1047" s="14"/>
      <c r="B1047" s="73"/>
      <c r="C1047" s="442"/>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3"/>
      <c r="AH1047" s="443"/>
      <c r="AI1047" s="83"/>
      <c r="AJ1047" s="1728"/>
      <c r="AK1047" s="1729"/>
      <c r="AL1047" s="1729"/>
      <c r="AM1047" s="1729"/>
      <c r="AN1047" s="1729"/>
      <c r="AO1047" s="1729"/>
      <c r="AP1047" s="1729"/>
      <c r="AQ1047" s="1730"/>
      <c r="AR1047" s="68"/>
      <c r="AS1047" s="68"/>
      <c r="AT1047" s="68"/>
      <c r="AU1047" s="13"/>
      <c r="AV1047" s="68"/>
      <c r="AW1047" s="68"/>
      <c r="AX1047" s="68"/>
      <c r="AY1047" s="68"/>
      <c r="AZ1047" s="962">
        <f>IF(M356="N/A",0,'Sources and Uses Budget'!T97*BA1047)</f>
        <v>3720000</v>
      </c>
      <c r="BA1047" s="1182">
        <v>0.15</v>
      </c>
      <c r="BB1047" s="3" t="s">
        <v>2479</v>
      </c>
      <c r="BC1047" s="3" t="s">
        <v>2481</v>
      </c>
      <c r="BD1047" s="3"/>
    </row>
    <row r="1048" spans="1:56" ht="12.95" customHeight="1">
      <c r="A1048" s="14"/>
      <c r="B1048" s="77"/>
      <c r="C1048" s="78"/>
      <c r="D1048" s="132" t="s">
        <v>973</v>
      </c>
      <c r="E1048" s="133"/>
      <c r="F1048" s="133"/>
      <c r="G1048" s="133"/>
      <c r="H1048" s="133"/>
      <c r="I1048" s="1788">
        <f>AY1003</f>
        <v>268</v>
      </c>
      <c r="J1048" s="1789"/>
      <c r="K1048" s="7"/>
      <c r="L1048" s="133"/>
      <c r="M1048" s="133"/>
      <c r="N1048" s="133"/>
      <c r="O1048" s="133"/>
      <c r="P1048" s="133"/>
      <c r="Q1048" s="133"/>
      <c r="R1048" s="133"/>
      <c r="S1048" s="133"/>
      <c r="T1048" s="133"/>
      <c r="U1048" s="133"/>
      <c r="V1048" s="134" t="s">
        <v>974</v>
      </c>
      <c r="W1048" s="48"/>
      <c r="X1048" s="1786">
        <f>CI753</f>
        <v>43</v>
      </c>
      <c r="Y1048" s="1787"/>
      <c r="Z1048" s="48"/>
      <c r="AA1048" s="48"/>
      <c r="AB1048" s="48"/>
      <c r="AC1048" s="48"/>
      <c r="AD1048" s="48"/>
      <c r="AE1048" s="49"/>
      <c r="AF1048" s="924"/>
      <c r="AG1048" s="925"/>
      <c r="AH1048" s="925"/>
      <c r="AI1048" s="926"/>
      <c r="AJ1048" s="1731"/>
      <c r="AK1048" s="1732"/>
      <c r="AL1048" s="1732"/>
      <c r="AM1048" s="1732"/>
      <c r="AN1048" s="1732"/>
      <c r="AO1048" s="1732"/>
      <c r="AP1048" s="1732"/>
      <c r="AQ1048" s="173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1686</v>
      </c>
      <c r="D1049" s="1765" t="s">
        <v>2171</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86033141.219999999</v>
      </c>
      <c r="AK1049" s="1726"/>
      <c r="AL1049" s="1726"/>
      <c r="AM1049" s="1726"/>
      <c r="AN1049" s="1726"/>
      <c r="AO1049" s="1726"/>
      <c r="AP1049" s="1726"/>
      <c r="AQ1049" s="1727"/>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696" t="s">
        <v>1299</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3"/>
      <c r="AH1050" s="443"/>
      <c r="AI1050" s="83"/>
      <c r="AJ1050" s="1728"/>
      <c r="AK1050" s="1729"/>
      <c r="AL1050" s="1729"/>
      <c r="AM1050" s="1729"/>
      <c r="AN1050" s="1729"/>
      <c r="AO1050" s="1729"/>
      <c r="AP1050" s="1729"/>
      <c r="AQ1050" s="1730"/>
      <c r="AR1050" s="68"/>
      <c r="AS1050" s="68"/>
      <c r="AT1050" s="68"/>
      <c r="AU1050" s="68"/>
      <c r="AV1050" s="68"/>
      <c r="AW1050" s="68"/>
      <c r="AX1050" s="68"/>
      <c r="AY1050" s="68"/>
      <c r="AZ1050" s="962"/>
      <c r="BA1050" s="3"/>
      <c r="BB1050" s="3"/>
      <c r="BC1050" s="3"/>
      <c r="BD1050" s="3"/>
    </row>
    <row r="1051" spans="1:56" ht="12.95"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1"/>
      <c r="AG1051" s="922"/>
      <c r="AH1051" s="922"/>
      <c r="AI1051" s="923"/>
      <c r="AJ1051" s="1728"/>
      <c r="AK1051" s="1729"/>
      <c r="AL1051" s="1729"/>
      <c r="AM1051" s="1729"/>
      <c r="AN1051" s="1729"/>
      <c r="AO1051" s="1729"/>
      <c r="AP1051" s="1729"/>
      <c r="AQ1051" s="1730"/>
      <c r="AR1051" s="68"/>
      <c r="AS1051" s="68"/>
      <c r="AT1051" s="68"/>
      <c r="AU1051" s="68"/>
      <c r="AV1051" s="68"/>
      <c r="AW1051" s="68"/>
      <c r="AX1051" s="68"/>
      <c r="AY1051" s="68"/>
      <c r="AZ1051" s="962">
        <f>ROUNDDOWN(MIN(SUM(AZ1046,AZ1047,AZ1048,AZ1049),BD1051),0)</f>
        <v>3000000</v>
      </c>
      <c r="BA1051" s="3" t="s">
        <v>2484</v>
      </c>
      <c r="BB1051" s="3"/>
      <c r="BC1051" s="3"/>
      <c r="BD1051" s="3" cm="1">
        <f t="array" ref="BD1051">_xlfn.IFS(BA1040,3000000,AND(BA1041&gt;=25%,BA1042&gt;=15),2800000,TRUE,2500000)</f>
        <v>3000000</v>
      </c>
    </row>
    <row r="1052" spans="1:56" ht="12.95" customHeight="1">
      <c r="A1052" s="14"/>
      <c r="B1052" s="77"/>
      <c r="C1052" s="78"/>
      <c r="D1052" s="132" t="s">
        <v>973</v>
      </c>
      <c r="E1052" s="133"/>
      <c r="F1052" s="133"/>
      <c r="G1052" s="133"/>
      <c r="H1052" s="133"/>
      <c r="I1052" s="1788">
        <f>AY1003</f>
        <v>268</v>
      </c>
      <c r="J1052" s="1789"/>
      <c r="K1052" s="14"/>
      <c r="L1052" s="133"/>
      <c r="M1052" s="133"/>
      <c r="N1052" s="133"/>
      <c r="O1052" s="133"/>
      <c r="P1052" s="133"/>
      <c r="Q1052" s="133"/>
      <c r="R1052" s="133"/>
      <c r="S1052" s="133"/>
      <c r="T1052" s="133"/>
      <c r="U1052" s="133"/>
      <c r="V1052" s="134" t="s">
        <v>975</v>
      </c>
      <c r="X1052" s="1786">
        <f>CM753</f>
        <v>84</v>
      </c>
      <c r="Y1052" s="1787"/>
      <c r="AF1052" s="924"/>
      <c r="AG1052" s="925"/>
      <c r="AH1052" s="925"/>
      <c r="AI1052" s="926"/>
      <c r="AJ1052" s="1731"/>
      <c r="AK1052" s="1732"/>
      <c r="AL1052" s="1732"/>
      <c r="AM1052" s="1732"/>
      <c r="AN1052" s="1732"/>
      <c r="AO1052" s="1732"/>
      <c r="AP1052" s="1732"/>
      <c r="AQ1052" s="1733"/>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784" t="s">
        <v>514</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281689156.18000001</v>
      </c>
      <c r="AK1053" s="1800"/>
      <c r="AL1053" s="1800"/>
      <c r="AM1053" s="1800"/>
      <c r="AN1053" s="1800"/>
      <c r="AO1053" s="1800"/>
      <c r="AP1053" s="1800"/>
      <c r="AQ1053" s="1801"/>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3000000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93791846</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14598641</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0.47386192161682783</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14598641</v>
      </c>
      <c r="BB1058" s="3" t="s">
        <v>2494</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11598641</v>
      </c>
      <c r="BB1059" s="3" t="s">
        <v>2495</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7" t="s">
        <v>795</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592</v>
      </c>
      <c r="B1065" s="1415"/>
      <c r="C1065" s="1857">
        <v>1</v>
      </c>
      <c r="D1065" s="1857"/>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7"/>
      <c r="D1066" s="18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57">
        <v>2</v>
      </c>
      <c r="D1067" s="1857"/>
      <c r="E1067" s="1859" t="s">
        <v>2238</v>
      </c>
      <c r="F1067" s="1859"/>
      <c r="G1067" s="1859"/>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1859"/>
      <c r="AP1067" s="1859"/>
      <c r="AQ1067" s="1859"/>
      <c r="AR1067" s="1859"/>
      <c r="AS1067" s="14"/>
      <c r="AT1067" s="14"/>
      <c r="AV1067" s="68"/>
      <c r="AW1067" s="68"/>
      <c r="AX1067" s="68"/>
      <c r="AY1067" s="68"/>
    </row>
    <row r="1068" spans="1:54" ht="12.95" customHeight="1">
      <c r="A1068" s="198"/>
      <c r="B1068" s="67"/>
      <c r="C1068" s="1857"/>
      <c r="D1068" s="1857"/>
      <c r="E1068" s="1859"/>
      <c r="F1068" s="1859"/>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1859"/>
      <c r="AP1068" s="1859"/>
      <c r="AQ1068" s="1859"/>
      <c r="AR1068" s="1859"/>
      <c r="AS1068" s="14"/>
      <c r="AT1068" s="14"/>
      <c r="AV1068" s="68"/>
      <c r="AW1068" s="68"/>
      <c r="AX1068" s="68"/>
      <c r="AY1068" s="68"/>
    </row>
    <row r="1069" spans="1:54" ht="12.95" customHeight="1">
      <c r="A1069" s="198"/>
      <c r="B1069" s="67"/>
      <c r="C1069" s="1857"/>
      <c r="D1069" s="18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592</v>
      </c>
      <c r="B1081" s="1415"/>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592</v>
      </c>
      <c r="B1085" s="1415"/>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592</v>
      </c>
      <c r="B1089" s="1415"/>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592</v>
      </c>
      <c r="B1097" s="1415"/>
      <c r="C1097" s="1857">
        <v>9</v>
      </c>
      <c r="D1097" s="1857"/>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7"/>
      <c r="D1098" s="1857"/>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7"/>
      <c r="D1099" s="1857"/>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592</v>
      </c>
      <c r="B1100" s="1415"/>
      <c r="C1100" s="1857">
        <v>10</v>
      </c>
      <c r="D1100" s="1857"/>
      <c r="E1100" s="1858" t="s">
        <v>2239</v>
      </c>
      <c r="F1100" s="1858"/>
      <c r="G1100" s="1858"/>
      <c r="H1100" s="1858"/>
      <c r="I1100" s="1858"/>
      <c r="J1100" s="1858"/>
      <c r="K1100" s="1858"/>
      <c r="L1100" s="1858"/>
      <c r="M1100" s="1858"/>
      <c r="N1100" s="1858"/>
      <c r="O1100" s="1858"/>
      <c r="P1100" s="1858"/>
      <c r="Q1100" s="1858"/>
      <c r="R1100" s="1858"/>
      <c r="S1100" s="1858"/>
      <c r="T1100" s="1858"/>
      <c r="U1100" s="1858"/>
      <c r="V1100" s="1858"/>
      <c r="W1100" s="1858"/>
      <c r="X1100" s="1858"/>
      <c r="Y1100" s="1858"/>
      <c r="Z1100" s="1858"/>
      <c r="AA1100" s="1858"/>
      <c r="AB1100" s="1858"/>
      <c r="AC1100" s="1858"/>
      <c r="AD1100" s="1858"/>
      <c r="AE1100" s="1858"/>
      <c r="AF1100" s="1858"/>
      <c r="AG1100" s="1858"/>
      <c r="AH1100" s="1858"/>
      <c r="AI1100" s="1858"/>
      <c r="AJ1100" s="1858"/>
      <c r="AK1100" s="1858"/>
      <c r="AL1100" s="1858"/>
      <c r="AM1100" s="1858"/>
      <c r="AN1100" s="1858"/>
      <c r="AO1100" s="1858"/>
      <c r="AP1100" s="1858"/>
      <c r="AQ1100" s="1858"/>
      <c r="AR1100" s="1858"/>
    </row>
    <row r="1101" spans="1:45" ht="12.95" customHeight="1">
      <c r="A1101" s="1"/>
      <c r="B1101" s="1"/>
      <c r="C1101" s="199"/>
      <c r="D1101" s="1161"/>
      <c r="E1101" s="1858"/>
      <c r="F1101" s="1858"/>
      <c r="G1101" s="1858"/>
      <c r="H1101" s="1858"/>
      <c r="I1101" s="1858"/>
      <c r="J1101" s="1858"/>
      <c r="K1101" s="1858"/>
      <c r="L1101" s="1858"/>
      <c r="M1101" s="1858"/>
      <c r="N1101" s="1858"/>
      <c r="O1101" s="1858"/>
      <c r="P1101" s="1858"/>
      <c r="Q1101" s="1858"/>
      <c r="R1101" s="1858"/>
      <c r="S1101" s="1858"/>
      <c r="T1101" s="1858"/>
      <c r="U1101" s="1858"/>
      <c r="V1101" s="1858"/>
      <c r="W1101" s="1858"/>
      <c r="X1101" s="1858"/>
      <c r="Y1101" s="1858"/>
      <c r="Z1101" s="1858"/>
      <c r="AA1101" s="1858"/>
      <c r="AB1101" s="1858"/>
      <c r="AC1101" s="1858"/>
      <c r="AD1101" s="1858"/>
      <c r="AE1101" s="1858"/>
      <c r="AF1101" s="1858"/>
      <c r="AG1101" s="1858"/>
      <c r="AH1101" s="1858"/>
      <c r="AI1101" s="1858"/>
      <c r="AJ1101" s="1858"/>
      <c r="AK1101" s="1858"/>
      <c r="AL1101" s="1858"/>
      <c r="AM1101" s="1858"/>
      <c r="AN1101" s="1858"/>
      <c r="AO1101" s="1858"/>
      <c r="AP1101" s="1858"/>
      <c r="AQ1101" s="1858"/>
      <c r="AR1101" s="1858"/>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592</v>
      </c>
      <c r="B1103" s="1415"/>
      <c r="C1103" s="1857">
        <v>11</v>
      </c>
      <c r="D1103" s="1857"/>
      <c r="E1103" s="1858" t="s">
        <v>2241</v>
      </c>
      <c r="F1103" s="1858"/>
      <c r="G1103" s="1858"/>
      <c r="H1103" s="1858"/>
      <c r="I1103" s="1858"/>
      <c r="J1103" s="1858"/>
      <c r="K1103" s="1858"/>
      <c r="L1103" s="1858"/>
      <c r="M1103" s="1858"/>
      <c r="N1103" s="1858"/>
      <c r="O1103" s="1858"/>
      <c r="P1103" s="1858"/>
      <c r="Q1103" s="1858"/>
      <c r="R1103" s="1858"/>
      <c r="S1103" s="1858"/>
      <c r="T1103" s="1858"/>
      <c r="U1103" s="1858"/>
      <c r="V1103" s="1858"/>
      <c r="W1103" s="1858"/>
      <c r="X1103" s="1858"/>
      <c r="Y1103" s="1858"/>
      <c r="Z1103" s="1858"/>
      <c r="AA1103" s="1858"/>
      <c r="AB1103" s="1858"/>
      <c r="AC1103" s="1858"/>
      <c r="AD1103" s="1858"/>
      <c r="AE1103" s="1858"/>
      <c r="AF1103" s="1858"/>
      <c r="AG1103" s="1858"/>
      <c r="AH1103" s="1858"/>
      <c r="AI1103" s="1858"/>
      <c r="AJ1103" s="1858"/>
      <c r="AK1103" s="1858"/>
      <c r="AL1103" s="1858"/>
      <c r="AM1103" s="1858"/>
      <c r="AN1103" s="1858"/>
      <c r="AO1103" s="1858"/>
      <c r="AP1103" s="1858"/>
      <c r="AQ1103" s="1858"/>
      <c r="AR1103" s="1858"/>
    </row>
    <row r="1104" spans="1:45" ht="12.95" customHeight="1">
      <c r="A1104" s="1"/>
      <c r="B1104" s="1"/>
      <c r="C1104" s="199"/>
      <c r="D1104" s="1161"/>
      <c r="E1104" s="1858"/>
      <c r="F1104" s="1858"/>
      <c r="G1104" s="1858"/>
      <c r="H1104" s="1858"/>
      <c r="I1104" s="1858"/>
      <c r="J1104" s="1858"/>
      <c r="K1104" s="1858"/>
      <c r="L1104" s="1858"/>
      <c r="M1104" s="1858"/>
      <c r="N1104" s="1858"/>
      <c r="O1104" s="1858"/>
      <c r="P1104" s="1858"/>
      <c r="Q1104" s="1858"/>
      <c r="R1104" s="1858"/>
      <c r="S1104" s="1858"/>
      <c r="T1104" s="1858"/>
      <c r="U1104" s="1858"/>
      <c r="V1104" s="1858"/>
      <c r="W1104" s="1858"/>
      <c r="X1104" s="1858"/>
      <c r="Y1104" s="1858"/>
      <c r="Z1104" s="1858"/>
      <c r="AA1104" s="1858"/>
      <c r="AB1104" s="1858"/>
      <c r="AC1104" s="1858"/>
      <c r="AD1104" s="1858"/>
      <c r="AE1104" s="1858"/>
      <c r="AF1104" s="1858"/>
      <c r="AG1104" s="1858"/>
      <c r="AH1104" s="1858"/>
      <c r="AI1104" s="1858"/>
      <c r="AJ1104" s="1858"/>
      <c r="AK1104" s="1858"/>
      <c r="AL1104" s="1858"/>
      <c r="AM1104" s="1858"/>
      <c r="AN1104" s="1858"/>
      <c r="AO1104" s="1858"/>
      <c r="AP1104" s="1858"/>
      <c r="AQ1104" s="1858"/>
      <c r="AR1104" s="1858"/>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2" zoomScaleNormal="100" workbookViewId="0">
      <selection activeCell="J17" sqref="J1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6" t="s">
        <v>622</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1)Citi Community Capital</v>
      </c>
      <c r="G2" s="139" t="str">
        <f>Application!B628&amp;Application!C628</f>
        <v>2)350 South Figueroa LLC</v>
      </c>
      <c r="H2" s="139" t="str">
        <f>Application!B629&amp;Application!C629</f>
        <v>3)Arden Development,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1800000</v>
      </c>
      <c r="C4" s="147">
        <v>1800000</v>
      </c>
      <c r="D4" s="147"/>
      <c r="E4" s="147"/>
      <c r="F4" s="147">
        <f>C4-SUM(G4:Q4)</f>
        <v>1800000</v>
      </c>
      <c r="G4" s="147"/>
      <c r="H4" s="147"/>
      <c r="I4" s="147"/>
      <c r="J4" s="147"/>
      <c r="K4" s="147"/>
      <c r="L4" s="147"/>
      <c r="M4" s="147"/>
      <c r="N4" s="147"/>
      <c r="O4" s="147"/>
      <c r="P4" s="147"/>
      <c r="Q4" s="147"/>
      <c r="R4" s="516">
        <f>SUM(E4:Q4)</f>
        <v>1800000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1800000</v>
      </c>
      <c r="C8" s="146">
        <f t="shared" ref="C8:Q8" si="0">SUM(C4:C7)</f>
        <v>1800000</v>
      </c>
      <c r="D8" s="146">
        <f t="shared" si="0"/>
        <v>0</v>
      </c>
      <c r="E8" s="146">
        <f t="shared" si="0"/>
        <v>0</v>
      </c>
      <c r="F8" s="146">
        <f t="shared" si="0"/>
        <v>1800000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1800000</v>
      </c>
      <c r="S8" s="148"/>
      <c r="T8" s="148"/>
      <c r="U8" s="143"/>
    </row>
    <row r="9" spans="1:21" s="144" customFormat="1">
      <c r="A9" s="145" t="s">
        <v>595</v>
      </c>
      <c r="B9" s="146">
        <f>SUM(C9+D9)</f>
        <v>24800000</v>
      </c>
      <c r="C9" s="147">
        <v>24800000</v>
      </c>
      <c r="D9" s="147"/>
      <c r="E9" s="147"/>
      <c r="F9" s="147">
        <f>C9-SUM(G9:Q9)</f>
        <v>19810000</v>
      </c>
      <c r="G9" s="147">
        <f>G108</f>
        <v>4990000</v>
      </c>
      <c r="H9" s="147"/>
      <c r="I9" s="147"/>
      <c r="J9" s="147"/>
      <c r="K9" s="147"/>
      <c r="L9" s="147"/>
      <c r="M9" s="147"/>
      <c r="N9" s="147"/>
      <c r="O9" s="147"/>
      <c r="P9" s="147"/>
      <c r="Q9" s="147"/>
      <c r="R9" s="516">
        <f>SUM(E9:Q9)</f>
        <v>24800000</v>
      </c>
      <c r="S9" s="148"/>
      <c r="T9" s="147">
        <f>C9</f>
        <v>24800000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24800000</v>
      </c>
      <c r="C11" s="146">
        <f t="shared" ref="C11:Q11" si="1">SUM(C9:C10)</f>
        <v>24800000</v>
      </c>
      <c r="D11" s="146">
        <f t="shared" si="1"/>
        <v>0</v>
      </c>
      <c r="E11" s="146">
        <f t="shared" si="1"/>
        <v>0</v>
      </c>
      <c r="F11" s="146">
        <f t="shared" si="1"/>
        <v>19810000</v>
      </c>
      <c r="G11" s="146">
        <f t="shared" si="1"/>
        <v>4990000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24800000</v>
      </c>
      <c r="S11" s="148"/>
      <c r="T11" s="150">
        <f>SUM(T9:T10)</f>
        <v>24800000</v>
      </c>
      <c r="U11" s="143"/>
    </row>
    <row r="12" spans="1:21" s="144" customFormat="1">
      <c r="A12" s="149" t="s">
        <v>84</v>
      </c>
      <c r="B12" s="146">
        <f t="shared" ref="B12:Q12" si="2">SUM(B8+B11)</f>
        <v>26600000</v>
      </c>
      <c r="C12" s="146">
        <f t="shared" si="2"/>
        <v>26600000</v>
      </c>
      <c r="D12" s="146">
        <f t="shared" si="2"/>
        <v>0</v>
      </c>
      <c r="E12" s="146">
        <f t="shared" si="2"/>
        <v>0</v>
      </c>
      <c r="F12" s="146">
        <f t="shared" si="2"/>
        <v>21610000</v>
      </c>
      <c r="G12" s="146">
        <f t="shared" si="2"/>
        <v>4990000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26600000</v>
      </c>
      <c r="S12" s="148"/>
      <c r="T12" s="148"/>
      <c r="U12" s="143"/>
    </row>
    <row r="13" spans="1:21" s="144" customFormat="1">
      <c r="A13" s="287" t="s">
        <v>903</v>
      </c>
      <c r="B13" s="146">
        <f>SUM(C13+D13)</f>
        <v>41000</v>
      </c>
      <c r="C13" s="147">
        <v>41000</v>
      </c>
      <c r="D13" s="147"/>
      <c r="E13" s="147">
        <f>C13-SUM(F13:Q13)</f>
        <v>41000</v>
      </c>
      <c r="F13" s="147"/>
      <c r="G13" s="147"/>
      <c r="H13" s="147"/>
      <c r="I13" s="147"/>
      <c r="J13" s="147"/>
      <c r="K13" s="147"/>
      <c r="L13" s="147"/>
      <c r="M13" s="147"/>
      <c r="N13" s="147"/>
      <c r="O13" s="147"/>
      <c r="P13" s="147"/>
      <c r="Q13" s="147"/>
      <c r="R13" s="516">
        <f>SUM(E13:Q13)</f>
        <v>41000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37266156</v>
      </c>
      <c r="C30" s="147">
        <v>37266156</v>
      </c>
      <c r="D30" s="147"/>
      <c r="E30" s="147">
        <f>C30-SUM(F30:Q30)</f>
        <v>12657349</v>
      </c>
      <c r="F30" s="147">
        <f>F108-F9-F4</f>
        <v>24608807</v>
      </c>
      <c r="G30" s="147"/>
      <c r="H30" s="147"/>
      <c r="I30" s="147"/>
      <c r="J30" s="147"/>
      <c r="K30" s="147"/>
      <c r="L30" s="147"/>
      <c r="M30" s="147"/>
      <c r="N30" s="147"/>
      <c r="O30" s="147"/>
      <c r="P30" s="147"/>
      <c r="Q30" s="147"/>
      <c r="R30" s="516">
        <f t="shared" si="7"/>
        <v>37266156</v>
      </c>
      <c r="S30" s="147">
        <f>C30</f>
        <v>37266156</v>
      </c>
      <c r="T30" s="147"/>
      <c r="U30" s="143"/>
    </row>
    <row r="31" spans="1:21" s="144" customFormat="1">
      <c r="A31" s="145" t="s">
        <v>601</v>
      </c>
      <c r="B31" s="146">
        <f t="shared" si="6"/>
        <v>1863308</v>
      </c>
      <c r="C31" s="147">
        <v>1863308</v>
      </c>
      <c r="D31" s="147"/>
      <c r="E31" s="147">
        <f t="shared" ref="E31:E33" si="8">C31-SUM(F31:Q31)</f>
        <v>1863308</v>
      </c>
      <c r="F31" s="147"/>
      <c r="G31" s="147"/>
      <c r="H31" s="147"/>
      <c r="I31" s="147"/>
      <c r="J31" s="147"/>
      <c r="K31" s="147"/>
      <c r="L31" s="147"/>
      <c r="M31" s="147"/>
      <c r="N31" s="147"/>
      <c r="O31" s="147"/>
      <c r="P31" s="147"/>
      <c r="Q31" s="147"/>
      <c r="R31" s="516">
        <f t="shared" si="7"/>
        <v>1863308</v>
      </c>
      <c r="S31" s="147">
        <f>C31</f>
        <v>1863308</v>
      </c>
      <c r="T31" s="147"/>
      <c r="U31" s="143"/>
    </row>
    <row r="32" spans="1:21" s="144" customFormat="1">
      <c r="A32" s="145" t="s">
        <v>137</v>
      </c>
      <c r="B32" s="146">
        <f t="shared" si="6"/>
        <v>1173883</v>
      </c>
      <c r="C32" s="147">
        <v>1173883</v>
      </c>
      <c r="D32" s="147"/>
      <c r="E32" s="147">
        <f t="shared" si="8"/>
        <v>1173883</v>
      </c>
      <c r="F32" s="147"/>
      <c r="G32" s="147"/>
      <c r="H32" s="147"/>
      <c r="I32" s="147"/>
      <c r="J32" s="147"/>
      <c r="K32" s="147"/>
      <c r="L32" s="147"/>
      <c r="M32" s="147"/>
      <c r="N32" s="147"/>
      <c r="O32" s="147"/>
      <c r="P32" s="147"/>
      <c r="Q32" s="147"/>
      <c r="R32" s="516">
        <f t="shared" si="7"/>
        <v>1173883</v>
      </c>
      <c r="S32" s="147">
        <f>C32</f>
        <v>1173883</v>
      </c>
      <c r="T32" s="147"/>
      <c r="U32" s="143"/>
    </row>
    <row r="33" spans="1:21" s="144" customFormat="1">
      <c r="A33" s="145" t="s">
        <v>138</v>
      </c>
      <c r="B33" s="146">
        <f t="shared" si="6"/>
        <v>2347768</v>
      </c>
      <c r="C33" s="147">
        <v>2347768</v>
      </c>
      <c r="D33" s="147"/>
      <c r="E33" s="147">
        <f t="shared" si="8"/>
        <v>2347768</v>
      </c>
      <c r="F33" s="147"/>
      <c r="G33" s="147"/>
      <c r="H33" s="147"/>
      <c r="I33" s="147"/>
      <c r="J33" s="147"/>
      <c r="K33" s="147"/>
      <c r="L33" s="147"/>
      <c r="M33" s="147"/>
      <c r="N33" s="147"/>
      <c r="O33" s="147"/>
      <c r="P33" s="147"/>
      <c r="Q33" s="147"/>
      <c r="R33" s="516">
        <f t="shared" si="7"/>
        <v>2347768</v>
      </c>
      <c r="S33" s="147">
        <f>C33</f>
        <v>2347768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225000</v>
      </c>
      <c r="C35" s="147">
        <v>225000</v>
      </c>
      <c r="D35" s="147"/>
      <c r="E35" s="147">
        <f t="shared" ref="E35:E36" si="9">C35-SUM(F35:Q35)</f>
        <v>225000</v>
      </c>
      <c r="F35" s="147"/>
      <c r="G35" s="147"/>
      <c r="H35" s="147"/>
      <c r="I35" s="147"/>
      <c r="J35" s="147"/>
      <c r="K35" s="147"/>
      <c r="L35" s="147"/>
      <c r="M35" s="147"/>
      <c r="N35" s="147"/>
      <c r="O35" s="147"/>
      <c r="P35" s="147"/>
      <c r="Q35" s="147"/>
      <c r="R35" s="516">
        <f t="shared" si="7"/>
        <v>225000</v>
      </c>
      <c r="S35" s="147">
        <f>C35</f>
        <v>225000</v>
      </c>
      <c r="T35" s="147"/>
      <c r="U35" s="143"/>
    </row>
    <row r="36" spans="1:21" s="144" customFormat="1">
      <c r="A36" s="283" t="s">
        <v>1641</v>
      </c>
      <c r="B36" s="146">
        <f t="shared" si="6"/>
        <v>250000</v>
      </c>
      <c r="C36" s="147">
        <f>150000+100000</f>
        <v>250000</v>
      </c>
      <c r="D36" s="147"/>
      <c r="E36" s="147">
        <f t="shared" si="9"/>
        <v>250000</v>
      </c>
      <c r="F36" s="147"/>
      <c r="G36" s="147"/>
      <c r="H36" s="147"/>
      <c r="I36" s="147"/>
      <c r="J36" s="147"/>
      <c r="K36" s="147"/>
      <c r="L36" s="147"/>
      <c r="M36" s="147"/>
      <c r="N36" s="147"/>
      <c r="O36" s="147"/>
      <c r="P36" s="147"/>
      <c r="Q36" s="147"/>
      <c r="R36" s="516">
        <f t="shared" si="7"/>
        <v>250000</v>
      </c>
      <c r="S36" s="147">
        <f>C36</f>
        <v>250000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43126115</v>
      </c>
      <c r="C38" s="146">
        <f>SUM(C29:C37)</f>
        <v>43126115</v>
      </c>
      <c r="D38" s="146">
        <f t="shared" ref="D38:Q38" si="10">SUM(D29:D37)</f>
        <v>0</v>
      </c>
      <c r="E38" s="146">
        <f t="shared" si="10"/>
        <v>18517308</v>
      </c>
      <c r="F38" s="146">
        <f t="shared" si="10"/>
        <v>24608807</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43126115</v>
      </c>
      <c r="S38" s="150">
        <f>SUM(S29:S37)</f>
        <v>43126115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1565000</v>
      </c>
      <c r="C40" s="147">
        <v>1565000</v>
      </c>
      <c r="D40" s="147"/>
      <c r="E40" s="147">
        <f t="shared" ref="E40:E41" si="11">C40-SUM(F40:Q40)</f>
        <v>1565000</v>
      </c>
      <c r="F40" s="147"/>
      <c r="G40" s="147"/>
      <c r="H40" s="147"/>
      <c r="I40" s="147"/>
      <c r="J40" s="147"/>
      <c r="K40" s="147"/>
      <c r="L40" s="147"/>
      <c r="M40" s="147"/>
      <c r="N40" s="147"/>
      <c r="O40" s="147"/>
      <c r="P40" s="147"/>
      <c r="Q40" s="147"/>
      <c r="R40" s="516">
        <f>SUM(E40:Q40)</f>
        <v>1565000</v>
      </c>
      <c r="S40" s="147">
        <f>C40</f>
        <v>1565000</v>
      </c>
      <c r="T40" s="147"/>
      <c r="U40" s="143"/>
    </row>
    <row r="41" spans="1:21" s="144" customFormat="1">
      <c r="A41" s="145" t="s">
        <v>146</v>
      </c>
      <c r="B41" s="146">
        <f>SUM(C41+D41)</f>
        <v>435000</v>
      </c>
      <c r="C41" s="147">
        <v>435000</v>
      </c>
      <c r="D41" s="147"/>
      <c r="E41" s="147">
        <f t="shared" si="11"/>
        <v>435000</v>
      </c>
      <c r="F41" s="147"/>
      <c r="G41" s="147"/>
      <c r="H41" s="147"/>
      <c r="I41" s="147"/>
      <c r="J41" s="147"/>
      <c r="K41" s="147"/>
      <c r="L41" s="147"/>
      <c r="M41" s="147"/>
      <c r="N41" s="147"/>
      <c r="O41" s="147"/>
      <c r="P41" s="147"/>
      <c r="Q41" s="147"/>
      <c r="R41" s="516">
        <f>SUM(E41:Q41)</f>
        <v>435000</v>
      </c>
      <c r="S41" s="147">
        <f>C41</f>
        <v>435000</v>
      </c>
      <c r="T41" s="147"/>
      <c r="U41" s="143"/>
    </row>
    <row r="42" spans="1:21" s="144" customFormat="1">
      <c r="A42" s="149" t="s">
        <v>147</v>
      </c>
      <c r="B42" s="146">
        <f>SUM(C42:D42)</f>
        <v>2000000</v>
      </c>
      <c r="C42" s="146">
        <f>SUM(C39:C41)</f>
        <v>2000000</v>
      </c>
      <c r="D42" s="146">
        <f>SUM(D39:D41)</f>
        <v>0</v>
      </c>
      <c r="E42" s="146">
        <f t="shared" ref="E42:T42" si="12">SUM(E40:E41)</f>
        <v>2000000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2000000</v>
      </c>
      <c r="S42" s="150">
        <f t="shared" si="12"/>
        <v>2000000</v>
      </c>
      <c r="T42" s="150">
        <f t="shared" si="12"/>
        <v>0</v>
      </c>
      <c r="U42" s="143"/>
    </row>
    <row r="43" spans="1:21" s="144" customFormat="1">
      <c r="A43" s="149" t="s">
        <v>148</v>
      </c>
      <c r="B43" s="146">
        <f>SUM(C43:D43)</f>
        <v>336984</v>
      </c>
      <c r="C43" s="147">
        <v>336984</v>
      </c>
      <c r="D43" s="147"/>
      <c r="E43" s="147">
        <f>C43-SUM(F43:Q43)</f>
        <v>336984</v>
      </c>
      <c r="F43" s="147"/>
      <c r="G43" s="147"/>
      <c r="H43" s="147"/>
      <c r="I43" s="147"/>
      <c r="J43" s="147"/>
      <c r="K43" s="147"/>
      <c r="L43" s="147"/>
      <c r="M43" s="147"/>
      <c r="N43" s="147"/>
      <c r="O43" s="147"/>
      <c r="P43" s="147"/>
      <c r="Q43" s="147"/>
      <c r="R43" s="516">
        <f>SUM(E43:Q43)</f>
        <v>336984</v>
      </c>
      <c r="S43" s="147">
        <f>C43</f>
        <v>336984</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6778339</v>
      </c>
      <c r="C45" s="147">
        <f>6468338+1+310000</f>
        <v>6778339</v>
      </c>
      <c r="D45" s="147"/>
      <c r="E45" s="147">
        <f t="shared" ref="E45:E46" si="14">C45-SUM(F45:Q45)</f>
        <v>6778339</v>
      </c>
      <c r="F45" s="147"/>
      <c r="G45" s="147"/>
      <c r="H45" s="147"/>
      <c r="I45" s="147"/>
      <c r="J45" s="147"/>
      <c r="K45" s="147"/>
      <c r="L45" s="147"/>
      <c r="M45" s="147"/>
      <c r="N45" s="147"/>
      <c r="O45" s="147"/>
      <c r="P45" s="147"/>
      <c r="Q45" s="147"/>
      <c r="R45" s="516">
        <f t="shared" ref="R45:R53" si="15">SUM(E45:Q45)</f>
        <v>6778339</v>
      </c>
      <c r="S45" s="147">
        <f>2917406+310000</f>
        <v>3227406</v>
      </c>
      <c r="T45" s="147"/>
      <c r="U45" s="143"/>
    </row>
    <row r="46" spans="1:21" s="144" customFormat="1">
      <c r="A46" s="145" t="s">
        <v>151</v>
      </c>
      <c r="B46" s="146">
        <f t="shared" si="13"/>
        <v>833079</v>
      </c>
      <c r="C46" s="147">
        <v>833079</v>
      </c>
      <c r="D46" s="147"/>
      <c r="E46" s="147">
        <f t="shared" si="14"/>
        <v>833079</v>
      </c>
      <c r="F46" s="147"/>
      <c r="G46" s="147"/>
      <c r="H46" s="147"/>
      <c r="I46" s="147"/>
      <c r="J46" s="147"/>
      <c r="K46" s="147"/>
      <c r="L46" s="147"/>
      <c r="M46" s="147"/>
      <c r="N46" s="147"/>
      <c r="O46" s="147"/>
      <c r="P46" s="147"/>
      <c r="Q46" s="147"/>
      <c r="R46" s="516">
        <f t="shared" si="15"/>
        <v>833079</v>
      </c>
      <c r="S46" s="147">
        <v>375743</v>
      </c>
      <c r="T46" s="147"/>
      <c r="U46" s="143"/>
    </row>
    <row r="47" spans="1:21" s="144" customFormat="1">
      <c r="A47" s="186" t="s">
        <v>152</v>
      </c>
      <c r="B47" s="146">
        <f t="shared" si="13"/>
        <v>0</v>
      </c>
      <c r="C47" s="147"/>
      <c r="D47" s="147"/>
      <c r="E47" s="147"/>
      <c r="F47" s="147"/>
      <c r="G47" s="147"/>
      <c r="H47" s="147"/>
      <c r="I47" s="147"/>
      <c r="J47" s="147"/>
      <c r="K47" s="147"/>
      <c r="L47" s="147"/>
      <c r="M47" s="147"/>
      <c r="N47" s="147"/>
      <c r="O47" s="147"/>
      <c r="P47" s="147"/>
      <c r="Q47" s="147"/>
      <c r="R47" s="516">
        <f t="shared" si="15"/>
        <v>0</v>
      </c>
      <c r="S47" s="147"/>
      <c r="T47" s="147"/>
      <c r="U47" s="143"/>
    </row>
    <row r="48" spans="1:21" s="144" customFormat="1">
      <c r="A48" s="145" t="s">
        <v>153</v>
      </c>
      <c r="B48" s="146">
        <f t="shared" si="13"/>
        <v>0</v>
      </c>
      <c r="C48" s="147"/>
      <c r="D48" s="147"/>
      <c r="E48" s="147"/>
      <c r="F48" s="147"/>
      <c r="G48" s="147"/>
      <c r="H48" s="147"/>
      <c r="I48" s="147"/>
      <c r="J48" s="147"/>
      <c r="K48" s="147"/>
      <c r="L48" s="147"/>
      <c r="M48" s="147"/>
      <c r="N48" s="147"/>
      <c r="O48" s="147"/>
      <c r="P48" s="147"/>
      <c r="Q48" s="147"/>
      <c r="R48" s="516">
        <f t="shared" si="15"/>
        <v>0</v>
      </c>
      <c r="S48" s="147"/>
      <c r="T48" s="147"/>
      <c r="U48" s="143"/>
    </row>
    <row r="49" spans="1:21" s="144" customFormat="1">
      <c r="A49" s="145" t="s">
        <v>57</v>
      </c>
      <c r="B49" s="146">
        <f t="shared" si="13"/>
        <v>427500</v>
      </c>
      <c r="C49" s="147">
        <v>427500</v>
      </c>
      <c r="D49" s="147"/>
      <c r="E49" s="147">
        <f t="shared" ref="E49:E50" si="16">C49-SUM(F49:Q49)</f>
        <v>427500</v>
      </c>
      <c r="F49" s="147"/>
      <c r="G49" s="147"/>
      <c r="H49" s="147"/>
      <c r="I49" s="147"/>
      <c r="J49" s="147"/>
      <c r="K49" s="147"/>
      <c r="L49" s="147"/>
      <c r="M49" s="147"/>
      <c r="N49" s="147"/>
      <c r="O49" s="147"/>
      <c r="P49" s="147"/>
      <c r="Q49" s="147"/>
      <c r="R49" s="516">
        <f t="shared" si="15"/>
        <v>427500</v>
      </c>
      <c r="S49" s="147"/>
      <c r="T49" s="147"/>
      <c r="U49" s="143"/>
    </row>
    <row r="50" spans="1:21" s="144" customFormat="1">
      <c r="A50" s="145" t="s">
        <v>156</v>
      </c>
      <c r="B50" s="146">
        <f t="shared" si="13"/>
        <v>100000</v>
      </c>
      <c r="C50" s="147">
        <v>100000</v>
      </c>
      <c r="D50" s="147"/>
      <c r="E50" s="147">
        <f t="shared" si="16"/>
        <v>100000</v>
      </c>
      <c r="F50" s="147"/>
      <c r="G50" s="147"/>
      <c r="H50" s="147"/>
      <c r="I50" s="147"/>
      <c r="J50" s="147"/>
      <c r="K50" s="147"/>
      <c r="L50" s="147"/>
      <c r="M50" s="147"/>
      <c r="N50" s="147"/>
      <c r="O50" s="147"/>
      <c r="P50" s="147"/>
      <c r="Q50" s="147"/>
      <c r="R50" s="516">
        <f t="shared" si="15"/>
        <v>100000</v>
      </c>
      <c r="S50" s="147">
        <v>50000</v>
      </c>
      <c r="T50" s="147"/>
      <c r="U50" s="143"/>
    </row>
    <row r="51" spans="1:21" s="144" customFormat="1">
      <c r="A51" s="283" t="s">
        <v>154</v>
      </c>
      <c r="B51" s="146">
        <f t="shared" si="13"/>
        <v>0</v>
      </c>
      <c r="C51" s="147"/>
      <c r="D51" s="147"/>
      <c r="E51" s="147"/>
      <c r="F51" s="147"/>
      <c r="G51" s="147"/>
      <c r="H51" s="147"/>
      <c r="I51" s="147"/>
      <c r="J51" s="147"/>
      <c r="K51" s="147"/>
      <c r="L51" s="147"/>
      <c r="M51" s="147"/>
      <c r="N51" s="147"/>
      <c r="O51" s="147"/>
      <c r="P51" s="147"/>
      <c r="Q51" s="147"/>
      <c r="R51" s="516">
        <f t="shared" si="15"/>
        <v>0</v>
      </c>
      <c r="S51" s="147"/>
      <c r="T51" s="147"/>
      <c r="U51" s="143"/>
    </row>
    <row r="52" spans="1:21" s="144" customFormat="1">
      <c r="A52" s="145" t="s">
        <v>155</v>
      </c>
      <c r="B52" s="146">
        <f t="shared" si="13"/>
        <v>0</v>
      </c>
      <c r="C52" s="147"/>
      <c r="D52" s="147"/>
      <c r="E52" s="147"/>
      <c r="F52" s="147"/>
      <c r="G52" s="147"/>
      <c r="H52" s="147"/>
      <c r="I52" s="147"/>
      <c r="J52" s="147"/>
      <c r="K52" s="147"/>
      <c r="L52" s="147"/>
      <c r="M52" s="147"/>
      <c r="N52" s="147"/>
      <c r="O52" s="147"/>
      <c r="P52" s="147"/>
      <c r="Q52" s="147"/>
      <c r="R52" s="516">
        <f t="shared" si="15"/>
        <v>0</v>
      </c>
      <c r="S52" s="147"/>
      <c r="T52" s="147"/>
      <c r="U52" s="143"/>
    </row>
    <row r="53" spans="1:21" s="144" customFormat="1">
      <c r="A53" s="1149" t="s">
        <v>2726</v>
      </c>
      <c r="B53" s="146">
        <f t="shared" si="13"/>
        <v>200000</v>
      </c>
      <c r="C53" s="147">
        <v>200000</v>
      </c>
      <c r="D53" s="147"/>
      <c r="E53" s="147">
        <f>C53-SUM(F53:Q53)</f>
        <v>200000</v>
      </c>
      <c r="F53" s="147"/>
      <c r="G53" s="147"/>
      <c r="H53" s="147"/>
      <c r="I53" s="147"/>
      <c r="J53" s="147"/>
      <c r="K53" s="147"/>
      <c r="L53" s="147"/>
      <c r="M53" s="147"/>
      <c r="N53" s="147"/>
      <c r="O53" s="147"/>
      <c r="P53" s="147"/>
      <c r="Q53" s="147"/>
      <c r="R53" s="516">
        <f t="shared" si="15"/>
        <v>200000</v>
      </c>
      <c r="S53" s="147">
        <v>0</v>
      </c>
      <c r="T53" s="147"/>
      <c r="U53" s="143"/>
    </row>
    <row r="54" spans="1:21" s="153" customFormat="1">
      <c r="A54" s="149" t="s">
        <v>157</v>
      </c>
      <c r="B54" s="150">
        <f>SUM(C54:D54)</f>
        <v>8338918</v>
      </c>
      <c r="C54" s="150">
        <f t="shared" ref="C54:T54" si="17">SUM(C45:C53)</f>
        <v>8338918</v>
      </c>
      <c r="D54" s="150">
        <f t="shared" si="17"/>
        <v>0</v>
      </c>
      <c r="E54" s="150">
        <f t="shared" si="17"/>
        <v>8338918</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8338918</v>
      </c>
      <c r="S54" s="150">
        <f t="shared" si="17"/>
        <v>3653149</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SUM(C56+D56)</f>
        <v>462188</v>
      </c>
      <c r="C56" s="147">
        <v>462188</v>
      </c>
      <c r="D56" s="147"/>
      <c r="E56" s="147">
        <f>C56-SUM(F56:Q56)</f>
        <v>462188</v>
      </c>
      <c r="F56" s="147"/>
      <c r="G56" s="147"/>
      <c r="H56" s="147"/>
      <c r="I56" s="147"/>
      <c r="J56" s="147"/>
      <c r="K56" s="147"/>
      <c r="L56" s="147"/>
      <c r="M56" s="147"/>
      <c r="N56" s="147"/>
      <c r="O56" s="147"/>
      <c r="P56" s="147"/>
      <c r="Q56" s="147"/>
      <c r="R56" s="516">
        <f t="shared" ref="R56:R61" si="18">SUM(E56:Q56)</f>
        <v>462188</v>
      </c>
      <c r="S56" s="148"/>
      <c r="T56" s="148"/>
      <c r="U56" s="143"/>
    </row>
    <row r="57" spans="1:21" s="192" customFormat="1">
      <c r="A57" s="186" t="s">
        <v>152</v>
      </c>
      <c r="B57" s="193">
        <f>SUM(C57+D57)</f>
        <v>0</v>
      </c>
      <c r="C57" s="190"/>
      <c r="D57" s="190"/>
      <c r="E57" s="190"/>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ref="B58:B61" si="19">SUM(C58+D58)</f>
        <v>50000</v>
      </c>
      <c r="C58" s="147">
        <v>50000</v>
      </c>
      <c r="D58" s="147"/>
      <c r="E58" s="147">
        <f>C58-SUM(F58:Q58)</f>
        <v>50000</v>
      </c>
      <c r="F58" s="147"/>
      <c r="G58" s="147"/>
      <c r="H58" s="147"/>
      <c r="I58" s="147"/>
      <c r="J58" s="147"/>
      <c r="K58" s="147"/>
      <c r="L58" s="147"/>
      <c r="M58" s="147"/>
      <c r="N58" s="147"/>
      <c r="O58" s="147"/>
      <c r="P58" s="147"/>
      <c r="Q58" s="147"/>
      <c r="R58" s="516">
        <f t="shared" si="18"/>
        <v>50000</v>
      </c>
      <c r="S58" s="148"/>
      <c r="T58" s="148"/>
      <c r="U58" s="143"/>
    </row>
    <row r="59" spans="1:21" s="144" customFormat="1">
      <c r="A59" s="283" t="s">
        <v>154</v>
      </c>
      <c r="B59" s="146">
        <f t="shared" si="19"/>
        <v>777500</v>
      </c>
      <c r="C59" s="147">
        <v>777500</v>
      </c>
      <c r="D59" s="147"/>
      <c r="E59" s="147">
        <f>C59-SUM(F59:Q59)</f>
        <v>777500</v>
      </c>
      <c r="F59" s="147"/>
      <c r="G59" s="147"/>
      <c r="H59" s="147"/>
      <c r="I59" s="147"/>
      <c r="J59" s="147"/>
      <c r="K59" s="147"/>
      <c r="L59" s="147"/>
      <c r="M59" s="147"/>
      <c r="N59" s="147"/>
      <c r="O59" s="147"/>
      <c r="P59" s="147"/>
      <c r="Q59" s="147"/>
      <c r="R59" s="516">
        <f t="shared" si="18"/>
        <v>777500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9" t="s">
        <v>34</v>
      </c>
      <c r="B61" s="146">
        <f t="shared" si="19"/>
        <v>0</v>
      </c>
      <c r="C61" s="147"/>
      <c r="D61" s="147"/>
      <c r="E61" s="147"/>
      <c r="F61" s="147"/>
      <c r="G61" s="147"/>
      <c r="H61" s="147"/>
      <c r="I61" s="147"/>
      <c r="J61" s="147"/>
      <c r="K61" s="147"/>
      <c r="L61" s="147"/>
      <c r="M61" s="147"/>
      <c r="N61" s="147"/>
      <c r="O61" s="147"/>
      <c r="P61" s="147"/>
      <c r="Q61" s="147"/>
      <c r="R61" s="516">
        <f t="shared" si="18"/>
        <v>0</v>
      </c>
      <c r="S61" s="148"/>
      <c r="T61" s="148"/>
      <c r="U61" s="143"/>
    </row>
    <row r="62" spans="1:21" s="144" customFormat="1" ht="13.7" customHeight="1">
      <c r="A62" s="149" t="s">
        <v>301</v>
      </c>
      <c r="B62" s="146">
        <f>SUM(C62:D62)</f>
        <v>1289688</v>
      </c>
      <c r="C62" s="146">
        <f>SUM(C56:C61)</f>
        <v>1289688</v>
      </c>
      <c r="D62" s="146">
        <f t="shared" ref="D62:R62" si="20">SUM(D56:D61)</f>
        <v>0</v>
      </c>
      <c r="E62" s="146">
        <f t="shared" si="20"/>
        <v>1289688</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1289688</v>
      </c>
      <c r="S62" s="148"/>
      <c r="T62" s="148"/>
      <c r="U62" s="143"/>
    </row>
    <row r="63" spans="1:21" s="144" customFormat="1">
      <c r="A63" s="154" t="s">
        <v>302</v>
      </c>
      <c r="B63" s="146">
        <f t="shared" ref="B63:R63" si="21">SUM(B8+B11+B13+B14+B15+B26+B27+B38+B42+B43+B54+B62)</f>
        <v>81732705</v>
      </c>
      <c r="C63" s="146">
        <f t="shared" si="21"/>
        <v>81732705</v>
      </c>
      <c r="D63" s="146">
        <f t="shared" si="21"/>
        <v>0</v>
      </c>
      <c r="E63" s="146">
        <f t="shared" si="21"/>
        <v>30523898</v>
      </c>
      <c r="F63" s="146">
        <f t="shared" si="21"/>
        <v>46218807</v>
      </c>
      <c r="G63" s="146">
        <f t="shared" si="21"/>
        <v>4990000</v>
      </c>
      <c r="H63" s="146">
        <f t="shared" si="21"/>
        <v>0</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81732705</v>
      </c>
      <c r="S63" s="146">
        <f>SUM(S10+S13+S14+S15+S26+S27+S38+S42+S43+S54)</f>
        <v>49116248</v>
      </c>
      <c r="T63" s="146">
        <f>SUM(T11+T13+T14+T15+T26+T27+T38+T42+T43+T54)</f>
        <v>24800000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299100</v>
      </c>
      <c r="C65" s="147">
        <v>299100</v>
      </c>
      <c r="D65" s="147"/>
      <c r="E65" s="147">
        <f>C65-SUM(F65:Q65)</f>
        <v>299100</v>
      </c>
      <c r="F65" s="147"/>
      <c r="G65" s="147"/>
      <c r="H65" s="147"/>
      <c r="I65" s="147"/>
      <c r="J65" s="147"/>
      <c r="K65" s="147"/>
      <c r="L65" s="147"/>
      <c r="M65" s="147"/>
      <c r="N65" s="147"/>
      <c r="O65" s="147"/>
      <c r="P65" s="147"/>
      <c r="Q65" s="147"/>
      <c r="R65" s="516">
        <f>SUM(E65:Q65)</f>
        <v>299100</v>
      </c>
      <c r="S65" s="147">
        <v>94100</v>
      </c>
      <c r="T65" s="147"/>
      <c r="U65" s="143"/>
    </row>
    <row r="66" spans="1:21" s="144" customFormat="1" ht="24" customHeight="1">
      <c r="A66" s="283" t="s">
        <v>1642</v>
      </c>
      <c r="B66" s="146">
        <f>SUM(C66+D66)</f>
        <v>360000</v>
      </c>
      <c r="C66" s="147">
        <v>360000</v>
      </c>
      <c r="D66" s="147"/>
      <c r="E66" s="147">
        <f>C66-SUM(F66:Q66)</f>
        <v>360000</v>
      </c>
      <c r="F66" s="147"/>
      <c r="G66" s="147"/>
      <c r="H66" s="147"/>
      <c r="I66" s="147"/>
      <c r="J66" s="147"/>
      <c r="K66" s="147"/>
      <c r="L66" s="147"/>
      <c r="M66" s="147"/>
      <c r="N66" s="147"/>
      <c r="O66" s="147"/>
      <c r="P66" s="147"/>
      <c r="Q66" s="147"/>
      <c r="R66" s="516">
        <f>SUM(E66:Q66)</f>
        <v>360000</v>
      </c>
      <c r="S66" s="147">
        <f>C66</f>
        <v>360000</v>
      </c>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659100</v>
      </c>
      <c r="C70" s="146">
        <f>SUM(C65:C69)</f>
        <v>659100</v>
      </c>
      <c r="D70" s="146">
        <f>SUM(D65:D69)</f>
        <v>0</v>
      </c>
      <c r="E70" s="146">
        <f t="shared" ref="E70:T70" si="22">SUM(E65:E69)</f>
        <v>659100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659100</v>
      </c>
      <c r="S70" s="150">
        <f t="shared" si="22"/>
        <v>454100</v>
      </c>
      <c r="T70" s="150">
        <f t="shared" si="22"/>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1224429</v>
      </c>
      <c r="C75" s="147">
        <f>1224428+1</f>
        <v>1224429</v>
      </c>
      <c r="D75" s="147"/>
      <c r="E75" s="147">
        <f>C75-SUM(F75:Q75)</f>
        <v>1224429</v>
      </c>
      <c r="F75" s="147"/>
      <c r="G75" s="147"/>
      <c r="H75" s="147"/>
      <c r="I75" s="147"/>
      <c r="J75" s="147"/>
      <c r="K75" s="147"/>
      <c r="L75" s="147"/>
      <c r="M75" s="147"/>
      <c r="N75" s="147"/>
      <c r="O75" s="147"/>
      <c r="P75" s="147"/>
      <c r="Q75" s="147"/>
      <c r="R75" s="516">
        <f>SUM(E75:Q75)</f>
        <v>1224429</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1224429</v>
      </c>
      <c r="C77" s="146">
        <f>SUM(C72:C76)</f>
        <v>1224429</v>
      </c>
      <c r="D77" s="146">
        <f>SUM(D72:D76)</f>
        <v>0</v>
      </c>
      <c r="E77" s="146">
        <f t="shared" ref="E77:Q77" si="23">SUM(E72:E76)</f>
        <v>1224429</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1224429</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1563308</v>
      </c>
      <c r="C79" s="147">
        <v>1563308</v>
      </c>
      <c r="D79" s="147"/>
      <c r="E79" s="147">
        <f>C79-SUM(F79:Q79)</f>
        <v>1563308</v>
      </c>
      <c r="F79" s="147"/>
      <c r="G79" s="147"/>
      <c r="H79" s="147"/>
      <c r="I79" s="147"/>
      <c r="J79" s="147"/>
      <c r="K79" s="147"/>
      <c r="L79" s="147"/>
      <c r="M79" s="147"/>
      <c r="N79" s="147"/>
      <c r="O79" s="147"/>
      <c r="P79" s="147"/>
      <c r="Q79" s="147"/>
      <c r="R79" s="516">
        <f>SUM(E79:Q79)</f>
        <v>1563308</v>
      </c>
      <c r="S79" s="147">
        <f>C79</f>
        <v>1563308</v>
      </c>
      <c r="T79" s="147"/>
      <c r="U79" s="143"/>
    </row>
    <row r="80" spans="1:21" s="144" customFormat="1">
      <c r="A80" s="283" t="s">
        <v>58</v>
      </c>
      <c r="B80" s="146">
        <f>SUM(C80:D80)</f>
        <v>914780</v>
      </c>
      <c r="C80" s="147">
        <v>914780</v>
      </c>
      <c r="D80" s="147"/>
      <c r="E80" s="147">
        <f>C80-SUM(F80:Q80)</f>
        <v>914780</v>
      </c>
      <c r="F80" s="147"/>
      <c r="G80" s="147"/>
      <c r="H80" s="147"/>
      <c r="I80" s="147"/>
      <c r="J80" s="147"/>
      <c r="K80" s="147"/>
      <c r="L80" s="147"/>
      <c r="M80" s="147"/>
      <c r="N80" s="147"/>
      <c r="O80" s="147"/>
      <c r="P80" s="147"/>
      <c r="Q80" s="147"/>
      <c r="R80" s="516">
        <f>SUM(E80:Q80)</f>
        <v>914780</v>
      </c>
      <c r="S80" s="147">
        <v>457390</v>
      </c>
      <c r="T80" s="147"/>
      <c r="U80" s="143"/>
    </row>
    <row r="81" spans="1:21" s="144" customFormat="1">
      <c r="A81" s="149" t="s">
        <v>1210</v>
      </c>
      <c r="B81" s="146">
        <f>SUM(C81:D81)</f>
        <v>2478088</v>
      </c>
      <c r="C81" s="509">
        <f>SUM(C79:C80)</f>
        <v>2478088</v>
      </c>
      <c r="D81" s="509">
        <f t="shared" ref="D81:T81" si="24">SUM(D79:D80)</f>
        <v>0</v>
      </c>
      <c r="E81" s="509">
        <f t="shared" si="24"/>
        <v>2478088</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2478088</v>
      </c>
      <c r="S81" s="509">
        <f t="shared" si="24"/>
        <v>2020698</v>
      </c>
      <c r="T81" s="509">
        <f t="shared" si="24"/>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5">SUM(C83+D83)</f>
        <v>243148</v>
      </c>
      <c r="C83" s="147">
        <f>234449+8699</f>
        <v>243148</v>
      </c>
      <c r="D83" s="147"/>
      <c r="E83" s="147">
        <f>C83-SUM(F83:Q83)</f>
        <v>243148</v>
      </c>
      <c r="F83" s="147"/>
      <c r="G83" s="147"/>
      <c r="H83" s="147"/>
      <c r="I83" s="147"/>
      <c r="J83" s="147"/>
      <c r="K83" s="147"/>
      <c r="L83" s="147"/>
      <c r="M83" s="147"/>
      <c r="N83" s="147"/>
      <c r="O83" s="147"/>
      <c r="P83" s="147"/>
      <c r="Q83" s="147"/>
      <c r="R83" s="516">
        <f t="shared" ref="R83:R95" si="26">SUM(E83:Q83)</f>
        <v>243148</v>
      </c>
      <c r="S83" s="148"/>
      <c r="T83" s="148"/>
      <c r="U83" s="143"/>
    </row>
    <row r="84" spans="1:21" s="144" customFormat="1">
      <c r="A84" s="145" t="s">
        <v>768</v>
      </c>
      <c r="B84" s="146">
        <f t="shared" si="25"/>
        <v>0</v>
      </c>
      <c r="C84" s="147"/>
      <c r="D84" s="147"/>
      <c r="E84" s="147"/>
      <c r="F84" s="147"/>
      <c r="G84" s="147"/>
      <c r="H84" s="147"/>
      <c r="I84" s="147"/>
      <c r="J84" s="147"/>
      <c r="K84" s="147"/>
      <c r="L84" s="147"/>
      <c r="M84" s="147"/>
      <c r="N84" s="147"/>
      <c r="O84" s="147"/>
      <c r="P84" s="147"/>
      <c r="Q84" s="147"/>
      <c r="R84" s="516">
        <f t="shared" si="26"/>
        <v>0</v>
      </c>
      <c r="S84" s="147"/>
      <c r="T84" s="147"/>
      <c r="U84" s="143"/>
    </row>
    <row r="85" spans="1:21" s="144" customFormat="1">
      <c r="A85" s="145" t="s">
        <v>769</v>
      </c>
      <c r="B85" s="146">
        <f t="shared" si="25"/>
        <v>0</v>
      </c>
      <c r="C85" s="147"/>
      <c r="D85" s="147"/>
      <c r="E85" s="147"/>
      <c r="F85" s="147"/>
      <c r="G85" s="147"/>
      <c r="H85" s="147"/>
      <c r="I85" s="147"/>
      <c r="J85" s="147"/>
      <c r="K85" s="147"/>
      <c r="L85" s="147"/>
      <c r="M85" s="147"/>
      <c r="N85" s="147"/>
      <c r="O85" s="147"/>
      <c r="P85" s="147"/>
      <c r="Q85" s="147"/>
      <c r="R85" s="516">
        <f t="shared" si="26"/>
        <v>0</v>
      </c>
      <c r="S85" s="147"/>
      <c r="T85" s="147"/>
      <c r="U85" s="143"/>
    </row>
    <row r="86" spans="1:21" s="144" customFormat="1">
      <c r="A86" s="145" t="s">
        <v>770</v>
      </c>
      <c r="B86" s="146">
        <f t="shared" si="25"/>
        <v>2556532</v>
      </c>
      <c r="C86" s="147">
        <f>2556532</f>
        <v>2556532</v>
      </c>
      <c r="D86" s="147"/>
      <c r="E86" s="147">
        <f>C86-SUM(F86:Q86)</f>
        <v>2556532</v>
      </c>
      <c r="F86" s="147"/>
      <c r="G86" s="147"/>
      <c r="H86" s="147"/>
      <c r="I86" s="147"/>
      <c r="J86" s="147"/>
      <c r="K86" s="147"/>
      <c r="L86" s="147"/>
      <c r="M86" s="147"/>
      <c r="N86" s="147"/>
      <c r="O86" s="147"/>
      <c r="P86" s="147"/>
      <c r="Q86" s="147"/>
      <c r="R86" s="516">
        <f t="shared" si="26"/>
        <v>2556532</v>
      </c>
      <c r="S86" s="147">
        <f>C86</f>
        <v>2556532</v>
      </c>
      <c r="T86" s="147"/>
      <c r="U86" s="143"/>
    </row>
    <row r="87" spans="1:21" s="144" customFormat="1">
      <c r="A87" s="145" t="s">
        <v>771</v>
      </c>
      <c r="B87" s="146">
        <f t="shared" si="25"/>
        <v>0</v>
      </c>
      <c r="C87" s="147"/>
      <c r="D87" s="147"/>
      <c r="E87" s="147"/>
      <c r="F87" s="147"/>
      <c r="G87" s="147"/>
      <c r="H87" s="147"/>
      <c r="I87" s="147"/>
      <c r="J87" s="147"/>
      <c r="K87" s="147"/>
      <c r="L87" s="147"/>
      <c r="M87" s="147"/>
      <c r="N87" s="147"/>
      <c r="O87" s="147"/>
      <c r="P87" s="147"/>
      <c r="Q87" s="147"/>
      <c r="R87" s="516">
        <f t="shared" si="26"/>
        <v>0</v>
      </c>
      <c r="S87" s="147"/>
      <c r="T87" s="147"/>
      <c r="U87" s="143"/>
    </row>
    <row r="88" spans="1:21" s="144" customFormat="1">
      <c r="A88" s="145" t="s">
        <v>772</v>
      </c>
      <c r="B88" s="146">
        <f t="shared" si="25"/>
        <v>50000</v>
      </c>
      <c r="C88" s="147">
        <v>50000</v>
      </c>
      <c r="D88" s="147"/>
      <c r="E88" s="147">
        <f>C88-SUM(F88:Q88)</f>
        <v>50000</v>
      </c>
      <c r="F88" s="147"/>
      <c r="G88" s="147"/>
      <c r="H88" s="147"/>
      <c r="I88" s="147"/>
      <c r="J88" s="147"/>
      <c r="K88" s="147"/>
      <c r="L88" s="147"/>
      <c r="M88" s="147"/>
      <c r="N88" s="147"/>
      <c r="O88" s="147"/>
      <c r="P88" s="147"/>
      <c r="Q88" s="147"/>
      <c r="R88" s="516">
        <f t="shared" si="26"/>
        <v>50000</v>
      </c>
      <c r="S88" s="148"/>
      <c r="T88" s="148"/>
      <c r="U88" s="143"/>
    </row>
    <row r="89" spans="1:21" s="144" customFormat="1">
      <c r="A89" s="145" t="s">
        <v>773</v>
      </c>
      <c r="B89" s="146">
        <f t="shared" si="25"/>
        <v>170627</v>
      </c>
      <c r="C89" s="147">
        <v>170627</v>
      </c>
      <c r="D89" s="147"/>
      <c r="E89" s="147">
        <f>C89-SUM(F89:Q89)</f>
        <v>170627</v>
      </c>
      <c r="F89" s="147"/>
      <c r="G89" s="147"/>
      <c r="H89" s="147"/>
      <c r="I89" s="147"/>
      <c r="J89" s="147"/>
      <c r="K89" s="147"/>
      <c r="L89" s="147"/>
      <c r="M89" s="147"/>
      <c r="N89" s="147"/>
      <c r="O89" s="147"/>
      <c r="P89" s="147"/>
      <c r="Q89" s="147"/>
      <c r="R89" s="516">
        <f t="shared" si="26"/>
        <v>170627</v>
      </c>
      <c r="S89" s="147">
        <f>C89</f>
        <v>170627</v>
      </c>
      <c r="T89" s="147"/>
      <c r="U89" s="143"/>
    </row>
    <row r="90" spans="1:21" s="144" customFormat="1">
      <c r="A90" s="145" t="s">
        <v>774</v>
      </c>
      <c r="B90" s="146">
        <f t="shared" si="25"/>
        <v>15000</v>
      </c>
      <c r="C90" s="147">
        <v>15000</v>
      </c>
      <c r="D90" s="147"/>
      <c r="E90" s="147">
        <f>C90-SUM(F90:Q90)</f>
        <v>15000</v>
      </c>
      <c r="F90" s="147"/>
      <c r="G90" s="147"/>
      <c r="H90" s="147"/>
      <c r="I90" s="147"/>
      <c r="J90" s="147"/>
      <c r="K90" s="147"/>
      <c r="L90" s="147"/>
      <c r="M90" s="147"/>
      <c r="N90" s="147"/>
      <c r="O90" s="147"/>
      <c r="P90" s="147"/>
      <c r="Q90" s="147"/>
      <c r="R90" s="516">
        <f t="shared" si="26"/>
        <v>15000</v>
      </c>
      <c r="S90" s="147">
        <f>C90</f>
        <v>15000</v>
      </c>
      <c r="T90" s="147"/>
      <c r="U90" s="143"/>
    </row>
    <row r="91" spans="1:21" s="144" customFormat="1">
      <c r="A91" s="145" t="s">
        <v>372</v>
      </c>
      <c r="B91" s="146">
        <f t="shared" si="25"/>
        <v>60000</v>
      </c>
      <c r="C91" s="147">
        <v>60000</v>
      </c>
      <c r="D91" s="147"/>
      <c r="E91" s="147">
        <f>C91-SUM(F91:Q91)</f>
        <v>60000</v>
      </c>
      <c r="F91" s="147"/>
      <c r="G91" s="147"/>
      <c r="H91" s="147"/>
      <c r="I91" s="147"/>
      <c r="J91" s="147"/>
      <c r="K91" s="147"/>
      <c r="L91" s="147"/>
      <c r="M91" s="147"/>
      <c r="N91" s="147"/>
      <c r="O91" s="147"/>
      <c r="P91" s="147"/>
      <c r="Q91" s="147"/>
      <c r="R91" s="516">
        <f t="shared" si="26"/>
        <v>60000</v>
      </c>
      <c r="S91" s="147">
        <f>C91</f>
        <v>60000</v>
      </c>
      <c r="T91" s="147"/>
      <c r="U91" s="143"/>
    </row>
    <row r="92" spans="1:21" s="144" customFormat="1">
      <c r="A92" s="283" t="s">
        <v>1212</v>
      </c>
      <c r="B92" s="146">
        <f t="shared" si="25"/>
        <v>8000</v>
      </c>
      <c r="C92" s="147">
        <v>8000</v>
      </c>
      <c r="D92" s="147"/>
      <c r="E92" s="147">
        <f>C92-SUM(F92:Q92)</f>
        <v>8000</v>
      </c>
      <c r="F92" s="147"/>
      <c r="G92" s="147"/>
      <c r="H92" s="147"/>
      <c r="I92" s="147"/>
      <c r="J92" s="147"/>
      <c r="K92" s="147"/>
      <c r="L92" s="147"/>
      <c r="M92" s="147"/>
      <c r="N92" s="147"/>
      <c r="O92" s="147"/>
      <c r="P92" s="147"/>
      <c r="Q92" s="147"/>
      <c r="R92" s="516">
        <f t="shared" si="26"/>
        <v>8000</v>
      </c>
      <c r="S92" s="147"/>
      <c r="T92" s="147"/>
      <c r="U92" s="143"/>
    </row>
    <row r="93" spans="1:21" s="144" customFormat="1">
      <c r="A93" s="1149" t="s">
        <v>34</v>
      </c>
      <c r="B93" s="146">
        <f t="shared" si="25"/>
        <v>0</v>
      </c>
      <c r="C93" s="147"/>
      <c r="D93" s="147"/>
      <c r="E93" s="147"/>
      <c r="F93" s="147"/>
      <c r="G93" s="147"/>
      <c r="H93" s="147"/>
      <c r="I93" s="147"/>
      <c r="J93" s="147"/>
      <c r="K93" s="147"/>
      <c r="L93" s="147"/>
      <c r="M93" s="147"/>
      <c r="N93" s="147"/>
      <c r="O93" s="147"/>
      <c r="P93" s="147"/>
      <c r="Q93" s="147"/>
      <c r="R93" s="516">
        <f t="shared" si="26"/>
        <v>0</v>
      </c>
      <c r="S93" s="147"/>
      <c r="T93" s="147"/>
      <c r="U93" s="143"/>
    </row>
    <row r="94" spans="1:21" s="144" customFormat="1">
      <c r="A94" s="1149" t="s">
        <v>34</v>
      </c>
      <c r="B94" s="146">
        <f t="shared" si="25"/>
        <v>0</v>
      </c>
      <c r="C94" s="147"/>
      <c r="D94" s="147"/>
      <c r="E94" s="147"/>
      <c r="F94" s="147"/>
      <c r="G94" s="147"/>
      <c r="H94" s="147"/>
      <c r="I94" s="147"/>
      <c r="J94" s="147"/>
      <c r="K94" s="147"/>
      <c r="L94" s="147"/>
      <c r="M94" s="147"/>
      <c r="N94" s="147"/>
      <c r="O94" s="147"/>
      <c r="P94" s="147"/>
      <c r="Q94" s="147"/>
      <c r="R94" s="516">
        <f t="shared" si="26"/>
        <v>0</v>
      </c>
      <c r="S94" s="147"/>
      <c r="T94" s="147"/>
      <c r="U94" s="143"/>
    </row>
    <row r="95" spans="1:21" s="144" customFormat="1">
      <c r="A95" s="1149" t="s">
        <v>34</v>
      </c>
      <c r="B95" s="146">
        <f t="shared" si="25"/>
        <v>0</v>
      </c>
      <c r="C95" s="147"/>
      <c r="D95" s="147"/>
      <c r="E95" s="147"/>
      <c r="F95" s="147"/>
      <c r="G95" s="147"/>
      <c r="H95" s="147"/>
      <c r="I95" s="147"/>
      <c r="J95" s="147"/>
      <c r="K95" s="147"/>
      <c r="L95" s="147"/>
      <c r="M95" s="147"/>
      <c r="N95" s="147"/>
      <c r="O95" s="147"/>
      <c r="P95" s="147"/>
      <c r="Q95" s="147"/>
      <c r="R95" s="516">
        <f t="shared" si="26"/>
        <v>0</v>
      </c>
      <c r="S95" s="147"/>
      <c r="T95" s="147"/>
      <c r="U95" s="143"/>
    </row>
    <row r="96" spans="1:21" s="144" customFormat="1">
      <c r="A96" s="149" t="s">
        <v>775</v>
      </c>
      <c r="B96" s="146">
        <f>SUM(C96:D96)</f>
        <v>3103307</v>
      </c>
      <c r="C96" s="146">
        <f t="shared" ref="C96:R96" si="27">SUM(C83:C95)</f>
        <v>3103307</v>
      </c>
      <c r="D96" s="146">
        <f t="shared" si="27"/>
        <v>0</v>
      </c>
      <c r="E96" s="146">
        <f t="shared" si="27"/>
        <v>3103307</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3103307</v>
      </c>
      <c r="S96" s="150">
        <f>SUM(S84:S87,S89:S95)</f>
        <v>2802159</v>
      </c>
      <c r="T96" s="146">
        <f>SUM(T84:T87,T89:T95)</f>
        <v>0</v>
      </c>
      <c r="U96" s="143"/>
    </row>
    <row r="97" spans="1:21" s="144" customFormat="1">
      <c r="A97" s="149" t="s">
        <v>776</v>
      </c>
      <c r="B97" s="146">
        <f>SUM(C97:D97)</f>
        <v>89197629</v>
      </c>
      <c r="C97" s="146">
        <f t="shared" ref="C97:R97" si="28">SUM(C63+C70+C77+C81+C96)</f>
        <v>89197629</v>
      </c>
      <c r="D97" s="146">
        <f t="shared" si="28"/>
        <v>0</v>
      </c>
      <c r="E97" s="146">
        <f t="shared" si="28"/>
        <v>37988822</v>
      </c>
      <c r="F97" s="146">
        <f t="shared" si="28"/>
        <v>46218807</v>
      </c>
      <c r="G97" s="146">
        <f t="shared" si="28"/>
        <v>4990000</v>
      </c>
      <c r="H97" s="146">
        <f t="shared" si="28"/>
        <v>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89197629</v>
      </c>
      <c r="S97" s="146">
        <f>SUM(S63+S70+S81+S96)</f>
        <v>54393205</v>
      </c>
      <c r="T97" s="146">
        <f>SUM(T63+T70+T81+T96)</f>
        <v>24800000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14598641</v>
      </c>
      <c r="C99" s="979">
        <v>14598641</v>
      </c>
      <c r="D99" s="979"/>
      <c r="E99" s="979">
        <f>C99-SUM(F99:Q99)</f>
        <v>1461176</v>
      </c>
      <c r="F99" s="147"/>
      <c r="G99" s="147"/>
      <c r="H99" s="147">
        <f>H108</f>
        <v>13137465</v>
      </c>
      <c r="I99" s="147"/>
      <c r="J99" s="147"/>
      <c r="K99" s="147"/>
      <c r="L99" s="147"/>
      <c r="M99" s="147"/>
      <c r="N99" s="147"/>
      <c r="O99" s="147"/>
      <c r="P99" s="147"/>
      <c r="Q99" s="147"/>
      <c r="R99" s="516">
        <f>SUM(E99:Q99)</f>
        <v>14598641</v>
      </c>
      <c r="S99" s="147">
        <v>10878641</v>
      </c>
      <c r="T99" s="147">
        <v>3720000</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14598641</v>
      </c>
      <c r="C104" s="146">
        <f>SUM(C99:C103)</f>
        <v>14598641</v>
      </c>
      <c r="D104" s="146">
        <f t="shared" ref="D104:T104" si="29">SUM(D99:D103)</f>
        <v>0</v>
      </c>
      <c r="E104" s="146">
        <f t="shared" si="29"/>
        <v>1461176</v>
      </c>
      <c r="F104" s="146">
        <f t="shared" si="29"/>
        <v>0</v>
      </c>
      <c r="G104" s="146">
        <f t="shared" si="29"/>
        <v>0</v>
      </c>
      <c r="H104" s="146">
        <f t="shared" si="29"/>
        <v>13137465</v>
      </c>
      <c r="I104" s="146">
        <f t="shared" si="29"/>
        <v>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42">
        <f t="shared" si="29"/>
        <v>14598641</v>
      </c>
      <c r="S104" s="150">
        <f t="shared" si="29"/>
        <v>10878641</v>
      </c>
      <c r="T104" s="150">
        <f t="shared" si="29"/>
        <v>3720000</v>
      </c>
      <c r="U104" s="143"/>
    </row>
    <row r="105" spans="1:21" s="144" customFormat="1">
      <c r="A105" s="149" t="s">
        <v>781</v>
      </c>
      <c r="B105" s="150">
        <f>SUM(C105:D105)</f>
        <v>103796270</v>
      </c>
      <c r="C105" s="150">
        <f t="shared" ref="C105:R105" si="30">SUM(C97+C104)</f>
        <v>103796270</v>
      </c>
      <c r="D105" s="150">
        <f t="shared" si="30"/>
        <v>0</v>
      </c>
      <c r="E105" s="150">
        <f t="shared" si="30"/>
        <v>39449998</v>
      </c>
      <c r="F105" s="150">
        <f t="shared" si="30"/>
        <v>46218807</v>
      </c>
      <c r="G105" s="150">
        <f t="shared" si="30"/>
        <v>4990000</v>
      </c>
      <c r="H105" s="150">
        <f t="shared" si="30"/>
        <v>13137465</v>
      </c>
      <c r="I105" s="150">
        <f t="shared" si="30"/>
        <v>0</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42">
        <f t="shared" si="30"/>
        <v>103796270</v>
      </c>
      <c r="S105" s="150">
        <f>S97+S104</f>
        <v>65271846</v>
      </c>
      <c r="T105" s="150">
        <f>T97+T104</f>
        <v>28520000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65271846</v>
      </c>
      <c r="T107" s="150">
        <f>T105+T106</f>
        <v>28520000</v>
      </c>
    </row>
    <row r="108" spans="1:21" s="189" customFormat="1">
      <c r="A108" s="162" t="s">
        <v>880</v>
      </c>
      <c r="B108" s="157"/>
      <c r="C108" s="157"/>
      <c r="D108" s="157"/>
      <c r="E108" s="301">
        <f>Application!AO640</f>
        <v>39449998</v>
      </c>
      <c r="F108" s="301">
        <f>Application!AO627</f>
        <v>46218807</v>
      </c>
      <c r="G108" s="301">
        <f>Application!AO628</f>
        <v>4990000</v>
      </c>
      <c r="H108" s="301">
        <f>Application!AO629</f>
        <v>13137465</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0" t="s">
        <v>991</v>
      </c>
      <c r="E122" s="1870"/>
      <c r="F122" s="1870"/>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2" t="s">
        <v>1225</v>
      </c>
      <c r="E123" s="1556"/>
      <c r="F123" s="1556"/>
      <c r="G123" s="1556"/>
      <c r="H123" s="1556"/>
      <c r="I123" s="1556"/>
      <c r="J123" s="1556"/>
      <c r="K123" s="1556"/>
      <c r="L123" s="1556"/>
      <c r="M123" s="1556"/>
      <c r="N123" s="1556"/>
      <c r="O123" s="1556"/>
      <c r="P123" s="1556"/>
      <c r="Q123" s="1556"/>
      <c r="R123" s="1556"/>
      <c r="S123" s="1556"/>
      <c r="T123" s="324"/>
      <c r="U123" s="326"/>
    </row>
    <row r="124" spans="1:21" ht="12.75">
      <c r="A124" s="117" t="s">
        <v>993</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2.75">
      <c r="A125" s="117" t="s">
        <v>994</v>
      </c>
      <c r="B125" s="333"/>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5"/>
      <c r="E128" s="1865"/>
      <c r="F128" s="1865"/>
      <c r="G128" s="1865"/>
      <c r="H128" s="1865"/>
      <c r="I128" s="117"/>
      <c r="J128" s="1861"/>
      <c r="K128" s="1861"/>
      <c r="L128" s="117"/>
      <c r="M128" s="117"/>
      <c r="N128" s="117"/>
      <c r="O128" s="117"/>
      <c r="P128" s="117"/>
      <c r="Q128" s="117"/>
      <c r="R128" s="117"/>
      <c r="S128" s="117"/>
      <c r="T128" s="324"/>
      <c r="U128" s="326"/>
    </row>
    <row r="129" spans="1:21" ht="12.75">
      <c r="A129" s="117" t="s">
        <v>300</v>
      </c>
      <c r="B129" s="333"/>
      <c r="C129" s="117"/>
      <c r="D129" s="1869" t="s">
        <v>998</v>
      </c>
      <c r="E129" s="1869"/>
      <c r="F129" s="1869"/>
      <c r="G129" s="1869"/>
      <c r="H129" s="1869"/>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31"/>
      <c r="E131" s="1531"/>
      <c r="F131" s="1531"/>
      <c r="G131" s="1531"/>
      <c r="H131" s="1531"/>
      <c r="I131" s="117"/>
      <c r="J131" s="1531"/>
      <c r="K131" s="1531"/>
      <c r="L131" s="1531"/>
      <c r="M131" s="1531"/>
      <c r="N131" s="117"/>
      <c r="O131" s="117"/>
      <c r="P131" s="117"/>
      <c r="Q131" s="117"/>
      <c r="R131" s="117"/>
      <c r="S131" s="117"/>
      <c r="T131" s="324"/>
      <c r="U131" s="326"/>
    </row>
    <row r="132" spans="1:21" ht="12" customHeight="1">
      <c r="A132" s="336"/>
      <c r="B132" s="117"/>
      <c r="C132" s="117"/>
      <c r="D132" s="1863" t="s">
        <v>1001</v>
      </c>
      <c r="E132" s="1863"/>
      <c r="F132" s="1863"/>
      <c r="G132" s="1863"/>
      <c r="H132" s="1863"/>
      <c r="I132" s="117"/>
      <c r="J132" s="1863" t="s">
        <v>1002</v>
      </c>
      <c r="K132" s="1863"/>
      <c r="L132" s="1863"/>
      <c r="M132" s="186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4"/>
      <c r="B138" s="1865"/>
      <c r="C138" s="1865"/>
      <c r="D138" s="328"/>
      <c r="E138" s="1861"/>
      <c r="F138" s="1861"/>
      <c r="G138" s="117"/>
      <c r="H138" s="117"/>
      <c r="I138" s="117"/>
      <c r="J138" s="117"/>
      <c r="K138" s="117"/>
      <c r="L138" s="117"/>
      <c r="M138" s="117"/>
      <c r="N138" s="117"/>
      <c r="O138" s="117"/>
      <c r="P138" s="117"/>
      <c r="Q138" s="117"/>
      <c r="R138" s="117"/>
      <c r="S138" s="117"/>
      <c r="T138" s="330"/>
      <c r="U138" s="331"/>
    </row>
    <row r="139" spans="1:21" ht="12.75">
      <c r="A139" s="1860" t="s">
        <v>1005</v>
      </c>
      <c r="B139" s="1860"/>
      <c r="C139" s="1860"/>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90" zoomScaleNormal="90" workbookViewId="0">
      <selection activeCell="H41" sqref="H4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3" t="s">
        <v>1228</v>
      </c>
      <c r="B1" s="1874"/>
      <c r="C1" s="1874"/>
      <c r="D1" s="1874"/>
      <c r="E1" s="1874"/>
      <c r="F1" s="1874"/>
      <c r="G1" s="1874"/>
      <c r="H1" s="1874"/>
      <c r="I1" s="1874"/>
      <c r="J1" s="1875"/>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1800000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1800000</v>
      </c>
      <c r="C8" s="361">
        <f>SUM(C4:C7)</f>
        <v>0</v>
      </c>
      <c r="D8" s="361">
        <f>SUM(D4:D7)</f>
        <v>0</v>
      </c>
      <c r="E8" s="363"/>
      <c r="F8" s="363"/>
      <c r="G8" s="363"/>
      <c r="H8" s="363"/>
      <c r="I8" s="363"/>
      <c r="J8" s="363"/>
      <c r="K8" s="359"/>
    </row>
    <row r="9" spans="1:11" s="360" customFormat="1">
      <c r="A9" s="364" t="s">
        <v>595</v>
      </c>
      <c r="B9" s="361">
        <f>'Sources and Uses Budget'!C9</f>
        <v>24800000</v>
      </c>
      <c r="C9" s="362"/>
      <c r="D9" s="362"/>
      <c r="E9" s="363"/>
      <c r="F9" s="363"/>
      <c r="G9" s="363"/>
      <c r="H9" s="361">
        <f>'Sources and Uses Budget'!T9</f>
        <v>24800000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24800000</v>
      </c>
      <c r="C11" s="361">
        <f>SUM(C9:C10)</f>
        <v>0</v>
      </c>
      <c r="D11" s="361">
        <f>SUM(D9:D10)</f>
        <v>0</v>
      </c>
      <c r="E11" s="363"/>
      <c r="F11" s="363"/>
      <c r="G11" s="363"/>
      <c r="H11" s="361">
        <f>'Sources and Uses Budget'!T11</f>
        <v>24800000</v>
      </c>
      <c r="I11" s="361">
        <f>SUM(I9:I10)</f>
        <v>0</v>
      </c>
      <c r="J11" s="361">
        <f>SUM(J9:J10)</f>
        <v>0</v>
      </c>
      <c r="K11" s="359"/>
    </row>
    <row r="12" spans="1:11" s="360" customFormat="1">
      <c r="A12" s="365" t="s">
        <v>84</v>
      </c>
      <c r="B12" s="361">
        <f>'Sources and Uses Budget'!C12</f>
        <v>26600000</v>
      </c>
      <c r="C12" s="361">
        <f>SUM(C8+C11)</f>
        <v>0</v>
      </c>
      <c r="D12" s="361">
        <f>SUM(D8+D11)</f>
        <v>0</v>
      </c>
      <c r="E12" s="363"/>
      <c r="F12" s="363"/>
      <c r="G12" s="363"/>
      <c r="H12" s="363"/>
      <c r="I12" s="363"/>
      <c r="J12" s="363"/>
      <c r="K12" s="359"/>
    </row>
    <row r="13" spans="1:11" s="360" customFormat="1">
      <c r="A13" s="366" t="s">
        <v>903</v>
      </c>
      <c r="B13" s="361">
        <f>'Sources and Uses Budget'!C13</f>
        <v>41000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37266156</v>
      </c>
      <c r="C30" s="362"/>
      <c r="D30" s="362"/>
      <c r="E30" s="361">
        <f>'Sources and Uses Budget'!S30</f>
        <v>37266156</v>
      </c>
      <c r="F30" s="362"/>
      <c r="G30" s="362"/>
      <c r="H30" s="361">
        <f>'Sources and Uses Budget'!T30</f>
        <v>0</v>
      </c>
      <c r="I30" s="362"/>
      <c r="J30" s="362"/>
      <c r="K30" s="359"/>
    </row>
    <row r="31" spans="1:11" s="360" customFormat="1">
      <c r="A31" s="145" t="s">
        <v>601</v>
      </c>
      <c r="B31" s="361">
        <f>'Sources and Uses Budget'!C31</f>
        <v>1863308</v>
      </c>
      <c r="C31" s="362"/>
      <c r="D31" s="362"/>
      <c r="E31" s="361">
        <f>'Sources and Uses Budget'!S31</f>
        <v>1863308</v>
      </c>
      <c r="F31" s="362"/>
      <c r="G31" s="362"/>
      <c r="H31" s="361">
        <f>'Sources and Uses Budget'!T31</f>
        <v>0</v>
      </c>
      <c r="I31" s="362"/>
      <c r="J31" s="362"/>
      <c r="K31" s="359"/>
    </row>
    <row r="32" spans="1:11" s="360" customFormat="1">
      <c r="A32" s="145" t="s">
        <v>137</v>
      </c>
      <c r="B32" s="361">
        <f>'Sources and Uses Budget'!C32</f>
        <v>1173883</v>
      </c>
      <c r="C32" s="362"/>
      <c r="D32" s="362"/>
      <c r="E32" s="361">
        <f>'Sources and Uses Budget'!S32</f>
        <v>1173883</v>
      </c>
      <c r="F32" s="362"/>
      <c r="G32" s="362"/>
      <c r="H32" s="361">
        <f>'Sources and Uses Budget'!T32</f>
        <v>0</v>
      </c>
      <c r="I32" s="362"/>
      <c r="J32" s="362"/>
      <c r="K32" s="359"/>
    </row>
    <row r="33" spans="1:11" s="360" customFormat="1">
      <c r="A33" s="145" t="s">
        <v>138</v>
      </c>
      <c r="B33" s="361">
        <f>'Sources and Uses Budget'!C33</f>
        <v>2347768</v>
      </c>
      <c r="C33" s="362"/>
      <c r="D33" s="362"/>
      <c r="E33" s="361">
        <f>'Sources and Uses Budget'!S33</f>
        <v>2347768</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225000</v>
      </c>
      <c r="C35" s="362"/>
      <c r="D35" s="362"/>
      <c r="E35" s="361">
        <f>'Sources and Uses Budget'!S35</f>
        <v>225000</v>
      </c>
      <c r="F35" s="362"/>
      <c r="G35" s="362"/>
      <c r="H35" s="361">
        <f>'Sources and Uses Budget'!T35</f>
        <v>0</v>
      </c>
      <c r="I35" s="362"/>
      <c r="J35" s="362"/>
      <c r="K35" s="359"/>
    </row>
    <row r="36" spans="1:11" s="360" customFormat="1">
      <c r="A36" s="508" t="s">
        <v>1641</v>
      </c>
      <c r="B36" s="361">
        <f>'Sources and Uses Budget'!C36</f>
        <v>250000</v>
      </c>
      <c r="C36" s="362"/>
      <c r="D36" s="362"/>
      <c r="E36" s="361">
        <f>'Sources and Uses Budget'!S36</f>
        <v>250000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43126115</v>
      </c>
      <c r="C38" s="361">
        <f>SUM(C29:C37)</f>
        <v>0</v>
      </c>
      <c r="D38" s="361">
        <f>SUM(D29:D37)</f>
        <v>0</v>
      </c>
      <c r="E38" s="361">
        <f>'Sources and Uses Budget'!S38</f>
        <v>43126115</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1565000</v>
      </c>
      <c r="C40" s="362"/>
      <c r="D40" s="362"/>
      <c r="E40" s="361">
        <f>'Sources and Uses Budget'!S40</f>
        <v>1565000</v>
      </c>
      <c r="F40" s="362"/>
      <c r="G40" s="362"/>
      <c r="H40" s="361">
        <f>'Sources and Uses Budget'!T40</f>
        <v>0</v>
      </c>
      <c r="I40" s="362"/>
      <c r="J40" s="362"/>
      <c r="K40" s="359"/>
    </row>
    <row r="41" spans="1:11" s="360" customFormat="1">
      <c r="A41" s="364" t="s">
        <v>146</v>
      </c>
      <c r="B41" s="361">
        <f>'Sources and Uses Budget'!C41</f>
        <v>435000</v>
      </c>
      <c r="C41" s="362"/>
      <c r="D41" s="362"/>
      <c r="E41" s="361">
        <f>'Sources and Uses Budget'!S41</f>
        <v>435000</v>
      </c>
      <c r="F41" s="362"/>
      <c r="G41" s="362"/>
      <c r="H41" s="361">
        <f>'Sources and Uses Budget'!T41</f>
        <v>0</v>
      </c>
      <c r="I41" s="362"/>
      <c r="J41" s="362"/>
      <c r="K41" s="359"/>
    </row>
    <row r="42" spans="1:11" s="360" customFormat="1">
      <c r="A42" s="365" t="s">
        <v>147</v>
      </c>
      <c r="B42" s="361">
        <f>'Sources and Uses Budget'!C42</f>
        <v>2000000</v>
      </c>
      <c r="C42" s="361">
        <f>SUM(C39:C41)</f>
        <v>0</v>
      </c>
      <c r="D42" s="361">
        <f>SUM(D39:D41)</f>
        <v>0</v>
      </c>
      <c r="E42" s="361">
        <f>'Sources and Uses Budget'!S42</f>
        <v>2000000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336984</v>
      </c>
      <c r="C43" s="362"/>
      <c r="D43" s="362"/>
      <c r="E43" s="361">
        <f>'Sources and Uses Budget'!S43</f>
        <v>336984</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6778339</v>
      </c>
      <c r="C45" s="362"/>
      <c r="D45" s="362"/>
      <c r="E45" s="361">
        <f>'Sources and Uses Budget'!S45</f>
        <v>3227406</v>
      </c>
      <c r="F45" s="362"/>
      <c r="G45" s="362"/>
      <c r="H45" s="361">
        <f>'Sources and Uses Budget'!T45</f>
        <v>0</v>
      </c>
      <c r="I45" s="362"/>
      <c r="J45" s="362"/>
      <c r="K45" s="359"/>
    </row>
    <row r="46" spans="1:11" s="360" customFormat="1">
      <c r="A46" s="364" t="s">
        <v>151</v>
      </c>
      <c r="B46" s="361">
        <f>'Sources and Uses Budget'!C46</f>
        <v>833079</v>
      </c>
      <c r="C46" s="362"/>
      <c r="D46" s="362"/>
      <c r="E46" s="361">
        <f>'Sources and Uses Budget'!S46</f>
        <v>375743</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427500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(Deputy Inspection)</v>
      </c>
      <c r="B53" s="361">
        <f>'Sources and Uses Budget'!C53</f>
        <v>200000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8338918</v>
      </c>
      <c r="C54" s="367">
        <f>SUM(C45:C53)</f>
        <v>0</v>
      </c>
      <c r="D54" s="367">
        <f>SUM(D45:D53)</f>
        <v>0</v>
      </c>
      <c r="E54" s="361">
        <f>'Sources and Uses Budget'!S54</f>
        <v>3653149</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462188</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50000</v>
      </c>
      <c r="C58" s="362"/>
      <c r="D58" s="362"/>
      <c r="E58" s="363"/>
      <c r="F58" s="363"/>
      <c r="G58" s="363"/>
      <c r="H58" s="363"/>
      <c r="I58" s="363"/>
      <c r="J58" s="363"/>
      <c r="K58" s="359"/>
    </row>
    <row r="59" spans="1:11" s="360" customFormat="1">
      <c r="A59" s="364" t="s">
        <v>154</v>
      </c>
      <c r="B59" s="361">
        <f>'Sources and Uses Budget'!C59</f>
        <v>777500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1289688</v>
      </c>
      <c r="C62" s="361">
        <f>SUM(C56:C61)</f>
        <v>0</v>
      </c>
      <c r="D62" s="361">
        <f>SUM(D56:D61)</f>
        <v>0</v>
      </c>
      <c r="E62" s="363"/>
      <c r="F62" s="363"/>
      <c r="G62" s="363"/>
      <c r="H62" s="363"/>
      <c r="I62" s="363"/>
      <c r="J62" s="363"/>
      <c r="K62" s="359"/>
    </row>
    <row r="63" spans="1:11" s="360" customFormat="1">
      <c r="A63" s="370" t="s">
        <v>302</v>
      </c>
      <c r="B63" s="361">
        <f>'Sources and Uses Budget'!C63</f>
        <v>81732705</v>
      </c>
      <c r="C63" s="361">
        <f>SUM(C8+C11+C13+C14+C15+C26+C27+C38+C42+C43+C54+C62)</f>
        <v>0</v>
      </c>
      <c r="D63" s="361">
        <f>SUM(D8+D11+D13+D14+D15+D26+D27+D38+D42+D43+D54+D62)</f>
        <v>0</v>
      </c>
      <c r="E63" s="361">
        <f>'Sources and Uses Budget'!S63</f>
        <v>49116248</v>
      </c>
      <c r="F63" s="361">
        <f>SUM(F10+F13+F14+F15+F26+F27+F38+F42+F43+F54)</f>
        <v>0</v>
      </c>
      <c r="G63" s="361">
        <f>SUM(G10+G13+G14+G15+G26+G27+G38+G42+G43+G54)</f>
        <v>0</v>
      </c>
      <c r="H63" s="361">
        <f>'Sources and Uses Budget'!T63</f>
        <v>24800000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299100</v>
      </c>
      <c r="C65" s="362"/>
      <c r="D65" s="362"/>
      <c r="E65" s="361">
        <f>'Sources and Uses Budget'!S65</f>
        <v>94100</v>
      </c>
      <c r="F65" s="362"/>
      <c r="G65" s="362"/>
      <c r="H65" s="361">
        <f>'Sources and Uses Budget'!T65</f>
        <v>0</v>
      </c>
      <c r="I65" s="362"/>
      <c r="J65" s="362"/>
      <c r="K65" s="359"/>
    </row>
    <row r="66" spans="1:11" s="360" customFormat="1" ht="24">
      <c r="A66" s="283" t="s">
        <v>1642</v>
      </c>
      <c r="B66" s="361">
        <f>'Sources and Uses Budget'!C66</f>
        <v>360000</v>
      </c>
      <c r="C66" s="362"/>
      <c r="D66" s="362"/>
      <c r="E66" s="361">
        <f>'Sources and Uses Budget'!S66</f>
        <v>360000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659100</v>
      </c>
      <c r="C70" s="361">
        <f>SUM(C64:C69)</f>
        <v>0</v>
      </c>
      <c r="D70" s="361">
        <f>SUM(D64:D69)</f>
        <v>0</v>
      </c>
      <c r="E70" s="361">
        <f>'Sources and Uses Budget'!S70</f>
        <v>454100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1224429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1224429</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1563308</v>
      </c>
      <c r="C79" s="362"/>
      <c r="D79" s="362"/>
      <c r="E79" s="361">
        <f>'Sources and Uses Budget'!S79</f>
        <v>1563308</v>
      </c>
      <c r="F79" s="362"/>
      <c r="G79" s="362"/>
      <c r="H79" s="361">
        <f>'Sources and Uses Budget'!T79</f>
        <v>0</v>
      </c>
      <c r="I79" s="362"/>
      <c r="J79" s="362"/>
      <c r="K79" s="359"/>
    </row>
    <row r="80" spans="1:11" s="360" customFormat="1">
      <c r="A80" s="364" t="s">
        <v>58</v>
      </c>
      <c r="B80" s="361">
        <f>'Sources and Uses Budget'!C80</f>
        <v>914780</v>
      </c>
      <c r="C80" s="362"/>
      <c r="D80" s="362"/>
      <c r="E80" s="361">
        <f>'Sources and Uses Budget'!S80</f>
        <v>457390</v>
      </c>
      <c r="F80" s="362"/>
      <c r="G80" s="362"/>
      <c r="H80" s="361">
        <f>'Sources and Uses Budget'!T80</f>
        <v>0</v>
      </c>
      <c r="I80" s="362"/>
      <c r="J80" s="362"/>
      <c r="K80" s="359"/>
    </row>
    <row r="81" spans="1:11" s="360" customFormat="1">
      <c r="A81" s="365" t="s">
        <v>1210</v>
      </c>
      <c r="B81" s="361">
        <f>'Sources and Uses Budget'!C81</f>
        <v>2478088</v>
      </c>
      <c r="C81" s="361">
        <f>SUM(C79:C80)</f>
        <v>0</v>
      </c>
      <c r="D81" s="361">
        <f>SUM(D79:D80)</f>
        <v>0</v>
      </c>
      <c r="E81" s="361">
        <f>'Sources and Uses Budget'!S81</f>
        <v>2020698</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243148</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2556532</v>
      </c>
      <c r="C86" s="362"/>
      <c r="D86" s="362"/>
      <c r="E86" s="361">
        <f>'Sources and Uses Budget'!S86</f>
        <v>2556532</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50000</v>
      </c>
      <c r="C88" s="362"/>
      <c r="D88" s="362"/>
      <c r="E88" s="363"/>
      <c r="F88" s="363"/>
      <c r="G88" s="363"/>
      <c r="H88" s="363"/>
      <c r="I88" s="363"/>
      <c r="J88" s="363"/>
      <c r="K88" s="359"/>
    </row>
    <row r="89" spans="1:11" s="360" customFormat="1">
      <c r="A89" s="145" t="s">
        <v>773</v>
      </c>
      <c r="B89" s="361">
        <f>'Sources and Uses Budget'!C89</f>
        <v>170627</v>
      </c>
      <c r="C89" s="362"/>
      <c r="D89" s="362"/>
      <c r="E89" s="361">
        <f>'Sources and Uses Budget'!S89</f>
        <v>170627</v>
      </c>
      <c r="F89" s="362"/>
      <c r="G89" s="362"/>
      <c r="H89" s="361">
        <f>'Sources and Uses Budget'!T89</f>
        <v>0</v>
      </c>
      <c r="I89" s="362"/>
      <c r="J89" s="362"/>
      <c r="K89" s="359"/>
    </row>
    <row r="90" spans="1:11" s="360" customFormat="1">
      <c r="A90" s="145" t="s">
        <v>774</v>
      </c>
      <c r="B90" s="361">
        <f>'Sources and Uses Budget'!C90</f>
        <v>15000</v>
      </c>
      <c r="C90" s="362"/>
      <c r="D90" s="362"/>
      <c r="E90" s="361">
        <f>'Sources and Uses Budget'!S90</f>
        <v>15000</v>
      </c>
      <c r="F90" s="362"/>
      <c r="G90" s="362"/>
      <c r="H90" s="361">
        <f>'Sources and Uses Budget'!T90</f>
        <v>0</v>
      </c>
      <c r="I90" s="362"/>
      <c r="J90" s="362"/>
      <c r="K90" s="359"/>
    </row>
    <row r="91" spans="1:11" s="360" customFormat="1">
      <c r="A91" s="155" t="s">
        <v>372</v>
      </c>
      <c r="B91" s="361">
        <f>'Sources and Uses Budget'!C91</f>
        <v>60000</v>
      </c>
      <c r="C91" s="362"/>
      <c r="D91" s="362"/>
      <c r="E91" s="361">
        <f>'Sources and Uses Budget'!S91</f>
        <v>60000</v>
      </c>
      <c r="F91" s="362"/>
      <c r="G91" s="362"/>
      <c r="H91" s="361">
        <f>'Sources and Uses Budget'!T91</f>
        <v>0</v>
      </c>
      <c r="I91" s="362"/>
      <c r="J91" s="362"/>
      <c r="K91" s="359"/>
    </row>
    <row r="92" spans="1:11" s="360" customFormat="1">
      <c r="A92" s="508" t="s">
        <v>1212</v>
      </c>
      <c r="B92" s="361">
        <f>'Sources and Uses Budget'!C92</f>
        <v>8000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3103307</v>
      </c>
      <c r="C96" s="361">
        <f>SUM(C83:C95)</f>
        <v>0</v>
      </c>
      <c r="D96" s="361">
        <f>SUM(D83:D95)</f>
        <v>0</v>
      </c>
      <c r="E96" s="361">
        <f>'Sources and Uses Budget'!S96</f>
        <v>2802159</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89197629</v>
      </c>
      <c r="C97" s="361">
        <f>SUM(C63+C70+C77+C81+C96)</f>
        <v>0</v>
      </c>
      <c r="D97" s="361">
        <f>SUM(D63+D70+D77+D81+D96)</f>
        <v>0</v>
      </c>
      <c r="E97" s="361">
        <f>'Sources and Uses Budget'!S97</f>
        <v>54393205</v>
      </c>
      <c r="F97" s="367">
        <f>SUM(+F63+F70+F81+F96)</f>
        <v>0</v>
      </c>
      <c r="G97" s="367">
        <f>SUM(+G63+G70+G81+G96)</f>
        <v>0</v>
      </c>
      <c r="H97" s="361">
        <f>'Sources and Uses Budget'!T97</f>
        <v>24800000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14598641</v>
      </c>
      <c r="C99" s="362"/>
      <c r="D99" s="362"/>
      <c r="E99" s="361">
        <f>'Sources and Uses Budget'!S99</f>
        <v>10878641</v>
      </c>
      <c r="F99" s="362"/>
      <c r="G99" s="362"/>
      <c r="H99" s="361">
        <f>'Sources and Uses Budget'!T99</f>
        <v>3720000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14598641</v>
      </c>
      <c r="C104" s="361">
        <f>SUM(C99:C103)</f>
        <v>0</v>
      </c>
      <c r="D104" s="361">
        <f>SUM(D99:D103)</f>
        <v>0</v>
      </c>
      <c r="E104" s="361">
        <f>'Sources and Uses Budget'!S104</f>
        <v>10878641</v>
      </c>
      <c r="F104" s="367">
        <f>SUM(F99:F103)</f>
        <v>0</v>
      </c>
      <c r="G104" s="367">
        <f>SUM(G99:G103)</f>
        <v>0</v>
      </c>
      <c r="H104" s="361">
        <f>'Sources and Uses Budget'!T104</f>
        <v>3720000</v>
      </c>
      <c r="I104" s="367">
        <f>SUM(I99:I103)</f>
        <v>0</v>
      </c>
      <c r="J104" s="367">
        <f>SUM(J99:J103)</f>
        <v>0</v>
      </c>
      <c r="K104" s="359"/>
    </row>
    <row r="105" spans="1:11" s="360" customFormat="1">
      <c r="A105" s="365" t="s">
        <v>1031</v>
      </c>
      <c r="B105" s="361">
        <f>'Sources and Uses Budget'!C105</f>
        <v>103796270</v>
      </c>
      <c r="C105" s="367">
        <f>SUM(C97+C104)</f>
        <v>0</v>
      </c>
      <c r="D105" s="367">
        <f>SUM(D97+D104)</f>
        <v>0</v>
      </c>
      <c r="E105" s="361">
        <f>'Sources and Uses Budget'!S105</f>
        <v>65271846</v>
      </c>
      <c r="F105" s="367">
        <f>F97+F104</f>
        <v>0</v>
      </c>
      <c r="G105" s="367">
        <f>G97+G104</f>
        <v>0</v>
      </c>
      <c r="H105" s="361">
        <f>'Sources and Uses Budget'!T105</f>
        <v>28520000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65271846</v>
      </c>
      <c r="F107" s="367">
        <f>F105+F106</f>
        <v>0</v>
      </c>
      <c r="G107" s="367">
        <f>G105+G106</f>
        <v>0</v>
      </c>
      <c r="H107" s="361">
        <f>'Sources and Uses Budget'!T107</f>
        <v>28520000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1"/>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zoomScale="90" zoomScaleNormal="9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4" t="s">
        <v>2457</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6"/>
    </row>
    <row r="2" spans="1:65" ht="15.75" customHeight="1">
      <c r="A2" s="1887" t="s">
        <v>2456</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c r="AV2" s="1888"/>
      <c r="AW2" s="1888"/>
      <c r="AX2" s="1888"/>
      <c r="AY2" s="1888"/>
      <c r="AZ2" s="1888"/>
      <c r="BA2" s="1888"/>
      <c r="BB2" s="1888"/>
      <c r="BC2" s="1888"/>
      <c r="BD2" s="1888"/>
      <c r="BE2" s="188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6" t="str">
        <f>IF(Application!H18="","",Application!H18)</f>
        <v>Sky Castle II</v>
      </c>
      <c r="M4" s="1877"/>
      <c r="N4" s="1877"/>
      <c r="O4" s="1877"/>
      <c r="P4" s="1877"/>
      <c r="Q4" s="1877"/>
      <c r="R4" s="1877"/>
      <c r="S4" s="1877"/>
      <c r="T4" s="1877"/>
      <c r="U4" s="1877"/>
      <c r="V4" s="1877"/>
      <c r="W4" s="1877"/>
      <c r="X4" s="1877"/>
      <c r="Y4" s="1877"/>
      <c r="Z4" s="1877"/>
      <c r="AA4" s="1877"/>
      <c r="AB4" s="1877"/>
      <c r="AC4" s="1878"/>
      <c r="AD4" s="1190"/>
      <c r="AE4" s="1190"/>
      <c r="AF4" s="1890" t="s">
        <v>2455</v>
      </c>
      <c r="AG4" s="1890"/>
      <c r="AH4" s="1890"/>
      <c r="AI4" s="1890"/>
      <c r="AJ4" s="1890"/>
      <c r="AK4" s="1890"/>
      <c r="AL4" s="1890"/>
      <c r="AM4" s="1890"/>
      <c r="AN4" s="1890"/>
      <c r="AO4" s="1890"/>
      <c r="AP4" s="1891"/>
      <c r="AQ4" s="1892"/>
      <c r="AR4" s="1892"/>
      <c r="AS4" s="1892"/>
      <c r="AT4" s="1892"/>
      <c r="AU4" s="189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0" t="s">
        <v>2454</v>
      </c>
      <c r="AG5" s="1890"/>
      <c r="AH5" s="1890"/>
      <c r="AI5" s="1890"/>
      <c r="AJ5" s="1890"/>
      <c r="AK5" s="1890"/>
      <c r="AL5" s="1890"/>
      <c r="AM5" s="1890"/>
      <c r="AN5" s="1890"/>
      <c r="AO5" s="1890"/>
      <c r="AP5" s="1891"/>
      <c r="AQ5" s="1892"/>
      <c r="AR5" s="1892"/>
      <c r="AS5" s="1892"/>
      <c r="AT5" s="1892"/>
      <c r="AU5" s="1892"/>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6" t="str">
        <f>IF(Application!H16="","",Application!H16)</f>
        <v>Sky Castle II, LP</v>
      </c>
      <c r="M6" s="1877"/>
      <c r="N6" s="1877"/>
      <c r="O6" s="1877"/>
      <c r="P6" s="1877"/>
      <c r="Q6" s="1877"/>
      <c r="R6" s="1877"/>
      <c r="S6" s="1877"/>
      <c r="T6" s="1877"/>
      <c r="U6" s="1877"/>
      <c r="V6" s="1877"/>
      <c r="W6" s="1877"/>
      <c r="X6" s="1877"/>
      <c r="Y6" s="1877"/>
      <c r="Z6" s="1877"/>
      <c r="AA6" s="1877"/>
      <c r="AB6" s="1877"/>
      <c r="AC6" s="1878"/>
      <c r="AD6" s="1190"/>
      <c r="AE6" s="1190"/>
      <c r="AF6" s="1879" t="s">
        <v>2452</v>
      </c>
      <c r="AG6" s="1879"/>
      <c r="AH6" s="1879"/>
      <c r="AI6" s="1879"/>
      <c r="AJ6" s="1879"/>
      <c r="AK6" s="1879"/>
      <c r="AL6" s="1879"/>
      <c r="AM6" s="1879"/>
      <c r="AN6" s="1879"/>
      <c r="AO6" s="1879"/>
      <c r="AP6" s="1880"/>
      <c r="AQ6" s="1880"/>
      <c r="AR6" s="1880"/>
      <c r="AS6" s="1880"/>
      <c r="AT6" s="1880"/>
      <c r="AU6" s="1880"/>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9" t="s">
        <v>2451</v>
      </c>
      <c r="AG7" s="1879"/>
      <c r="AH7" s="1879"/>
      <c r="AI7" s="1879"/>
      <c r="AJ7" s="1879"/>
      <c r="AK7" s="1879"/>
      <c r="AL7" s="1879"/>
      <c r="AM7" s="1879"/>
      <c r="AN7" s="1879"/>
      <c r="AO7" s="1879"/>
      <c r="AP7" s="1880"/>
      <c r="AQ7" s="1880"/>
      <c r="AR7" s="1880"/>
      <c r="AS7" s="1880"/>
      <c r="AT7" s="1880"/>
      <c r="AU7" s="1880"/>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1" t="str">
        <f>Application!T197</f>
        <v>No</v>
      </c>
      <c r="AC8" s="1882"/>
      <c r="AD8" s="1883"/>
      <c r="AE8" s="1190"/>
      <c r="AF8" s="1879" t="s">
        <v>2449</v>
      </c>
      <c r="AG8" s="1879"/>
      <c r="AH8" s="1879"/>
      <c r="AI8" s="1879"/>
      <c r="AJ8" s="1879"/>
      <c r="AK8" s="1879"/>
      <c r="AL8" s="1879"/>
      <c r="AM8" s="1879"/>
      <c r="AN8" s="1879"/>
      <c r="AO8" s="1879"/>
      <c r="AP8" s="1880" t="s">
        <v>2099</v>
      </c>
      <c r="AQ8" s="1880"/>
      <c r="AR8" s="1880"/>
      <c r="AS8" s="1880"/>
      <c r="AT8" s="1880"/>
      <c r="AU8" s="1880"/>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0" t="s">
        <v>2448</v>
      </c>
      <c r="AG9" s="1890"/>
      <c r="AH9" s="1890"/>
      <c r="AI9" s="1890"/>
      <c r="AJ9" s="1890"/>
      <c r="AK9" s="1890"/>
      <c r="AL9" s="1890"/>
      <c r="AM9" s="1890"/>
      <c r="AN9" s="1890"/>
      <c r="AO9" s="1890"/>
      <c r="AP9" s="1891"/>
      <c r="AQ9" s="1892"/>
      <c r="AR9" s="1892"/>
      <c r="AS9" s="1892"/>
      <c r="AT9" s="1892"/>
      <c r="AU9" s="1892"/>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05">
        <f>Application!AO627</f>
        <v>46218807</v>
      </c>
      <c r="O10" s="1905"/>
      <c r="P10" s="1905"/>
      <c r="Q10" s="1905"/>
      <c r="R10" s="1905"/>
      <c r="S10" s="1905"/>
      <c r="T10" s="1905"/>
      <c r="U10" s="1190"/>
      <c r="V10" s="1190"/>
      <c r="W10" s="1190"/>
      <c r="X10" s="1193"/>
      <c r="Y10" s="1193"/>
      <c r="Z10" s="1193"/>
      <c r="AA10" s="1193"/>
      <c r="AB10" s="1193"/>
      <c r="AC10" s="1193"/>
      <c r="AD10" s="1193"/>
      <c r="AE10" s="1193"/>
      <c r="AF10" s="1890" t="s">
        <v>2445</v>
      </c>
      <c r="AG10" s="1890"/>
      <c r="AH10" s="1890"/>
      <c r="AI10" s="1890"/>
      <c r="AJ10" s="1890"/>
      <c r="AK10" s="1890"/>
      <c r="AL10" s="1890"/>
      <c r="AM10" s="1890"/>
      <c r="AN10" s="1890"/>
      <c r="AO10" s="1890"/>
      <c r="AP10" s="1891"/>
      <c r="AQ10" s="1892"/>
      <c r="AR10" s="1892"/>
      <c r="AS10" s="1892"/>
      <c r="AT10" s="1892"/>
      <c r="AU10" s="1892"/>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05">
        <f>Application!AA934</f>
        <v>0</v>
      </c>
      <c r="O11" s="1905"/>
      <c r="P11" s="1905"/>
      <c r="Q11" s="1905"/>
      <c r="R11" s="1905"/>
      <c r="S11" s="1905"/>
      <c r="T11" s="1905"/>
      <c r="U11" s="1190"/>
      <c r="V11" s="1190"/>
      <c r="W11" s="1190"/>
      <c r="X11" s="1193"/>
      <c r="Y11" s="1193"/>
      <c r="Z11" s="1193"/>
      <c r="AA11" s="1193"/>
      <c r="AB11" s="1193"/>
      <c r="AC11" s="1193"/>
      <c r="AD11" s="1193"/>
      <c r="AE11" s="1193"/>
      <c r="AF11" s="1890" t="s">
        <v>2442</v>
      </c>
      <c r="AG11" s="1890"/>
      <c r="AH11" s="1890"/>
      <c r="AI11" s="1890"/>
      <c r="AJ11" s="1890"/>
      <c r="AK11" s="1890"/>
      <c r="AL11" s="1890"/>
      <c r="AM11" s="1890"/>
      <c r="AN11" s="1890"/>
      <c r="AO11" s="1890"/>
      <c r="AP11" s="1891"/>
      <c r="AQ11" s="1892"/>
      <c r="AR11" s="1892"/>
      <c r="AS11" s="1892"/>
      <c r="AT11" s="1892"/>
      <c r="AU11" s="1892"/>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1893" t="s">
        <v>2440</v>
      </c>
      <c r="C13" s="1894"/>
      <c r="D13" s="1894"/>
      <c r="E13" s="1894"/>
      <c r="F13" s="1894"/>
      <c r="G13" s="1894"/>
      <c r="H13" s="1894"/>
      <c r="I13" s="1894"/>
      <c r="J13" s="1894"/>
      <c r="K13" s="1894"/>
      <c r="L13" s="1894"/>
      <c r="M13" s="1894"/>
      <c r="N13" s="1894"/>
      <c r="O13" s="1894"/>
      <c r="P13" s="1895"/>
      <c r="Q13" s="1896" t="s">
        <v>670</v>
      </c>
      <c r="R13" s="1897"/>
      <c r="S13" s="1897"/>
      <c r="T13" s="1898"/>
      <c r="U13" s="1193"/>
      <c r="V13" s="1190"/>
      <c r="W13" s="1190"/>
      <c r="X13" s="1190"/>
      <c r="Y13" s="1190"/>
      <c r="Z13" s="1190"/>
      <c r="AA13" s="1899" t="s">
        <v>2439</v>
      </c>
      <c r="AB13" s="1899"/>
      <c r="AC13" s="1899"/>
      <c r="AD13" s="1899"/>
      <c r="AE13" s="1899"/>
      <c r="AF13" s="1899"/>
      <c r="AG13" s="1899"/>
      <c r="AH13" s="1899"/>
      <c r="AI13" s="1899"/>
      <c r="AJ13" s="1899"/>
      <c r="AK13" s="1899"/>
      <c r="AL13" s="1899"/>
      <c r="AM13" s="1899"/>
      <c r="AN13" s="1899"/>
      <c r="AO13" s="1900">
        <f>Application!W473</f>
        <v>67</v>
      </c>
      <c r="AP13" s="1901"/>
      <c r="AQ13" s="1901"/>
      <c r="AR13" s="1901"/>
      <c r="AS13" s="1901"/>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2" t="s">
        <v>2437</v>
      </c>
      <c r="AB14" s="1902"/>
      <c r="AC14" s="1902"/>
      <c r="AD14" s="1902"/>
      <c r="AE14" s="1902"/>
      <c r="AF14" s="1902"/>
      <c r="AG14" s="1902"/>
      <c r="AH14" s="1902"/>
      <c r="AI14" s="1902"/>
      <c r="AJ14" s="1902"/>
      <c r="AK14" s="1902"/>
      <c r="AL14" s="1902"/>
      <c r="AM14" s="1902"/>
      <c r="AN14" s="1902"/>
      <c r="AO14" s="1903"/>
      <c r="AP14" s="1904"/>
      <c r="AQ14" s="1904"/>
      <c r="AR14" s="1904"/>
      <c r="AS14" s="1904"/>
      <c r="AT14" s="1193"/>
      <c r="AU14" s="1193"/>
      <c r="AV14" s="1193"/>
      <c r="AW14" s="1193"/>
      <c r="AX14" s="1193"/>
      <c r="AY14" s="1193"/>
      <c r="AZ14" s="1193"/>
      <c r="BA14" s="1193"/>
      <c r="BB14" s="1193"/>
      <c r="BC14" s="1193"/>
      <c r="BD14" s="1193"/>
      <c r="BE14" s="1194"/>
    </row>
    <row r="15" spans="1:65" thickBot="1">
      <c r="A15" s="1190"/>
      <c r="B15" s="1906" t="s">
        <v>2436</v>
      </c>
      <c r="C15" s="1907"/>
      <c r="D15" s="1907"/>
      <c r="E15" s="1907"/>
      <c r="F15" s="1907"/>
      <c r="G15" s="1907"/>
      <c r="H15" s="1907"/>
      <c r="I15" s="1907"/>
      <c r="J15" s="1907"/>
      <c r="K15" s="1907"/>
      <c r="L15" s="1907"/>
      <c r="M15" s="1907"/>
      <c r="N15" s="1907"/>
      <c r="O15" s="1907"/>
      <c r="P15" s="1907"/>
      <c r="Q15" s="1907"/>
      <c r="R15" s="1908"/>
      <c r="S15" s="1909" t="str">
        <f>IF(Application!AB214="","",Application!AB214)</f>
        <v/>
      </c>
      <c r="T15" s="1909"/>
      <c r="U15" s="1909"/>
      <c r="V15" s="1909"/>
      <c r="W15" s="1910"/>
      <c r="X15" s="1193"/>
      <c r="Y15" s="1190"/>
      <c r="Z15" s="1190"/>
      <c r="AA15" s="1899" t="s">
        <v>2435</v>
      </c>
      <c r="AB15" s="1899"/>
      <c r="AC15" s="1899"/>
      <c r="AD15" s="1899"/>
      <c r="AE15" s="1899"/>
      <c r="AF15" s="1899"/>
      <c r="AG15" s="1899"/>
      <c r="AH15" s="1899"/>
      <c r="AI15" s="1899"/>
      <c r="AJ15" s="1899"/>
      <c r="AK15" s="1899"/>
      <c r="AL15" s="1899"/>
      <c r="AM15" s="1899"/>
      <c r="AN15" s="1899"/>
      <c r="AO15" s="1903"/>
      <c r="AP15" s="1904"/>
      <c r="AQ15" s="1904"/>
      <c r="AR15" s="1904"/>
      <c r="AS15" s="1904"/>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1" t="s">
        <v>2434</v>
      </c>
      <c r="C17" s="1912"/>
      <c r="D17" s="1912"/>
      <c r="E17" s="1912"/>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3"/>
      <c r="AZ17" s="1190"/>
      <c r="BA17" s="1190"/>
      <c r="BB17" s="1190"/>
      <c r="BC17" s="1190"/>
      <c r="BD17" s="1190"/>
      <c r="BE17" s="1194"/>
      <c r="BF17" s="1188"/>
    </row>
    <row r="18" spans="1:58" ht="15.75" customHeight="1">
      <c r="A18" s="1190"/>
      <c r="B18" s="1914" t="s">
        <v>2433</v>
      </c>
      <c r="C18" s="1915"/>
      <c r="D18" s="1915"/>
      <c r="E18" s="1915"/>
      <c r="F18" s="1915"/>
      <c r="G18" s="1915"/>
      <c r="H18" s="1915"/>
      <c r="I18" s="1916"/>
      <c r="J18" s="1917" t="s">
        <v>1587</v>
      </c>
      <c r="K18" s="1918"/>
      <c r="L18" s="1918"/>
      <c r="M18" s="1918"/>
      <c r="N18" s="1918"/>
      <c r="O18" s="1919"/>
      <c r="P18" s="1917" t="s">
        <v>324</v>
      </c>
      <c r="Q18" s="1918"/>
      <c r="R18" s="1918"/>
      <c r="S18" s="1918"/>
      <c r="T18" s="1918"/>
      <c r="U18" s="1919"/>
      <c r="V18" s="1917" t="s">
        <v>325</v>
      </c>
      <c r="W18" s="1918"/>
      <c r="X18" s="1918"/>
      <c r="Y18" s="1918"/>
      <c r="Z18" s="1918"/>
      <c r="AA18" s="1919"/>
      <c r="AB18" s="1917" t="s">
        <v>163</v>
      </c>
      <c r="AC18" s="1918"/>
      <c r="AD18" s="1918"/>
      <c r="AE18" s="1918"/>
      <c r="AF18" s="1918"/>
      <c r="AG18" s="1919"/>
      <c r="AH18" s="1917" t="s">
        <v>164</v>
      </c>
      <c r="AI18" s="1918"/>
      <c r="AJ18" s="1918"/>
      <c r="AK18" s="1918"/>
      <c r="AL18" s="1918"/>
      <c r="AM18" s="1919"/>
      <c r="AN18" s="1917" t="s">
        <v>165</v>
      </c>
      <c r="AO18" s="1918"/>
      <c r="AP18" s="1918"/>
      <c r="AQ18" s="1918"/>
      <c r="AR18" s="1918"/>
      <c r="AS18" s="1919"/>
      <c r="AT18" s="1917" t="s">
        <v>2432</v>
      </c>
      <c r="AU18" s="1918"/>
      <c r="AV18" s="1918"/>
      <c r="AW18" s="1918"/>
      <c r="AX18" s="1918"/>
      <c r="AY18" s="1920"/>
      <c r="AZ18" s="1190"/>
      <c r="BA18" s="1190"/>
      <c r="BB18" s="1190"/>
      <c r="BC18" s="1190"/>
      <c r="BD18" s="1190"/>
      <c r="BE18" s="1194"/>
    </row>
    <row r="19" spans="1:58" ht="15">
      <c r="A19" s="1190"/>
      <c r="B19" s="1921">
        <v>0.3</v>
      </c>
      <c r="C19" s="1922"/>
      <c r="D19" s="1922"/>
      <c r="E19" s="1922"/>
      <c r="F19" s="1922"/>
      <c r="G19" s="1922"/>
      <c r="H19" s="1922"/>
      <c r="I19" s="1923"/>
      <c r="J19" s="1924">
        <f t="shared" ref="J19:J24" si="0">SUM(P19:AS19)</f>
        <v>84</v>
      </c>
      <c r="K19" s="1925"/>
      <c r="L19" s="1925"/>
      <c r="M19" s="1925"/>
      <c r="N19" s="1925"/>
      <c r="O19" s="1926"/>
      <c r="P19" s="1924" cm="1">
        <f t="array" ref="P19">SUMPRODUCT((Application!$B$718:$B$752 = 'CalHFA Addendum'!P$18)*(Application!$AC$718:$AC$752 = 'CalHFA Addendum'!$B19),Application!$G$718:$G$752)</f>
        <v>40</v>
      </c>
      <c r="Q19" s="1925"/>
      <c r="R19" s="1925"/>
      <c r="S19" s="1925"/>
      <c r="T19" s="1925"/>
      <c r="U19" s="1926"/>
      <c r="V19" s="1924" cm="1">
        <f t="array" ref="V19">SUMPRODUCT((Application!$B$714:$B$738 = 'CalHFA Addendum'!V$18)*(Application!$AC$714:$AC$738 = 'CalHFA Addendum'!$B19),Application!$G$714:$G$738)</f>
        <v>39</v>
      </c>
      <c r="W19" s="1925"/>
      <c r="X19" s="1925"/>
      <c r="Y19" s="1925"/>
      <c r="Z19" s="1925"/>
      <c r="AA19" s="1926"/>
      <c r="AB19" s="1924" cm="1">
        <f t="array" ref="AB19">SUMPRODUCT((Application!$B$714:$B$738 = 'CalHFA Addendum'!AB$18)*(Application!$AC$714:$AC$738 = 'CalHFA Addendum'!$B19),Application!$G$714:$G$738)</f>
        <v>5</v>
      </c>
      <c r="AC19" s="1925"/>
      <c r="AD19" s="1925"/>
      <c r="AE19" s="1925"/>
      <c r="AF19" s="1925"/>
      <c r="AG19" s="1926"/>
      <c r="AH19" s="1924" cm="1">
        <f t="array" ref="AH19">SUMPRODUCT((Application!$B$714:$B$738 = 'CalHFA Addendum'!AH$18)*(Application!$AC$714:$AC$738 = 'CalHFA Addendum'!$B19),Application!$G$714:$G$738)</f>
        <v>0</v>
      </c>
      <c r="AI19" s="1925"/>
      <c r="AJ19" s="1925"/>
      <c r="AK19" s="1925"/>
      <c r="AL19" s="1925"/>
      <c r="AM19" s="1926"/>
      <c r="AN19" s="1924" cm="1">
        <f t="array" ref="AN19">SUMPRODUCT((Application!$B$714:$B$738 = 'CalHFA Addendum'!AN$18)*(Application!$AC$714:$AC$738 = 'CalHFA Addendum'!$B19),Application!$G$714:$G$738)</f>
        <v>0</v>
      </c>
      <c r="AO19" s="1925"/>
      <c r="AP19" s="1925"/>
      <c r="AQ19" s="1925"/>
      <c r="AR19" s="1925"/>
      <c r="AS19" s="1926"/>
      <c r="AT19" s="1927">
        <f t="shared" ref="AT19:AT29" si="1">J19/$J$29</f>
        <v>0.30996309963099633</v>
      </c>
      <c r="AU19" s="1928"/>
      <c r="AV19" s="1928"/>
      <c r="AW19" s="1928"/>
      <c r="AX19" s="1928"/>
      <c r="AY19" s="1929"/>
      <c r="AZ19" s="1195"/>
      <c r="BA19" s="1190"/>
      <c r="BB19" s="1190"/>
      <c r="BC19" s="1190"/>
      <c r="BD19" s="1190"/>
      <c r="BE19" s="1194"/>
    </row>
    <row r="20" spans="1:58" ht="15" customHeight="1">
      <c r="A20" s="1190"/>
      <c r="B20" s="1921">
        <v>0.4</v>
      </c>
      <c r="C20" s="1922"/>
      <c r="D20" s="1922"/>
      <c r="E20" s="1922"/>
      <c r="F20" s="1922"/>
      <c r="G20" s="1922"/>
      <c r="H20" s="1922"/>
      <c r="I20" s="1923"/>
      <c r="J20" s="1924">
        <f t="shared" si="0"/>
        <v>4</v>
      </c>
      <c r="K20" s="1925"/>
      <c r="L20" s="1925"/>
      <c r="M20" s="1925"/>
      <c r="N20" s="1925"/>
      <c r="O20" s="1926"/>
      <c r="P20" s="1924" cm="1">
        <f t="array" ref="P20">SUMPRODUCT((Application!$B$718:$B$752 = 'CalHFA Addendum'!P$18)*(Application!$AC$718:$AC$752 = 'CalHFA Addendum'!$B20),Application!$G$718:$G$752)</f>
        <v>4</v>
      </c>
      <c r="Q20" s="1925"/>
      <c r="R20" s="1925"/>
      <c r="S20" s="1925"/>
      <c r="T20" s="1925"/>
      <c r="U20" s="1926"/>
      <c r="V20" s="1924" cm="1">
        <f t="array" ref="V20">SUMPRODUCT((Application!$B$714:$B$738 = 'CalHFA Addendum'!V$18)*(Application!$AC$714:$AC$738 = 'CalHFA Addendum'!$B20),Application!$G$714:$G$738)</f>
        <v>0</v>
      </c>
      <c r="W20" s="1925"/>
      <c r="X20" s="1925"/>
      <c r="Y20" s="1925"/>
      <c r="Z20" s="1925"/>
      <c r="AA20" s="1926"/>
      <c r="AB20" s="1924" cm="1">
        <f t="array" ref="AB20">SUMPRODUCT((Application!$B$714:$B$738 = 'CalHFA Addendum'!AB$18)*(Application!$AC$714:$AC$738 = 'CalHFA Addendum'!$B20),Application!$G$714:$G$738)</f>
        <v>0</v>
      </c>
      <c r="AC20" s="1925"/>
      <c r="AD20" s="1925"/>
      <c r="AE20" s="1925"/>
      <c r="AF20" s="1925"/>
      <c r="AG20" s="1926"/>
      <c r="AH20" s="1924" cm="1">
        <f t="array" ref="AH20">SUMPRODUCT((Application!$B$714:$B$738 = 'CalHFA Addendum'!AH$18)*(Application!$AC$714:$AC$738 = 'CalHFA Addendum'!$B20),Application!$G$714:$G$738)</f>
        <v>0</v>
      </c>
      <c r="AI20" s="1925"/>
      <c r="AJ20" s="1925"/>
      <c r="AK20" s="1925"/>
      <c r="AL20" s="1925"/>
      <c r="AM20" s="1926"/>
      <c r="AN20" s="1924" cm="1">
        <f t="array" ref="AN20">SUMPRODUCT((Application!$B$714:$B$738 = 'CalHFA Addendum'!AN$18)*(Application!$AC$714:$AC$738 = 'CalHFA Addendum'!$B20),Application!$G$714:$G$738)</f>
        <v>0</v>
      </c>
      <c r="AO20" s="1925"/>
      <c r="AP20" s="1925"/>
      <c r="AQ20" s="1925"/>
      <c r="AR20" s="1925"/>
      <c r="AS20" s="1926"/>
      <c r="AT20" s="1927">
        <f t="shared" si="1"/>
        <v>1.4760147601476014E-2</v>
      </c>
      <c r="AU20" s="1928"/>
      <c r="AV20" s="1928"/>
      <c r="AW20" s="1928"/>
      <c r="AX20" s="1928"/>
      <c r="AY20" s="1929"/>
      <c r="AZ20" s="1190"/>
      <c r="BA20" s="1190"/>
      <c r="BB20" s="1190"/>
      <c r="BC20" s="1190"/>
      <c r="BD20" s="1190"/>
      <c r="BE20" s="1194"/>
    </row>
    <row r="21" spans="1:58" ht="15">
      <c r="A21" s="1190"/>
      <c r="B21" s="1921">
        <v>0.5</v>
      </c>
      <c r="C21" s="1922"/>
      <c r="D21" s="1922"/>
      <c r="E21" s="1922"/>
      <c r="F21" s="1922"/>
      <c r="G21" s="1922"/>
      <c r="H21" s="1922"/>
      <c r="I21" s="1923"/>
      <c r="J21" s="1924">
        <f t="shared" si="0"/>
        <v>39</v>
      </c>
      <c r="K21" s="1925"/>
      <c r="L21" s="1925"/>
      <c r="M21" s="1925"/>
      <c r="N21" s="1925"/>
      <c r="O21" s="1926"/>
      <c r="P21" s="1924" cm="1">
        <f t="array" ref="P21">SUMPRODUCT((Application!$B$714:$B$738 = 'CalHFA Addendum'!P$18)*(Application!$AC$714:$AC$738 = 'CalHFA Addendum'!$B21),Application!$G$714:$G$738)</f>
        <v>4</v>
      </c>
      <c r="Q21" s="1925"/>
      <c r="R21" s="1925"/>
      <c r="S21" s="1925"/>
      <c r="T21" s="1925"/>
      <c r="U21" s="1926"/>
      <c r="V21" s="1924" cm="1">
        <f t="array" ref="V21">SUMPRODUCT((Application!$B$714:$B$738 = 'CalHFA Addendum'!V$18)*(Application!$AC$714:$AC$738 = 'CalHFA Addendum'!$B21),Application!$G$714:$G$738)</f>
        <v>35</v>
      </c>
      <c r="W21" s="1925"/>
      <c r="X21" s="1925"/>
      <c r="Y21" s="1925"/>
      <c r="Z21" s="1925"/>
      <c r="AA21" s="1926"/>
      <c r="AB21" s="1924" cm="1">
        <f t="array" ref="AB21">SUMPRODUCT((Application!$B$714:$B$738 = 'CalHFA Addendum'!AB$18)*(Application!$AC$714:$AC$738 = 'CalHFA Addendum'!$B21),Application!$G$714:$G$738)</f>
        <v>0</v>
      </c>
      <c r="AC21" s="1925"/>
      <c r="AD21" s="1925"/>
      <c r="AE21" s="1925"/>
      <c r="AF21" s="1925"/>
      <c r="AG21" s="1926"/>
      <c r="AH21" s="1924" cm="1">
        <f t="array" ref="AH21">SUMPRODUCT((Application!$B$714:$B$738 = 'CalHFA Addendum'!AH$18)*(Application!$AC$714:$AC$738 = 'CalHFA Addendum'!$B21),Application!$G$714:$G$738)</f>
        <v>0</v>
      </c>
      <c r="AI21" s="1925"/>
      <c r="AJ21" s="1925"/>
      <c r="AK21" s="1925"/>
      <c r="AL21" s="1925"/>
      <c r="AM21" s="1926"/>
      <c r="AN21" s="1924" cm="1">
        <f t="array" ref="AN21">SUMPRODUCT((Application!$B$714:$B$738 = 'CalHFA Addendum'!AN$18)*(Application!$AC$714:$AC$738 = 'CalHFA Addendum'!$B21),Application!$G$714:$G$738)</f>
        <v>0</v>
      </c>
      <c r="AO21" s="1925"/>
      <c r="AP21" s="1925"/>
      <c r="AQ21" s="1925"/>
      <c r="AR21" s="1925"/>
      <c r="AS21" s="1926"/>
      <c r="AT21" s="1927">
        <f t="shared" si="1"/>
        <v>0.14391143911439114</v>
      </c>
      <c r="AU21" s="1928"/>
      <c r="AV21" s="1928"/>
      <c r="AW21" s="1928"/>
      <c r="AX21" s="1928"/>
      <c r="AY21" s="1929"/>
      <c r="AZ21" s="1190"/>
      <c r="BA21" s="1190"/>
      <c r="BB21" s="1190"/>
      <c r="BC21" s="1190"/>
      <c r="BD21" s="1190"/>
      <c r="BE21" s="1194"/>
    </row>
    <row r="22" spans="1:58" ht="15">
      <c r="A22" s="1190"/>
      <c r="B22" s="1921">
        <v>0.6</v>
      </c>
      <c r="C22" s="1922"/>
      <c r="D22" s="1922"/>
      <c r="E22" s="1922"/>
      <c r="F22" s="1922"/>
      <c r="G22" s="1922"/>
      <c r="H22" s="1922"/>
      <c r="I22" s="1923"/>
      <c r="J22" s="1924">
        <f t="shared" si="0"/>
        <v>17</v>
      </c>
      <c r="K22" s="1925"/>
      <c r="L22" s="1925"/>
      <c r="M22" s="1925"/>
      <c r="N22" s="1925"/>
      <c r="O22" s="1926"/>
      <c r="P22" s="1924" cm="1">
        <f t="array" ref="P22">SUMPRODUCT((Application!$B$714:$B$738 = 'CalHFA Addendum'!P$18)*(Application!$AC$714:$AC$738 = 'CalHFA Addendum'!$B22),Application!$G$714:$G$738)</f>
        <v>0</v>
      </c>
      <c r="Q22" s="1925"/>
      <c r="R22" s="1925"/>
      <c r="S22" s="1925"/>
      <c r="T22" s="1925"/>
      <c r="U22" s="1926"/>
      <c r="V22" s="1924" cm="1">
        <f t="array" ref="V22">SUMPRODUCT((Application!$B$714:$B$738 = 'CalHFA Addendum'!V$18)*(Application!$AC$714:$AC$738 = 'CalHFA Addendum'!$B22),Application!$G$714:$G$738)</f>
        <v>17</v>
      </c>
      <c r="W22" s="1925"/>
      <c r="X22" s="1925"/>
      <c r="Y22" s="1925"/>
      <c r="Z22" s="1925"/>
      <c r="AA22" s="1926"/>
      <c r="AB22" s="1924" cm="1">
        <f t="array" ref="AB22">SUMPRODUCT((Application!$B$714:$B$738 = 'CalHFA Addendum'!AB$18)*(Application!$AC$714:$AC$738 = 'CalHFA Addendum'!$B22),Application!$G$714:$G$738)</f>
        <v>0</v>
      </c>
      <c r="AC22" s="1925"/>
      <c r="AD22" s="1925"/>
      <c r="AE22" s="1925"/>
      <c r="AF22" s="1925"/>
      <c r="AG22" s="1926"/>
      <c r="AH22" s="1924" cm="1">
        <f t="array" ref="AH22">SUMPRODUCT((Application!$B$714:$B$738 = 'CalHFA Addendum'!AH$18)*(Application!$AC$714:$AC$738 = 'CalHFA Addendum'!$B22),Application!$G$714:$G$738)</f>
        <v>0</v>
      </c>
      <c r="AI22" s="1925"/>
      <c r="AJ22" s="1925"/>
      <c r="AK22" s="1925"/>
      <c r="AL22" s="1925"/>
      <c r="AM22" s="1926"/>
      <c r="AN22" s="1924" cm="1">
        <f t="array" ref="AN22">SUMPRODUCT((Application!$B$714:$B$738 = 'CalHFA Addendum'!AN$18)*(Application!$AC$714:$AC$738 = 'CalHFA Addendum'!$B22),Application!$G$714:$G$738)</f>
        <v>0</v>
      </c>
      <c r="AO22" s="1925"/>
      <c r="AP22" s="1925"/>
      <c r="AQ22" s="1925"/>
      <c r="AR22" s="1925"/>
      <c r="AS22" s="1926"/>
      <c r="AT22" s="1927">
        <f t="shared" si="1"/>
        <v>6.273062730627306E-2</v>
      </c>
      <c r="AU22" s="1928"/>
      <c r="AV22" s="1928"/>
      <c r="AW22" s="1928"/>
      <c r="AX22" s="1928"/>
      <c r="AY22" s="1929"/>
      <c r="AZ22" s="1190"/>
      <c r="BA22" s="1190"/>
      <c r="BB22" s="1190"/>
      <c r="BC22" s="1190"/>
      <c r="BD22" s="1190"/>
      <c r="BE22" s="1194"/>
    </row>
    <row r="23" spans="1:58" ht="15">
      <c r="A23" s="1190"/>
      <c r="B23" s="1921">
        <v>0.7</v>
      </c>
      <c r="C23" s="1922"/>
      <c r="D23" s="1922"/>
      <c r="E23" s="1922"/>
      <c r="F23" s="1922"/>
      <c r="G23" s="1922"/>
      <c r="H23" s="1922"/>
      <c r="I23" s="1923"/>
      <c r="J23" s="1924">
        <f t="shared" si="0"/>
        <v>29</v>
      </c>
      <c r="K23" s="1925"/>
      <c r="L23" s="1925"/>
      <c r="M23" s="1925"/>
      <c r="N23" s="1925"/>
      <c r="O23" s="1926"/>
      <c r="P23" s="1924" cm="1">
        <f t="array" ref="P23">SUMPRODUCT((Application!$B$714:$B$738 = 'CalHFA Addendum'!P$18)*(Application!$AC$714:$AC$738 = 'CalHFA Addendum'!$B23),Application!$G$714:$G$738)</f>
        <v>0</v>
      </c>
      <c r="Q23" s="1925"/>
      <c r="R23" s="1925"/>
      <c r="S23" s="1925"/>
      <c r="T23" s="1925"/>
      <c r="U23" s="1926"/>
      <c r="V23" s="1924" cm="1">
        <f t="array" ref="V23">SUMPRODUCT((Application!$B$714:$B$738 = 'CalHFA Addendum'!V$18)*(Application!$AC$714:$AC$738 = 'CalHFA Addendum'!$B23),Application!$G$714:$G$738)</f>
        <v>27</v>
      </c>
      <c r="W23" s="1925"/>
      <c r="X23" s="1925"/>
      <c r="Y23" s="1925"/>
      <c r="Z23" s="1925"/>
      <c r="AA23" s="1926"/>
      <c r="AB23" s="1924" cm="1">
        <f t="array" ref="AB23">SUMPRODUCT((Application!$B$714:$B$738 = 'CalHFA Addendum'!AB$18)*(Application!$AC$714:$AC$738 = 'CalHFA Addendum'!$B23),Application!$G$714:$G$738)</f>
        <v>2</v>
      </c>
      <c r="AC23" s="1925"/>
      <c r="AD23" s="1925"/>
      <c r="AE23" s="1925"/>
      <c r="AF23" s="1925"/>
      <c r="AG23" s="1926"/>
      <c r="AH23" s="1924" cm="1">
        <f t="array" ref="AH23">SUMPRODUCT((Application!$B$714:$B$738 = 'CalHFA Addendum'!AH$18)*(Application!$AC$714:$AC$738 = 'CalHFA Addendum'!$B23),Application!$G$714:$G$738)</f>
        <v>0</v>
      </c>
      <c r="AI23" s="1925"/>
      <c r="AJ23" s="1925"/>
      <c r="AK23" s="1925"/>
      <c r="AL23" s="1925"/>
      <c r="AM23" s="1926"/>
      <c r="AN23" s="1924" cm="1">
        <f t="array" ref="AN23">SUMPRODUCT((Application!$B$714:$B$738 = 'CalHFA Addendum'!AN$18)*(Application!$AC$714:$AC$738 = 'CalHFA Addendum'!$B23),Application!$G$714:$G$738)</f>
        <v>0</v>
      </c>
      <c r="AO23" s="1925"/>
      <c r="AP23" s="1925"/>
      <c r="AQ23" s="1925"/>
      <c r="AR23" s="1925"/>
      <c r="AS23" s="1926"/>
      <c r="AT23" s="1927">
        <f t="shared" si="1"/>
        <v>0.1070110701107011</v>
      </c>
      <c r="AU23" s="1928"/>
      <c r="AV23" s="1928"/>
      <c r="AW23" s="1928"/>
      <c r="AX23" s="1928"/>
      <c r="AY23" s="1929"/>
      <c r="AZ23" s="1190"/>
      <c r="BA23" s="1190"/>
      <c r="BB23" s="1190"/>
      <c r="BC23" s="1190"/>
      <c r="BD23" s="1190"/>
      <c r="BE23" s="1194"/>
    </row>
    <row r="24" spans="1:58" ht="15">
      <c r="A24" s="1190"/>
      <c r="B24" s="1921">
        <v>0.8</v>
      </c>
      <c r="C24" s="1922"/>
      <c r="D24" s="1922"/>
      <c r="E24" s="1922"/>
      <c r="F24" s="1922"/>
      <c r="G24" s="1922"/>
      <c r="H24" s="1922"/>
      <c r="I24" s="1923"/>
      <c r="J24" s="1924">
        <f t="shared" si="0"/>
        <v>95</v>
      </c>
      <c r="K24" s="1925"/>
      <c r="L24" s="1925"/>
      <c r="M24" s="1925"/>
      <c r="N24" s="1925"/>
      <c r="O24" s="1926"/>
      <c r="P24" s="1924" cm="1">
        <f t="array" ref="P24">SUMPRODUCT((Application!$B$714:$B$738 = 'CalHFA Addendum'!P$18)*(Application!$AC$714:$AC$738 = 'CalHFA Addendum'!$B24),Application!$G$714:$G$738)</f>
        <v>0</v>
      </c>
      <c r="Q24" s="1925"/>
      <c r="R24" s="1925"/>
      <c r="S24" s="1925"/>
      <c r="T24" s="1925"/>
      <c r="U24" s="1926"/>
      <c r="V24" s="1924" cm="1">
        <f t="array" ref="V24">SUMPRODUCT((Application!$B$714:$B$738 = 'CalHFA Addendum'!V$18)*(Application!$AC$714:$AC$738 = 'CalHFA Addendum'!$B24),Application!$G$714:$G$738)</f>
        <v>55</v>
      </c>
      <c r="W24" s="1925"/>
      <c r="X24" s="1925"/>
      <c r="Y24" s="1925"/>
      <c r="Z24" s="1925"/>
      <c r="AA24" s="1926"/>
      <c r="AB24" s="1924" cm="1">
        <f t="array" ref="AB24">SUMPRODUCT((Application!$B$714:$B$738 = 'CalHFA Addendum'!AB$18)*(Application!$AC$714:$AC$738 = 'CalHFA Addendum'!$B24),Application!$G$714:$G$738)</f>
        <v>40</v>
      </c>
      <c r="AC24" s="1925"/>
      <c r="AD24" s="1925"/>
      <c r="AE24" s="1925"/>
      <c r="AF24" s="1925"/>
      <c r="AG24" s="1926"/>
      <c r="AH24" s="1924" cm="1">
        <f t="array" ref="AH24">SUMPRODUCT((Application!$B$714:$B$738 = 'CalHFA Addendum'!AH$18)*(Application!$AC$714:$AC$738 = 'CalHFA Addendum'!$B24),Application!$G$714:$G$738)</f>
        <v>0</v>
      </c>
      <c r="AI24" s="1925"/>
      <c r="AJ24" s="1925"/>
      <c r="AK24" s="1925"/>
      <c r="AL24" s="1925"/>
      <c r="AM24" s="1926"/>
      <c r="AN24" s="1924" cm="1">
        <f t="array" ref="AN24">SUMPRODUCT((Application!$B$714:$B$738 = 'CalHFA Addendum'!AN$18)*(Application!$AC$714:$AC$738 = 'CalHFA Addendum'!$B24),Application!$G$714:$G$738)</f>
        <v>0</v>
      </c>
      <c r="AO24" s="1925"/>
      <c r="AP24" s="1925"/>
      <c r="AQ24" s="1925"/>
      <c r="AR24" s="1925"/>
      <c r="AS24" s="1926"/>
      <c r="AT24" s="1927">
        <f t="shared" si="1"/>
        <v>0.35055350553505538</v>
      </c>
      <c r="AU24" s="1928"/>
      <c r="AV24" s="1928"/>
      <c r="AW24" s="1928"/>
      <c r="AX24" s="1928"/>
      <c r="AY24" s="1929"/>
      <c r="AZ24" s="1190"/>
      <c r="BA24" s="1190"/>
      <c r="BB24" s="1190"/>
      <c r="BC24" s="1190"/>
      <c r="BD24" s="1190"/>
      <c r="BE24" s="1194"/>
    </row>
    <row r="25" spans="1:58" ht="15">
      <c r="A25" s="1190"/>
      <c r="B25" s="1921">
        <v>0.9</v>
      </c>
      <c r="C25" s="1922"/>
      <c r="D25" s="1922"/>
      <c r="E25" s="1922"/>
      <c r="F25" s="1922"/>
      <c r="G25" s="1922"/>
      <c r="H25" s="1922"/>
      <c r="I25" s="1923"/>
      <c r="J25" s="1930"/>
      <c r="K25" s="1931"/>
      <c r="L25" s="1931"/>
      <c r="M25" s="1931"/>
      <c r="N25" s="1931"/>
      <c r="O25" s="1932"/>
      <c r="P25" s="1930"/>
      <c r="Q25" s="1931"/>
      <c r="R25" s="1931"/>
      <c r="S25" s="1931"/>
      <c r="T25" s="1931"/>
      <c r="U25" s="1932"/>
      <c r="V25" s="1930"/>
      <c r="W25" s="1931"/>
      <c r="X25" s="1931"/>
      <c r="Y25" s="1931"/>
      <c r="Z25" s="1931"/>
      <c r="AA25" s="1932"/>
      <c r="AB25" s="1930"/>
      <c r="AC25" s="1931"/>
      <c r="AD25" s="1931"/>
      <c r="AE25" s="1931"/>
      <c r="AF25" s="1931"/>
      <c r="AG25" s="1932"/>
      <c r="AH25" s="1930"/>
      <c r="AI25" s="1931"/>
      <c r="AJ25" s="1931"/>
      <c r="AK25" s="1931"/>
      <c r="AL25" s="1931"/>
      <c r="AM25" s="1932"/>
      <c r="AN25" s="1930"/>
      <c r="AO25" s="1931"/>
      <c r="AP25" s="1931"/>
      <c r="AQ25" s="1931"/>
      <c r="AR25" s="1931"/>
      <c r="AS25" s="1932"/>
      <c r="AT25" s="1927">
        <f t="shared" si="1"/>
        <v>0</v>
      </c>
      <c r="AU25" s="1928"/>
      <c r="AV25" s="1928"/>
      <c r="AW25" s="1928"/>
      <c r="AX25" s="1928"/>
      <c r="AY25" s="1929"/>
      <c r="AZ25" s="1190"/>
      <c r="BA25" s="1190"/>
      <c r="BB25" s="1190"/>
      <c r="BC25" s="1190"/>
      <c r="BD25" s="1190"/>
      <c r="BE25" s="1194"/>
    </row>
    <row r="26" spans="1:58" ht="15">
      <c r="A26" s="1190"/>
      <c r="B26" s="1921">
        <v>1</v>
      </c>
      <c r="C26" s="1922"/>
      <c r="D26" s="1922"/>
      <c r="E26" s="1922"/>
      <c r="F26" s="1922"/>
      <c r="G26" s="1922"/>
      <c r="H26" s="1922"/>
      <c r="I26" s="1923"/>
      <c r="J26" s="1930"/>
      <c r="K26" s="1931"/>
      <c r="L26" s="1931"/>
      <c r="M26" s="1931"/>
      <c r="N26" s="1931"/>
      <c r="O26" s="1932"/>
      <c r="P26" s="1930"/>
      <c r="Q26" s="1931"/>
      <c r="R26" s="1931"/>
      <c r="S26" s="1931"/>
      <c r="T26" s="1931"/>
      <c r="U26" s="1932"/>
      <c r="V26" s="1930"/>
      <c r="W26" s="1931"/>
      <c r="X26" s="1931"/>
      <c r="Y26" s="1931"/>
      <c r="Z26" s="1931"/>
      <c r="AA26" s="1932"/>
      <c r="AB26" s="1930"/>
      <c r="AC26" s="1931"/>
      <c r="AD26" s="1931"/>
      <c r="AE26" s="1931"/>
      <c r="AF26" s="1931"/>
      <c r="AG26" s="1932"/>
      <c r="AH26" s="1930"/>
      <c r="AI26" s="1931"/>
      <c r="AJ26" s="1931"/>
      <c r="AK26" s="1931"/>
      <c r="AL26" s="1931"/>
      <c r="AM26" s="1932"/>
      <c r="AN26" s="1930"/>
      <c r="AO26" s="1931"/>
      <c r="AP26" s="1931"/>
      <c r="AQ26" s="1931"/>
      <c r="AR26" s="1931"/>
      <c r="AS26" s="1932"/>
      <c r="AT26" s="1927">
        <f t="shared" si="1"/>
        <v>0</v>
      </c>
      <c r="AU26" s="1928"/>
      <c r="AV26" s="1928"/>
      <c r="AW26" s="1928"/>
      <c r="AX26" s="1928"/>
      <c r="AY26" s="1929"/>
      <c r="AZ26" s="1190"/>
      <c r="BA26" s="1190"/>
      <c r="BB26" s="1190"/>
      <c r="BC26" s="1190"/>
      <c r="BD26" s="1190"/>
      <c r="BE26" s="1194"/>
    </row>
    <row r="27" spans="1:58" ht="15">
      <c r="A27" s="1190"/>
      <c r="B27" s="1921">
        <v>1.2</v>
      </c>
      <c r="C27" s="1922"/>
      <c r="D27" s="1922"/>
      <c r="E27" s="1922"/>
      <c r="F27" s="1922"/>
      <c r="G27" s="1922"/>
      <c r="H27" s="1922"/>
      <c r="I27" s="1923"/>
      <c r="J27" s="1930"/>
      <c r="K27" s="1931"/>
      <c r="L27" s="1931"/>
      <c r="M27" s="1931"/>
      <c r="N27" s="1931"/>
      <c r="O27" s="1932"/>
      <c r="P27" s="1930"/>
      <c r="Q27" s="1931"/>
      <c r="R27" s="1931"/>
      <c r="S27" s="1931"/>
      <c r="T27" s="1931"/>
      <c r="U27" s="1932"/>
      <c r="V27" s="1930"/>
      <c r="W27" s="1931"/>
      <c r="X27" s="1931"/>
      <c r="Y27" s="1931"/>
      <c r="Z27" s="1931"/>
      <c r="AA27" s="1932"/>
      <c r="AB27" s="1930"/>
      <c r="AC27" s="1931"/>
      <c r="AD27" s="1931"/>
      <c r="AE27" s="1931"/>
      <c r="AF27" s="1931"/>
      <c r="AG27" s="1932"/>
      <c r="AH27" s="1930"/>
      <c r="AI27" s="1931"/>
      <c r="AJ27" s="1931"/>
      <c r="AK27" s="1931"/>
      <c r="AL27" s="1931"/>
      <c r="AM27" s="1932"/>
      <c r="AN27" s="1930"/>
      <c r="AO27" s="1931"/>
      <c r="AP27" s="1931"/>
      <c r="AQ27" s="1931"/>
      <c r="AR27" s="1931"/>
      <c r="AS27" s="1932"/>
      <c r="AT27" s="1927">
        <f t="shared" si="1"/>
        <v>0</v>
      </c>
      <c r="AU27" s="1928"/>
      <c r="AV27" s="1928"/>
      <c r="AW27" s="1928"/>
      <c r="AX27" s="1928"/>
      <c r="AY27" s="1929"/>
      <c r="AZ27" s="1190"/>
      <c r="BA27" s="1190"/>
      <c r="BB27" s="1190"/>
      <c r="BC27" s="1190"/>
      <c r="BD27" s="1190"/>
      <c r="BE27" s="1194"/>
    </row>
    <row r="28" spans="1:58" thickBot="1">
      <c r="A28" s="1190"/>
      <c r="B28" s="1933" t="s">
        <v>2431</v>
      </c>
      <c r="C28" s="1934"/>
      <c r="D28" s="1934"/>
      <c r="E28" s="1934"/>
      <c r="F28" s="1934"/>
      <c r="G28" s="1934"/>
      <c r="H28" s="1934"/>
      <c r="I28" s="1935"/>
      <c r="J28" s="1936">
        <f>SUM(P28:AS28)</f>
        <v>3</v>
      </c>
      <c r="K28" s="1937"/>
      <c r="L28" s="1937"/>
      <c r="M28" s="1937"/>
      <c r="N28" s="1937"/>
      <c r="O28" s="1938"/>
      <c r="P28" s="1936">
        <f>_xlfn.IFNA(VLOOKUP(P$18,Application!$J$773:$S$776,6,FALSE), 0)</f>
        <v>0</v>
      </c>
      <c r="Q28" s="1937"/>
      <c r="R28" s="1937"/>
      <c r="S28" s="1937"/>
      <c r="T28" s="1937"/>
      <c r="U28" s="1938"/>
      <c r="V28" s="1936">
        <f>_xlfn.IFNA(VLOOKUP(V$18,Application!$J$773:$S$776,6,FALSE), 0)</f>
        <v>0</v>
      </c>
      <c r="W28" s="1937"/>
      <c r="X28" s="1937"/>
      <c r="Y28" s="1937"/>
      <c r="Z28" s="1937"/>
      <c r="AA28" s="1938"/>
      <c r="AB28" s="1936">
        <f>_xlfn.IFNA(VLOOKUP(AB$18,Application!$J$773:$S$776,6,FALSE), 0)</f>
        <v>3</v>
      </c>
      <c r="AC28" s="1937"/>
      <c r="AD28" s="1937"/>
      <c r="AE28" s="1937"/>
      <c r="AF28" s="1937"/>
      <c r="AG28" s="1938"/>
      <c r="AH28" s="1936">
        <f>_xlfn.IFNA(VLOOKUP(AH$18,Application!$J$773:$S$776,6,FALSE), 0)</f>
        <v>0</v>
      </c>
      <c r="AI28" s="1937"/>
      <c r="AJ28" s="1937"/>
      <c r="AK28" s="1937"/>
      <c r="AL28" s="1937"/>
      <c r="AM28" s="1938"/>
      <c r="AN28" s="1936">
        <f>_xlfn.IFNA(VLOOKUP(AN$18,Application!$J$773:$S$776,6,FALSE), 0)</f>
        <v>0</v>
      </c>
      <c r="AO28" s="1937"/>
      <c r="AP28" s="1937"/>
      <c r="AQ28" s="1937"/>
      <c r="AR28" s="1937"/>
      <c r="AS28" s="1938"/>
      <c r="AT28" s="1939">
        <f t="shared" si="1"/>
        <v>1.107011070110701E-2</v>
      </c>
      <c r="AU28" s="1940"/>
      <c r="AV28" s="1940"/>
      <c r="AW28" s="1940"/>
      <c r="AX28" s="1940"/>
      <c r="AY28" s="1941"/>
      <c r="AZ28" s="1190"/>
      <c r="BA28" s="1190"/>
      <c r="BB28" s="1190"/>
      <c r="BC28" s="1190"/>
      <c r="BD28" s="1190"/>
      <c r="BE28" s="1194"/>
    </row>
    <row r="29" spans="1:58" thickBot="1">
      <c r="A29" s="1190"/>
      <c r="B29" s="1970" t="s">
        <v>1587</v>
      </c>
      <c r="C29" s="1943"/>
      <c r="D29" s="1943"/>
      <c r="E29" s="1943"/>
      <c r="F29" s="1943"/>
      <c r="G29" s="1943"/>
      <c r="H29" s="1943"/>
      <c r="I29" s="1944"/>
      <c r="J29" s="1942">
        <f>SUM(J19:O28)</f>
        <v>271</v>
      </c>
      <c r="K29" s="1943"/>
      <c r="L29" s="1943"/>
      <c r="M29" s="1943"/>
      <c r="N29" s="1943"/>
      <c r="O29" s="1944"/>
      <c r="P29" s="1942">
        <f>SUM(P19:U28)</f>
        <v>48</v>
      </c>
      <c r="Q29" s="1943"/>
      <c r="R29" s="1943"/>
      <c r="S29" s="1943"/>
      <c r="T29" s="1943"/>
      <c r="U29" s="1944"/>
      <c r="V29" s="1942">
        <f>SUM(V19:AA28)</f>
        <v>173</v>
      </c>
      <c r="W29" s="1943"/>
      <c r="X29" s="1943"/>
      <c r="Y29" s="1943"/>
      <c r="Z29" s="1943"/>
      <c r="AA29" s="1944"/>
      <c r="AB29" s="1942">
        <f>SUM(AB19:AG28)</f>
        <v>50</v>
      </c>
      <c r="AC29" s="1943"/>
      <c r="AD29" s="1943"/>
      <c r="AE29" s="1943"/>
      <c r="AF29" s="1943"/>
      <c r="AG29" s="1944"/>
      <c r="AH29" s="1942">
        <f>SUM(AH19:AM28)</f>
        <v>0</v>
      </c>
      <c r="AI29" s="1943"/>
      <c r="AJ29" s="1943"/>
      <c r="AK29" s="1943"/>
      <c r="AL29" s="1943"/>
      <c r="AM29" s="1944"/>
      <c r="AN29" s="1942">
        <f>SUM(AN19:AS28)</f>
        <v>0</v>
      </c>
      <c r="AO29" s="1943"/>
      <c r="AP29" s="1943"/>
      <c r="AQ29" s="1943"/>
      <c r="AR29" s="1943"/>
      <c r="AS29" s="1944"/>
      <c r="AT29" s="1945">
        <f t="shared" si="1"/>
        <v>1</v>
      </c>
      <c r="AU29" s="1946"/>
      <c r="AV29" s="1946"/>
      <c r="AW29" s="1946"/>
      <c r="AX29" s="1946"/>
      <c r="AY29" s="1947"/>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8" t="s">
        <v>2430</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949"/>
      <c r="AN31" s="1949"/>
      <c r="AO31" s="1949"/>
      <c r="AP31" s="1949"/>
      <c r="AQ31" s="1949"/>
      <c r="AR31" s="1949"/>
      <c r="AS31" s="1949"/>
      <c r="AT31" s="1949"/>
      <c r="AU31" s="1949"/>
      <c r="AV31" s="1949"/>
      <c r="AW31" s="1949"/>
      <c r="AX31" s="1949"/>
      <c r="AY31" s="1949"/>
      <c r="AZ31" s="1949"/>
      <c r="BA31" s="1949"/>
      <c r="BB31" s="1949"/>
      <c r="BC31" s="1949"/>
      <c r="BD31" s="1950"/>
      <c r="BE31" s="1194"/>
    </row>
    <row r="32" spans="1:58" thickBot="1">
      <c r="A32" s="1190"/>
      <c r="B32" s="1951" t="s">
        <v>2429</v>
      </c>
      <c r="C32" s="1952"/>
      <c r="D32" s="1952"/>
      <c r="E32" s="1952"/>
      <c r="F32" s="1952"/>
      <c r="G32" s="1952"/>
      <c r="H32" s="1952"/>
      <c r="I32" s="1952"/>
      <c r="J32" s="1955" t="s">
        <v>2428</v>
      </c>
      <c r="K32" s="1956"/>
      <c r="L32" s="1956"/>
      <c r="M32" s="1956"/>
      <c r="N32" s="1955" t="s">
        <v>2427</v>
      </c>
      <c r="O32" s="1956"/>
      <c r="P32" s="1956"/>
      <c r="Q32" s="1958"/>
      <c r="R32" s="1960" t="s">
        <v>2426</v>
      </c>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1"/>
      <c r="AO32" s="1961"/>
      <c r="AP32" s="1961"/>
      <c r="AQ32" s="1961"/>
      <c r="AR32" s="1961"/>
      <c r="AS32" s="1961"/>
      <c r="AT32" s="1961"/>
      <c r="AU32" s="1961"/>
      <c r="AV32" s="1961"/>
      <c r="AW32" s="1961"/>
      <c r="AX32" s="1961"/>
      <c r="AY32" s="1961"/>
      <c r="AZ32" s="1961"/>
      <c r="BA32" s="1961"/>
      <c r="BB32" s="1961"/>
      <c r="BC32" s="1961"/>
      <c r="BD32" s="1962"/>
      <c r="BE32" s="1194"/>
    </row>
    <row r="33" spans="1:58" ht="15" customHeight="1">
      <c r="A33" s="1190"/>
      <c r="B33" s="1953"/>
      <c r="C33" s="1954"/>
      <c r="D33" s="1954"/>
      <c r="E33" s="1954"/>
      <c r="F33" s="1954"/>
      <c r="G33" s="1954"/>
      <c r="H33" s="1954"/>
      <c r="I33" s="1954"/>
      <c r="J33" s="1957"/>
      <c r="K33" s="1957"/>
      <c r="L33" s="1957"/>
      <c r="M33" s="1957"/>
      <c r="N33" s="1957"/>
      <c r="O33" s="1957"/>
      <c r="P33" s="1957"/>
      <c r="Q33" s="1959"/>
      <c r="R33" s="1963" t="s">
        <v>2425</v>
      </c>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4"/>
      <c r="AQ33" s="1964"/>
      <c r="AR33" s="1964"/>
      <c r="AS33" s="1964"/>
      <c r="AT33" s="1964"/>
      <c r="AU33" s="1964"/>
      <c r="AV33" s="1964"/>
      <c r="AW33" s="1964"/>
      <c r="AX33" s="1964"/>
      <c r="AY33" s="1964"/>
      <c r="AZ33" s="1964"/>
      <c r="BA33" s="1964"/>
      <c r="BB33" s="1964"/>
      <c r="BC33" s="1964"/>
      <c r="BD33" s="1965"/>
      <c r="BE33" s="1194"/>
    </row>
    <row r="34" spans="1:58" ht="15.75" customHeight="1" thickBot="1">
      <c r="A34" s="1190"/>
      <c r="B34" s="1953"/>
      <c r="C34" s="1954"/>
      <c r="D34" s="1954"/>
      <c r="E34" s="1954"/>
      <c r="F34" s="1954"/>
      <c r="G34" s="1954"/>
      <c r="H34" s="1954"/>
      <c r="I34" s="1954"/>
      <c r="J34" s="1957"/>
      <c r="K34" s="1957"/>
      <c r="L34" s="1957"/>
      <c r="M34" s="1957"/>
      <c r="N34" s="1957"/>
      <c r="O34" s="1957"/>
      <c r="P34" s="1957"/>
      <c r="Q34" s="1959"/>
      <c r="R34" s="1966"/>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7"/>
      <c r="AV34" s="1967"/>
      <c r="AW34" s="1967"/>
      <c r="AX34" s="1967"/>
      <c r="AY34" s="1967"/>
      <c r="AZ34" s="1967"/>
      <c r="BA34" s="1967"/>
      <c r="BB34" s="1967"/>
      <c r="BC34" s="1967"/>
      <c r="BD34" s="1968"/>
      <c r="BE34" s="1194"/>
    </row>
    <row r="35" spans="1:58" ht="15.75" customHeight="1">
      <c r="A35" s="1190"/>
      <c r="B35" s="1953"/>
      <c r="C35" s="1954"/>
      <c r="D35" s="1954"/>
      <c r="E35" s="1954"/>
      <c r="F35" s="1954"/>
      <c r="G35" s="1954"/>
      <c r="H35" s="1954"/>
      <c r="I35" s="1954"/>
      <c r="J35" s="1957"/>
      <c r="K35" s="1957"/>
      <c r="L35" s="1957"/>
      <c r="M35" s="1957"/>
      <c r="N35" s="1957"/>
      <c r="O35" s="1957"/>
      <c r="P35" s="1957"/>
      <c r="Q35" s="1957"/>
      <c r="R35" s="1969">
        <v>0.3</v>
      </c>
      <c r="S35" s="1969"/>
      <c r="T35" s="1969"/>
      <c r="U35" s="1969"/>
      <c r="V35" s="1969">
        <v>0.4</v>
      </c>
      <c r="W35" s="1969"/>
      <c r="X35" s="1969"/>
      <c r="Y35" s="1969"/>
      <c r="Z35" s="1969">
        <v>0.5</v>
      </c>
      <c r="AA35" s="1969"/>
      <c r="AB35" s="1969"/>
      <c r="AC35" s="1969"/>
      <c r="AD35" s="1969">
        <v>0.6</v>
      </c>
      <c r="AE35" s="1969"/>
      <c r="AF35" s="1969"/>
      <c r="AG35" s="1969"/>
      <c r="AH35" s="1969">
        <v>0.7</v>
      </c>
      <c r="AI35" s="1969"/>
      <c r="AJ35" s="1969"/>
      <c r="AK35" s="1969"/>
      <c r="AL35" s="1974">
        <v>0.8</v>
      </c>
      <c r="AM35" s="1975"/>
      <c r="AN35" s="1975"/>
      <c r="AO35" s="1976"/>
      <c r="AP35" s="1977">
        <v>1.2</v>
      </c>
      <c r="AQ35" s="1978"/>
      <c r="AR35" s="1979"/>
      <c r="AS35" s="1971" t="s">
        <v>2424</v>
      </c>
      <c r="AT35" s="1972"/>
      <c r="AU35" s="1972"/>
      <c r="AV35" s="1972"/>
      <c r="AW35" s="1972"/>
      <c r="AX35" s="1980"/>
      <c r="AY35" s="1971" t="s">
        <v>2423</v>
      </c>
      <c r="AZ35" s="1972"/>
      <c r="BA35" s="1972"/>
      <c r="BB35" s="1972"/>
      <c r="BC35" s="1972"/>
      <c r="BD35" s="1973"/>
      <c r="BE35" s="1194"/>
    </row>
    <row r="36" spans="1:58" ht="15.75" customHeight="1">
      <c r="A36" s="1190"/>
      <c r="B36" s="1990" t="s">
        <v>2422</v>
      </c>
      <c r="C36" s="1991"/>
      <c r="D36" s="1991"/>
      <c r="E36" s="1991"/>
      <c r="F36" s="1991"/>
      <c r="G36" s="1991"/>
      <c r="H36" s="1991"/>
      <c r="I36" s="1991"/>
      <c r="J36" s="1992" t="s">
        <v>2421</v>
      </c>
      <c r="K36" s="1992"/>
      <c r="L36" s="1992"/>
      <c r="M36" s="1992"/>
      <c r="N36" s="1992">
        <v>55</v>
      </c>
      <c r="O36" s="1992"/>
      <c r="P36" s="1992"/>
      <c r="Q36" s="1992"/>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81"/>
      <c r="AM36" s="1982"/>
      <c r="AN36" s="1982"/>
      <c r="AO36" s="1983"/>
      <c r="AP36" s="1981"/>
      <c r="AQ36" s="1982"/>
      <c r="AR36" s="1983"/>
      <c r="AS36" s="1984">
        <f t="shared" ref="AS36:AS47" si="2">SUM(R36:AR36)</f>
        <v>0</v>
      </c>
      <c r="AT36" s="1985"/>
      <c r="AU36" s="1985"/>
      <c r="AV36" s="1985"/>
      <c r="AW36" s="1985"/>
      <c r="AX36" s="1986"/>
      <c r="AY36" s="1987">
        <f t="shared" ref="AY36:AY47" si="3">AS36/$J$29</f>
        <v>0</v>
      </c>
      <c r="AZ36" s="1988"/>
      <c r="BA36" s="1988"/>
      <c r="BB36" s="1988"/>
      <c r="BC36" s="1988"/>
      <c r="BD36" s="1989"/>
      <c r="BE36" s="1194"/>
    </row>
    <row r="37" spans="1:58" ht="15.75" customHeight="1">
      <c r="A37" s="1190"/>
      <c r="B37" s="1990" t="s">
        <v>2420</v>
      </c>
      <c r="C37" s="1991"/>
      <c r="D37" s="1991"/>
      <c r="E37" s="1991"/>
      <c r="F37" s="1991"/>
      <c r="G37" s="1991"/>
      <c r="H37" s="1991"/>
      <c r="I37" s="1991"/>
      <c r="J37" s="1992" t="s">
        <v>2419</v>
      </c>
      <c r="K37" s="1992"/>
      <c r="L37" s="1992"/>
      <c r="M37" s="1992"/>
      <c r="N37" s="1992">
        <v>55</v>
      </c>
      <c r="O37" s="1992"/>
      <c r="P37" s="1992"/>
      <c r="Q37" s="1992"/>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81"/>
      <c r="AM37" s="1982"/>
      <c r="AN37" s="1982"/>
      <c r="AO37" s="1983"/>
      <c r="AP37" s="1981"/>
      <c r="AQ37" s="1982"/>
      <c r="AR37" s="1983"/>
      <c r="AS37" s="1984">
        <f t="shared" si="2"/>
        <v>0</v>
      </c>
      <c r="AT37" s="1985"/>
      <c r="AU37" s="1985"/>
      <c r="AV37" s="1985"/>
      <c r="AW37" s="1985"/>
      <c r="AX37" s="1986"/>
      <c r="AY37" s="1987">
        <f t="shared" si="3"/>
        <v>0</v>
      </c>
      <c r="AZ37" s="1988"/>
      <c r="BA37" s="1988"/>
      <c r="BB37" s="1988"/>
      <c r="BC37" s="1988"/>
      <c r="BD37" s="1989"/>
      <c r="BE37" s="1194"/>
    </row>
    <row r="38" spans="1:58" ht="15.75" customHeight="1">
      <c r="A38" s="1190"/>
      <c r="B38" s="1990" t="s">
        <v>2418</v>
      </c>
      <c r="C38" s="1991"/>
      <c r="D38" s="1991"/>
      <c r="E38" s="1991"/>
      <c r="F38" s="1991"/>
      <c r="G38" s="1991"/>
      <c r="H38" s="1991"/>
      <c r="I38" s="1991"/>
      <c r="J38" s="1992" t="s">
        <v>2417</v>
      </c>
      <c r="K38" s="1992"/>
      <c r="L38" s="1992"/>
      <c r="M38" s="1992"/>
      <c r="N38" s="1992">
        <v>55</v>
      </c>
      <c r="O38" s="1992"/>
      <c r="P38" s="1992"/>
      <c r="Q38" s="1992"/>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81"/>
      <c r="AM38" s="1982"/>
      <c r="AN38" s="1982"/>
      <c r="AO38" s="1983"/>
      <c r="AP38" s="1981"/>
      <c r="AQ38" s="1982"/>
      <c r="AR38" s="1983"/>
      <c r="AS38" s="1984">
        <f t="shared" si="2"/>
        <v>0</v>
      </c>
      <c r="AT38" s="1985"/>
      <c r="AU38" s="1985"/>
      <c r="AV38" s="1985"/>
      <c r="AW38" s="1985"/>
      <c r="AX38" s="1986"/>
      <c r="AY38" s="1987">
        <f t="shared" si="3"/>
        <v>0</v>
      </c>
      <c r="AZ38" s="1988"/>
      <c r="BA38" s="1988"/>
      <c r="BB38" s="1988"/>
      <c r="BC38" s="1988"/>
      <c r="BD38" s="1989"/>
      <c r="BE38" s="1194"/>
    </row>
    <row r="39" spans="1:58" ht="15.75" customHeight="1">
      <c r="A39" s="1190"/>
      <c r="B39" s="1990" t="s">
        <v>2416</v>
      </c>
      <c r="C39" s="1991"/>
      <c r="D39" s="1991"/>
      <c r="E39" s="1991"/>
      <c r="F39" s="1991"/>
      <c r="G39" s="1991"/>
      <c r="H39" s="1991"/>
      <c r="I39" s="1991"/>
      <c r="J39" s="1992"/>
      <c r="K39" s="1992"/>
      <c r="L39" s="1992"/>
      <c r="M39" s="1992"/>
      <c r="N39" s="1992"/>
      <c r="O39" s="1992"/>
      <c r="P39" s="1992"/>
      <c r="Q39" s="1992"/>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81"/>
      <c r="AM39" s="1982"/>
      <c r="AN39" s="1982"/>
      <c r="AO39" s="1983"/>
      <c r="AP39" s="1981"/>
      <c r="AQ39" s="1982"/>
      <c r="AR39" s="1983"/>
      <c r="AS39" s="1984">
        <f t="shared" si="2"/>
        <v>0</v>
      </c>
      <c r="AT39" s="1985"/>
      <c r="AU39" s="1985"/>
      <c r="AV39" s="1985"/>
      <c r="AW39" s="1985"/>
      <c r="AX39" s="1986"/>
      <c r="AY39" s="1987">
        <f t="shared" si="3"/>
        <v>0</v>
      </c>
      <c r="AZ39" s="1988"/>
      <c r="BA39" s="1988"/>
      <c r="BB39" s="1988"/>
      <c r="BC39" s="1988"/>
      <c r="BD39" s="1989"/>
      <c r="BE39" s="1194"/>
    </row>
    <row r="40" spans="1:58" ht="15.75" customHeight="1">
      <c r="A40" s="1190"/>
      <c r="B40" s="1990" t="s">
        <v>2416</v>
      </c>
      <c r="C40" s="1991"/>
      <c r="D40" s="1991"/>
      <c r="E40" s="1991"/>
      <c r="F40" s="1991"/>
      <c r="G40" s="1991"/>
      <c r="H40" s="1991"/>
      <c r="I40" s="1991"/>
      <c r="J40" s="1992"/>
      <c r="K40" s="1992"/>
      <c r="L40" s="1992"/>
      <c r="M40" s="1992"/>
      <c r="N40" s="1992"/>
      <c r="O40" s="1992"/>
      <c r="P40" s="1992"/>
      <c r="Q40" s="1992"/>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81"/>
      <c r="AM40" s="1982"/>
      <c r="AN40" s="1982"/>
      <c r="AO40" s="1983"/>
      <c r="AP40" s="1981"/>
      <c r="AQ40" s="1982"/>
      <c r="AR40" s="1983"/>
      <c r="AS40" s="1984">
        <f t="shared" si="2"/>
        <v>0</v>
      </c>
      <c r="AT40" s="1985"/>
      <c r="AU40" s="1985"/>
      <c r="AV40" s="1985"/>
      <c r="AW40" s="1985"/>
      <c r="AX40" s="1986"/>
      <c r="AY40" s="1987">
        <f t="shared" si="3"/>
        <v>0</v>
      </c>
      <c r="AZ40" s="1988"/>
      <c r="BA40" s="1988"/>
      <c r="BB40" s="1988"/>
      <c r="BC40" s="1988"/>
      <c r="BD40" s="1989"/>
      <c r="BE40" s="1194"/>
    </row>
    <row r="41" spans="1:58" ht="15.75" customHeight="1">
      <c r="A41" s="1190"/>
      <c r="B41" s="1990" t="s">
        <v>2415</v>
      </c>
      <c r="C41" s="1991"/>
      <c r="D41" s="1991"/>
      <c r="E41" s="1991"/>
      <c r="F41" s="1991"/>
      <c r="G41" s="1991"/>
      <c r="H41" s="1991"/>
      <c r="I41" s="1991"/>
      <c r="J41" s="1992"/>
      <c r="K41" s="1992"/>
      <c r="L41" s="1992"/>
      <c r="M41" s="1992"/>
      <c r="N41" s="1992"/>
      <c r="O41" s="1992"/>
      <c r="P41" s="1992"/>
      <c r="Q41" s="1992"/>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81"/>
      <c r="AM41" s="1982"/>
      <c r="AN41" s="1982"/>
      <c r="AO41" s="1983"/>
      <c r="AP41" s="1981"/>
      <c r="AQ41" s="1982"/>
      <c r="AR41" s="1983"/>
      <c r="AS41" s="1984">
        <f t="shared" si="2"/>
        <v>0</v>
      </c>
      <c r="AT41" s="1985"/>
      <c r="AU41" s="1985"/>
      <c r="AV41" s="1985"/>
      <c r="AW41" s="1985"/>
      <c r="AX41" s="1986"/>
      <c r="AY41" s="1987">
        <f t="shared" si="3"/>
        <v>0</v>
      </c>
      <c r="AZ41" s="1988"/>
      <c r="BA41" s="1988"/>
      <c r="BB41" s="1988"/>
      <c r="BC41" s="1988"/>
      <c r="BD41" s="1989"/>
      <c r="BE41" s="1194"/>
    </row>
    <row r="42" spans="1:58" ht="15.75" customHeight="1">
      <c r="A42" s="1190"/>
      <c r="B42" s="1990" t="s">
        <v>2415</v>
      </c>
      <c r="C42" s="1991"/>
      <c r="D42" s="1991"/>
      <c r="E42" s="1991"/>
      <c r="F42" s="1991"/>
      <c r="G42" s="1991"/>
      <c r="H42" s="1991"/>
      <c r="I42" s="1991"/>
      <c r="J42" s="1992"/>
      <c r="K42" s="1992"/>
      <c r="L42" s="1992"/>
      <c r="M42" s="1992"/>
      <c r="N42" s="1992"/>
      <c r="O42" s="1992"/>
      <c r="P42" s="1992"/>
      <c r="Q42" s="1992"/>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81"/>
      <c r="AM42" s="1982"/>
      <c r="AN42" s="1982"/>
      <c r="AO42" s="1983"/>
      <c r="AP42" s="1981"/>
      <c r="AQ42" s="1982"/>
      <c r="AR42" s="1983"/>
      <c r="AS42" s="1984">
        <f t="shared" si="2"/>
        <v>0</v>
      </c>
      <c r="AT42" s="1985"/>
      <c r="AU42" s="1985"/>
      <c r="AV42" s="1985"/>
      <c r="AW42" s="1985"/>
      <c r="AX42" s="1986"/>
      <c r="AY42" s="1987">
        <f t="shared" si="3"/>
        <v>0</v>
      </c>
      <c r="AZ42" s="1988"/>
      <c r="BA42" s="1988"/>
      <c r="BB42" s="1988"/>
      <c r="BC42" s="1988"/>
      <c r="BD42" s="1989"/>
      <c r="BE42" s="1194"/>
    </row>
    <row r="43" spans="1:58" ht="15.75" customHeight="1">
      <c r="A43" s="1190"/>
      <c r="B43" s="1994" t="s">
        <v>2414</v>
      </c>
      <c r="C43" s="1995"/>
      <c r="D43" s="1995"/>
      <c r="E43" s="1995"/>
      <c r="F43" s="1995"/>
      <c r="G43" s="1995"/>
      <c r="H43" s="1995"/>
      <c r="I43" s="1995"/>
      <c r="J43" s="1992"/>
      <c r="K43" s="1992"/>
      <c r="L43" s="1992"/>
      <c r="M43" s="1992"/>
      <c r="N43" s="1992"/>
      <c r="O43" s="1992"/>
      <c r="P43" s="1992"/>
      <c r="Q43" s="1992"/>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81"/>
      <c r="AM43" s="1982"/>
      <c r="AN43" s="1982"/>
      <c r="AO43" s="1983"/>
      <c r="AP43" s="1981"/>
      <c r="AQ43" s="1982"/>
      <c r="AR43" s="1983"/>
      <c r="AS43" s="1984">
        <f t="shared" si="2"/>
        <v>0</v>
      </c>
      <c r="AT43" s="1985"/>
      <c r="AU43" s="1985"/>
      <c r="AV43" s="1985"/>
      <c r="AW43" s="1985"/>
      <c r="AX43" s="1986"/>
      <c r="AY43" s="1987">
        <f t="shared" si="3"/>
        <v>0</v>
      </c>
      <c r="AZ43" s="1988"/>
      <c r="BA43" s="1988"/>
      <c r="BB43" s="1988"/>
      <c r="BC43" s="1988"/>
      <c r="BD43" s="1989"/>
      <c r="BE43" s="1194"/>
    </row>
    <row r="44" spans="1:58" ht="15.75" customHeight="1">
      <c r="A44" s="1190"/>
      <c r="B44" s="1994" t="s">
        <v>2413</v>
      </c>
      <c r="C44" s="1995"/>
      <c r="D44" s="1995"/>
      <c r="E44" s="1995"/>
      <c r="F44" s="1995"/>
      <c r="G44" s="1995"/>
      <c r="H44" s="1995"/>
      <c r="I44" s="1995"/>
      <c r="J44" s="1992"/>
      <c r="K44" s="1992"/>
      <c r="L44" s="1992"/>
      <c r="M44" s="1992"/>
      <c r="N44" s="1992"/>
      <c r="O44" s="1992"/>
      <c r="P44" s="1992"/>
      <c r="Q44" s="1992"/>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81"/>
      <c r="AM44" s="1982"/>
      <c r="AN44" s="1982"/>
      <c r="AO44" s="1983"/>
      <c r="AP44" s="1981"/>
      <c r="AQ44" s="1982"/>
      <c r="AR44" s="1983"/>
      <c r="AS44" s="1984">
        <f t="shared" si="2"/>
        <v>0</v>
      </c>
      <c r="AT44" s="1985"/>
      <c r="AU44" s="1985"/>
      <c r="AV44" s="1985"/>
      <c r="AW44" s="1985"/>
      <c r="AX44" s="1986"/>
      <c r="AY44" s="1987">
        <f t="shared" si="3"/>
        <v>0</v>
      </c>
      <c r="AZ44" s="1988"/>
      <c r="BA44" s="1988"/>
      <c r="BB44" s="1988"/>
      <c r="BC44" s="1988"/>
      <c r="BD44" s="1989"/>
      <c r="BE44" s="1194"/>
    </row>
    <row r="45" spans="1:58" ht="15.75" customHeight="1">
      <c r="A45" s="1190"/>
      <c r="B45" s="1994" t="s">
        <v>2412</v>
      </c>
      <c r="C45" s="1995"/>
      <c r="D45" s="1995"/>
      <c r="E45" s="1995"/>
      <c r="F45" s="1995"/>
      <c r="G45" s="1995"/>
      <c r="H45" s="1995"/>
      <c r="I45" s="1995"/>
      <c r="J45" s="1992"/>
      <c r="K45" s="1992"/>
      <c r="L45" s="1992"/>
      <c r="M45" s="1992"/>
      <c r="N45" s="1992"/>
      <c r="O45" s="1992"/>
      <c r="P45" s="1992"/>
      <c r="Q45" s="1992"/>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81"/>
      <c r="AM45" s="1982"/>
      <c r="AN45" s="1982"/>
      <c r="AO45" s="1983"/>
      <c r="AP45" s="1981"/>
      <c r="AQ45" s="1982"/>
      <c r="AR45" s="1983"/>
      <c r="AS45" s="1984">
        <f t="shared" si="2"/>
        <v>0</v>
      </c>
      <c r="AT45" s="1985"/>
      <c r="AU45" s="1985"/>
      <c r="AV45" s="1985"/>
      <c r="AW45" s="1985"/>
      <c r="AX45" s="1986"/>
      <c r="AY45" s="1987">
        <f t="shared" si="3"/>
        <v>0</v>
      </c>
      <c r="AZ45" s="1988"/>
      <c r="BA45" s="1988"/>
      <c r="BB45" s="1988"/>
      <c r="BC45" s="1988"/>
      <c r="BD45" s="1989"/>
      <c r="BE45" s="1194"/>
    </row>
    <row r="46" spans="1:58" ht="15.75" customHeight="1">
      <c r="A46" s="1190"/>
      <c r="B46" s="1994" t="s">
        <v>2336</v>
      </c>
      <c r="C46" s="1995"/>
      <c r="D46" s="1995"/>
      <c r="E46" s="1995"/>
      <c r="F46" s="1995"/>
      <c r="G46" s="1995"/>
      <c r="H46" s="1995"/>
      <c r="I46" s="1995"/>
      <c r="J46" s="1992"/>
      <c r="K46" s="1992"/>
      <c r="L46" s="1992"/>
      <c r="M46" s="1992"/>
      <c r="N46" s="1992">
        <v>99</v>
      </c>
      <c r="O46" s="1992"/>
      <c r="P46" s="1992"/>
      <c r="Q46" s="1992"/>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81"/>
      <c r="AM46" s="1982"/>
      <c r="AN46" s="1982"/>
      <c r="AO46" s="1983"/>
      <c r="AP46" s="1981"/>
      <c r="AQ46" s="1982"/>
      <c r="AR46" s="1983"/>
      <c r="AS46" s="1984">
        <f t="shared" si="2"/>
        <v>0</v>
      </c>
      <c r="AT46" s="1985"/>
      <c r="AU46" s="1985"/>
      <c r="AV46" s="1985"/>
      <c r="AW46" s="1985"/>
      <c r="AX46" s="1986"/>
      <c r="AY46" s="1987">
        <f t="shared" si="3"/>
        <v>0</v>
      </c>
      <c r="AZ46" s="1988"/>
      <c r="BA46" s="1988"/>
      <c r="BB46" s="1988"/>
      <c r="BC46" s="1988"/>
      <c r="BD46" s="1989"/>
      <c r="BE46" s="1194"/>
    </row>
    <row r="47" spans="1:58" ht="15.75" customHeight="1" thickBot="1">
      <c r="A47" s="1190"/>
      <c r="B47" s="1996" t="s">
        <v>300</v>
      </c>
      <c r="C47" s="1997"/>
      <c r="D47" s="1997"/>
      <c r="E47" s="1997"/>
      <c r="F47" s="1997"/>
      <c r="G47" s="1997"/>
      <c r="H47" s="1997"/>
      <c r="I47" s="1997"/>
      <c r="J47" s="1998"/>
      <c r="K47" s="1998"/>
      <c r="L47" s="1998"/>
      <c r="M47" s="1998"/>
      <c r="N47" s="1998"/>
      <c r="O47" s="1998"/>
      <c r="P47" s="1998"/>
      <c r="Q47" s="1998"/>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2003"/>
      <c r="AM47" s="2004"/>
      <c r="AN47" s="2004"/>
      <c r="AO47" s="2005"/>
      <c r="AP47" s="2003"/>
      <c r="AQ47" s="2004"/>
      <c r="AR47" s="2005"/>
      <c r="AS47" s="1984">
        <f t="shared" si="2"/>
        <v>0</v>
      </c>
      <c r="AT47" s="1985"/>
      <c r="AU47" s="1985"/>
      <c r="AV47" s="1985"/>
      <c r="AW47" s="1985"/>
      <c r="AX47" s="1986"/>
      <c r="AY47" s="2000">
        <f t="shared" si="3"/>
        <v>0</v>
      </c>
      <c r="AZ47" s="2001"/>
      <c r="BA47" s="2001"/>
      <c r="BB47" s="2001"/>
      <c r="BC47" s="2001"/>
      <c r="BD47" s="2002"/>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6" t="s">
        <v>2409</v>
      </c>
      <c r="C50" s="2007"/>
      <c r="D50" s="2007"/>
      <c r="E50" s="2007"/>
      <c r="F50" s="2007"/>
      <c r="G50" s="2007"/>
      <c r="H50" s="2007"/>
      <c r="I50" s="2007"/>
      <c r="J50" s="2007"/>
      <c r="K50" s="2007"/>
      <c r="L50" s="2007"/>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c r="AN50" s="2007"/>
      <c r="AO50" s="200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9" t="s">
        <v>2402</v>
      </c>
      <c r="C51" s="2010"/>
      <c r="D51" s="2010"/>
      <c r="E51" s="2010"/>
      <c r="F51" s="2010"/>
      <c r="G51" s="2010"/>
      <c r="H51" s="2010"/>
      <c r="I51" s="2010"/>
      <c r="J51" s="2010" t="s">
        <v>2408</v>
      </c>
      <c r="K51" s="2010"/>
      <c r="L51" s="2010"/>
      <c r="M51" s="2010"/>
      <c r="N51" s="2010"/>
      <c r="O51" s="2010"/>
      <c r="P51" s="2010"/>
      <c r="Q51" s="2010"/>
      <c r="R51" s="2011" t="s">
        <v>2407</v>
      </c>
      <c r="S51" s="2011"/>
      <c r="T51" s="2011"/>
      <c r="U51" s="2011"/>
      <c r="V51" s="2011"/>
      <c r="W51" s="2011"/>
      <c r="X51" s="2011"/>
      <c r="Y51" s="2011"/>
      <c r="Z51" s="2011" t="s">
        <v>2406</v>
      </c>
      <c r="AA51" s="2011"/>
      <c r="AB51" s="2011"/>
      <c r="AC51" s="2011"/>
      <c r="AD51" s="2011"/>
      <c r="AE51" s="2011"/>
      <c r="AF51" s="2011"/>
      <c r="AG51" s="2011"/>
      <c r="AH51" s="2011" t="s">
        <v>2405</v>
      </c>
      <c r="AI51" s="2011"/>
      <c r="AJ51" s="2011"/>
      <c r="AK51" s="2011"/>
      <c r="AL51" s="2011"/>
      <c r="AM51" s="2011"/>
      <c r="AN51" s="2011"/>
      <c r="AO51" s="201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4" t="s">
        <v>2404</v>
      </c>
      <c r="C52" s="1995"/>
      <c r="D52" s="1995"/>
      <c r="E52" s="1995"/>
      <c r="F52" s="1995"/>
      <c r="G52" s="1995"/>
      <c r="H52" s="1995"/>
      <c r="I52" s="1995"/>
      <c r="J52" s="2013">
        <v>0</v>
      </c>
      <c r="K52" s="2013"/>
      <c r="L52" s="2013"/>
      <c r="M52" s="2013"/>
      <c r="N52" s="2013"/>
      <c r="O52" s="2013"/>
      <c r="P52" s="2013"/>
      <c r="Q52" s="2013"/>
      <c r="R52" s="2014">
        <v>0</v>
      </c>
      <c r="S52" s="2014"/>
      <c r="T52" s="2014"/>
      <c r="U52" s="2014"/>
      <c r="V52" s="2014"/>
      <c r="W52" s="2014"/>
      <c r="X52" s="2014"/>
      <c r="Y52" s="2014"/>
      <c r="Z52" s="2015">
        <v>0</v>
      </c>
      <c r="AA52" s="2015"/>
      <c r="AB52" s="2015"/>
      <c r="AC52" s="2015"/>
      <c r="AD52" s="2015"/>
      <c r="AE52" s="2015"/>
      <c r="AF52" s="2015"/>
      <c r="AG52" s="2015"/>
      <c r="AH52" s="2016"/>
      <c r="AI52" s="2016"/>
      <c r="AJ52" s="2016"/>
      <c r="AK52" s="2016"/>
      <c r="AL52" s="2016"/>
      <c r="AM52" s="2016"/>
      <c r="AN52" s="2016"/>
      <c r="AO52" s="201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4" t="s">
        <v>2403</v>
      </c>
      <c r="C53" s="1995"/>
      <c r="D53" s="1995"/>
      <c r="E53" s="1995"/>
      <c r="F53" s="1995"/>
      <c r="G53" s="1995"/>
      <c r="H53" s="1995"/>
      <c r="I53" s="1995"/>
      <c r="J53" s="2013">
        <v>0</v>
      </c>
      <c r="K53" s="2013"/>
      <c r="L53" s="2013"/>
      <c r="M53" s="2013"/>
      <c r="N53" s="2013"/>
      <c r="O53" s="2013"/>
      <c r="P53" s="2013"/>
      <c r="Q53" s="2013"/>
      <c r="R53" s="2014">
        <v>0</v>
      </c>
      <c r="S53" s="2014"/>
      <c r="T53" s="2014"/>
      <c r="U53" s="2014"/>
      <c r="V53" s="2014"/>
      <c r="W53" s="2014"/>
      <c r="X53" s="2014"/>
      <c r="Y53" s="2014"/>
      <c r="Z53" s="2015">
        <v>0</v>
      </c>
      <c r="AA53" s="2015"/>
      <c r="AB53" s="2015"/>
      <c r="AC53" s="2015"/>
      <c r="AD53" s="2015"/>
      <c r="AE53" s="2015"/>
      <c r="AF53" s="2015"/>
      <c r="AG53" s="2015"/>
      <c r="AH53" s="2016"/>
      <c r="AI53" s="2016"/>
      <c r="AJ53" s="2016"/>
      <c r="AK53" s="2016"/>
      <c r="AL53" s="2016"/>
      <c r="AM53" s="2016"/>
      <c r="AN53" s="2016"/>
      <c r="AO53" s="201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4"/>
      <c r="C54" s="1995"/>
      <c r="D54" s="1995"/>
      <c r="E54" s="1995"/>
      <c r="F54" s="1995"/>
      <c r="G54" s="1995"/>
      <c r="H54" s="1995"/>
      <c r="I54" s="1995"/>
      <c r="J54" s="2013"/>
      <c r="K54" s="2013"/>
      <c r="L54" s="2013"/>
      <c r="M54" s="2013"/>
      <c r="N54" s="2013"/>
      <c r="O54" s="2013"/>
      <c r="P54" s="2013"/>
      <c r="Q54" s="2013"/>
      <c r="R54" s="2014"/>
      <c r="S54" s="2014"/>
      <c r="T54" s="2014"/>
      <c r="U54" s="2014"/>
      <c r="V54" s="2014"/>
      <c r="W54" s="2014"/>
      <c r="X54" s="2014"/>
      <c r="Y54" s="2014"/>
      <c r="Z54" s="2015"/>
      <c r="AA54" s="2015"/>
      <c r="AB54" s="2015"/>
      <c r="AC54" s="2015"/>
      <c r="AD54" s="2015"/>
      <c r="AE54" s="2015"/>
      <c r="AF54" s="2015"/>
      <c r="AG54" s="2015"/>
      <c r="AH54" s="2016"/>
      <c r="AI54" s="2016"/>
      <c r="AJ54" s="2016"/>
      <c r="AK54" s="2016"/>
      <c r="AL54" s="2016"/>
      <c r="AM54" s="2016"/>
      <c r="AN54" s="2016"/>
      <c r="AO54" s="201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4"/>
      <c r="C55" s="1995"/>
      <c r="D55" s="1995"/>
      <c r="E55" s="1995"/>
      <c r="F55" s="1995"/>
      <c r="G55" s="1995"/>
      <c r="H55" s="1995"/>
      <c r="I55" s="1995"/>
      <c r="J55" s="2013"/>
      <c r="K55" s="2013"/>
      <c r="L55" s="2013"/>
      <c r="M55" s="2013"/>
      <c r="N55" s="2013"/>
      <c r="O55" s="2013"/>
      <c r="P55" s="2013"/>
      <c r="Q55" s="2013"/>
      <c r="R55" s="2014"/>
      <c r="S55" s="2014"/>
      <c r="T55" s="2014"/>
      <c r="U55" s="2014"/>
      <c r="V55" s="2014"/>
      <c r="W55" s="2014"/>
      <c r="X55" s="2014"/>
      <c r="Y55" s="2014"/>
      <c r="Z55" s="2015"/>
      <c r="AA55" s="2015"/>
      <c r="AB55" s="2015"/>
      <c r="AC55" s="2015"/>
      <c r="AD55" s="2015"/>
      <c r="AE55" s="2015"/>
      <c r="AF55" s="2015"/>
      <c r="AG55" s="2015"/>
      <c r="AH55" s="2016"/>
      <c r="AI55" s="2016"/>
      <c r="AJ55" s="2016"/>
      <c r="AK55" s="2016"/>
      <c r="AL55" s="2016"/>
      <c r="AM55" s="2016"/>
      <c r="AN55" s="2016"/>
      <c r="AO55" s="2017"/>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4"/>
      <c r="C56" s="1995"/>
      <c r="D56" s="1995"/>
      <c r="E56" s="1995"/>
      <c r="F56" s="1995"/>
      <c r="G56" s="1995"/>
      <c r="H56" s="1995"/>
      <c r="I56" s="1995"/>
      <c r="J56" s="2013"/>
      <c r="K56" s="2013"/>
      <c r="L56" s="2013"/>
      <c r="M56" s="2013"/>
      <c r="N56" s="2013"/>
      <c r="O56" s="2013"/>
      <c r="P56" s="2013"/>
      <c r="Q56" s="2013"/>
      <c r="R56" s="2014"/>
      <c r="S56" s="2014"/>
      <c r="T56" s="2014"/>
      <c r="U56" s="2014"/>
      <c r="V56" s="2014"/>
      <c r="W56" s="2014"/>
      <c r="X56" s="2014"/>
      <c r="Y56" s="2014"/>
      <c r="Z56" s="2015"/>
      <c r="AA56" s="2015"/>
      <c r="AB56" s="2015"/>
      <c r="AC56" s="2015"/>
      <c r="AD56" s="2015"/>
      <c r="AE56" s="2015"/>
      <c r="AF56" s="2015"/>
      <c r="AG56" s="2015"/>
      <c r="AH56" s="2016"/>
      <c r="AI56" s="2016"/>
      <c r="AJ56" s="2016"/>
      <c r="AK56" s="2016"/>
      <c r="AL56" s="2016"/>
      <c r="AM56" s="2016"/>
      <c r="AN56" s="2016"/>
      <c r="AO56" s="201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7" t="s">
        <v>1587</v>
      </c>
      <c r="C57" s="2028"/>
      <c r="D57" s="2028"/>
      <c r="E57" s="2028"/>
      <c r="F57" s="2028"/>
      <c r="G57" s="2028"/>
      <c r="H57" s="2028"/>
      <c r="I57" s="2028"/>
      <c r="J57" s="2028"/>
      <c r="K57" s="2028"/>
      <c r="L57" s="2028"/>
      <c r="M57" s="2028"/>
      <c r="N57" s="2028"/>
      <c r="O57" s="2028"/>
      <c r="P57" s="2028"/>
      <c r="Q57" s="2028"/>
      <c r="R57" s="2029">
        <f>SUM(R52:Y56)</f>
        <v>0</v>
      </c>
      <c r="S57" s="2029"/>
      <c r="T57" s="2029"/>
      <c r="U57" s="2029"/>
      <c r="V57" s="2029"/>
      <c r="W57" s="2029"/>
      <c r="X57" s="2029"/>
      <c r="Y57" s="2029"/>
      <c r="Z57" s="2030">
        <f>SUM(Z52:AG56)</f>
        <v>0</v>
      </c>
      <c r="AA57" s="2030"/>
      <c r="AB57" s="2030"/>
      <c r="AC57" s="2030"/>
      <c r="AD57" s="2030"/>
      <c r="AE57" s="2030"/>
      <c r="AF57" s="2030"/>
      <c r="AG57" s="2030"/>
      <c r="AH57" s="2031"/>
      <c r="AI57" s="2031"/>
      <c r="AJ57" s="2031"/>
      <c r="AK57" s="2031"/>
      <c r="AL57" s="2031"/>
      <c r="AM57" s="2031"/>
      <c r="AN57" s="2031"/>
      <c r="AO57" s="203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8" t="s">
        <v>2402</v>
      </c>
      <c r="C59" s="2019"/>
      <c r="D59" s="2019"/>
      <c r="E59" s="2019"/>
      <c r="F59" s="2019"/>
      <c r="G59" s="2019"/>
      <c r="H59" s="2019"/>
      <c r="I59" s="2020"/>
      <c r="J59" s="1912" t="s">
        <v>2401</v>
      </c>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c r="AM59" s="1912"/>
      <c r="AN59" s="1912"/>
      <c r="AO59" s="1912"/>
      <c r="AP59" s="1912"/>
      <c r="AQ59" s="1912"/>
      <c r="AR59" s="1912"/>
      <c r="AS59" s="1912"/>
      <c r="AT59" s="1912"/>
      <c r="AU59" s="1912"/>
      <c r="AV59" s="1912"/>
      <c r="AW59" s="1913"/>
      <c r="AX59" s="1190"/>
      <c r="AY59" s="1190"/>
      <c r="AZ59" s="1190"/>
      <c r="BA59" s="1190"/>
      <c r="BB59" s="1190"/>
      <c r="BC59" s="1190"/>
      <c r="BD59" s="1190"/>
      <c r="BE59" s="1194"/>
    </row>
    <row r="60" spans="1:77" ht="15.75" customHeight="1">
      <c r="A60" s="1190"/>
      <c r="B60" s="2021" t="str">
        <f>IF(B52="", "", B52)</f>
        <v>Services Company 1</v>
      </c>
      <c r="C60" s="2022"/>
      <c r="D60" s="2022"/>
      <c r="E60" s="2022"/>
      <c r="F60" s="2022"/>
      <c r="G60" s="2022"/>
      <c r="H60" s="2022"/>
      <c r="I60" s="2023"/>
      <c r="J60" s="2024"/>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2025"/>
      <c r="AV60" s="2025"/>
      <c r="AW60" s="2026"/>
      <c r="AX60" s="1190"/>
      <c r="AY60" s="1190"/>
      <c r="AZ60" s="1190"/>
      <c r="BA60" s="1190"/>
      <c r="BB60" s="1190"/>
      <c r="BC60" s="1190"/>
      <c r="BD60" s="1190"/>
      <c r="BE60" s="1194"/>
    </row>
    <row r="61" spans="1:77" ht="15.75" customHeight="1">
      <c r="A61" s="1190"/>
      <c r="B61" s="2021" t="str">
        <f>IF(B53="", "", B53)</f>
        <v>Services Company 2</v>
      </c>
      <c r="C61" s="2022"/>
      <c r="D61" s="2022"/>
      <c r="E61" s="2022"/>
      <c r="F61" s="2022"/>
      <c r="G61" s="2022"/>
      <c r="H61" s="2022"/>
      <c r="I61" s="2023"/>
      <c r="J61" s="2024"/>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2026"/>
      <c r="AX61" s="1190"/>
      <c r="AY61" s="1190"/>
      <c r="AZ61" s="1190"/>
      <c r="BA61" s="1190"/>
      <c r="BB61" s="1190"/>
      <c r="BC61" s="1190"/>
      <c r="BD61" s="1190"/>
      <c r="BE61" s="1194"/>
    </row>
    <row r="62" spans="1:77" ht="15.75" customHeight="1">
      <c r="A62" s="1190"/>
      <c r="B62" s="2021" t="str">
        <f>IF(B54="", "", B54)</f>
        <v/>
      </c>
      <c r="C62" s="2022"/>
      <c r="D62" s="2022"/>
      <c r="E62" s="2022"/>
      <c r="F62" s="2022"/>
      <c r="G62" s="2022"/>
      <c r="H62" s="2022"/>
      <c r="I62" s="2023"/>
      <c r="J62" s="2024"/>
      <c r="K62" s="2025"/>
      <c r="L62" s="2025"/>
      <c r="M62" s="2025"/>
      <c r="N62" s="2025"/>
      <c r="O62" s="2025"/>
      <c r="P62" s="2025"/>
      <c r="Q62" s="2025"/>
      <c r="R62" s="2025"/>
      <c r="S62" s="2025"/>
      <c r="T62" s="2025"/>
      <c r="U62" s="2025"/>
      <c r="V62" s="2025"/>
      <c r="W62" s="2025"/>
      <c r="X62" s="2025"/>
      <c r="Y62" s="2025"/>
      <c r="Z62" s="2025"/>
      <c r="AA62" s="2025"/>
      <c r="AB62" s="2025"/>
      <c r="AC62" s="2025"/>
      <c r="AD62" s="2025"/>
      <c r="AE62" s="2025"/>
      <c r="AF62" s="2025"/>
      <c r="AG62" s="2025"/>
      <c r="AH62" s="2025"/>
      <c r="AI62" s="2025"/>
      <c r="AJ62" s="2025"/>
      <c r="AK62" s="2025"/>
      <c r="AL62" s="2025"/>
      <c r="AM62" s="2025"/>
      <c r="AN62" s="2025"/>
      <c r="AO62" s="2025"/>
      <c r="AP62" s="2025"/>
      <c r="AQ62" s="2025"/>
      <c r="AR62" s="2025"/>
      <c r="AS62" s="2025"/>
      <c r="AT62" s="2025"/>
      <c r="AU62" s="2025"/>
      <c r="AV62" s="2025"/>
      <c r="AW62" s="2026"/>
      <c r="AX62" s="1190"/>
      <c r="AY62" s="1190"/>
      <c r="AZ62" s="1190"/>
      <c r="BA62" s="1190"/>
      <c r="BB62" s="1190"/>
      <c r="BC62" s="1190"/>
      <c r="BD62" s="1190"/>
      <c r="BE62" s="1194"/>
    </row>
    <row r="63" spans="1:77" ht="15.75" customHeight="1">
      <c r="A63" s="1190"/>
      <c r="B63" s="2021" t="str">
        <f>IF(B55="", "", B55)</f>
        <v/>
      </c>
      <c r="C63" s="2022"/>
      <c r="D63" s="2022"/>
      <c r="E63" s="2022"/>
      <c r="F63" s="2022"/>
      <c r="G63" s="2022"/>
      <c r="H63" s="2022"/>
      <c r="I63" s="2023"/>
      <c r="J63" s="2024"/>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5"/>
      <c r="AK63" s="2025"/>
      <c r="AL63" s="2025"/>
      <c r="AM63" s="2025"/>
      <c r="AN63" s="2025"/>
      <c r="AO63" s="2025"/>
      <c r="AP63" s="2025"/>
      <c r="AQ63" s="2025"/>
      <c r="AR63" s="2025"/>
      <c r="AS63" s="2025"/>
      <c r="AT63" s="2025"/>
      <c r="AU63" s="2025"/>
      <c r="AV63" s="2025"/>
      <c r="AW63" s="2026"/>
      <c r="AX63" s="1190"/>
      <c r="AY63" s="1190"/>
      <c r="AZ63" s="1190"/>
      <c r="BA63" s="1190"/>
      <c r="BB63" s="1190"/>
      <c r="BC63" s="1190"/>
      <c r="BD63" s="1190"/>
      <c r="BE63" s="1194"/>
    </row>
    <row r="64" spans="1:77" ht="15.75" customHeight="1" thickBot="1">
      <c r="A64" s="1190"/>
      <c r="B64" s="2043" t="str">
        <f>IF(B56="", "", B56)</f>
        <v/>
      </c>
      <c r="C64" s="2044"/>
      <c r="D64" s="2044"/>
      <c r="E64" s="2044"/>
      <c r="F64" s="2044"/>
      <c r="G64" s="2044"/>
      <c r="H64" s="2044"/>
      <c r="I64" s="2045"/>
      <c r="J64" s="2046"/>
      <c r="K64" s="2047"/>
      <c r="L64" s="204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c r="AS64" s="2047"/>
      <c r="AT64" s="2047"/>
      <c r="AU64" s="2047"/>
      <c r="AV64" s="2047"/>
      <c r="AW64" s="204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1" t="s">
        <v>2399</v>
      </c>
      <c r="C68" s="1912"/>
      <c r="D68" s="1912"/>
      <c r="E68" s="1912"/>
      <c r="F68" s="1912"/>
      <c r="G68" s="1912"/>
      <c r="H68" s="1912"/>
      <c r="I68" s="1912"/>
      <c r="J68" s="1912"/>
      <c r="K68" s="1912"/>
      <c r="L68" s="1912"/>
      <c r="M68" s="1912"/>
      <c r="N68" s="1912"/>
      <c r="O68" s="1912"/>
      <c r="P68" s="1912"/>
      <c r="Q68" s="1912"/>
      <c r="R68" s="1912"/>
      <c r="S68" s="1912"/>
      <c r="T68" s="1912"/>
      <c r="U68" s="1912"/>
      <c r="V68" s="1912"/>
      <c r="W68" s="1912"/>
      <c r="X68" s="1912"/>
      <c r="Y68" s="1912"/>
      <c r="Z68" s="1912"/>
      <c r="AA68" s="1913"/>
      <c r="AB68" s="1190"/>
      <c r="AC68" s="2055" t="s">
        <v>2398</v>
      </c>
      <c r="AD68" s="2056"/>
      <c r="AE68" s="2056"/>
      <c r="AF68" s="2056"/>
      <c r="AG68" s="2056"/>
      <c r="AH68" s="2056"/>
      <c r="AI68" s="2056"/>
      <c r="AJ68" s="2056"/>
      <c r="AK68" s="2056"/>
      <c r="AL68" s="2056"/>
      <c r="AM68" s="2056"/>
      <c r="AN68" s="2056"/>
      <c r="AO68" s="2056"/>
      <c r="AP68" s="2056"/>
      <c r="AQ68" s="2056"/>
      <c r="AR68" s="2056"/>
      <c r="AS68" s="2056"/>
      <c r="AT68" s="2056"/>
      <c r="AU68" s="2056"/>
      <c r="AV68" s="2033" t="s">
        <v>670</v>
      </c>
      <c r="AW68" s="2034"/>
      <c r="AX68" s="2034"/>
      <c r="AY68" s="2034"/>
      <c r="AZ68" s="2034"/>
      <c r="BA68" s="2034"/>
      <c r="BB68" s="2034"/>
      <c r="BC68" s="2035"/>
      <c r="BD68" s="1190"/>
      <c r="BE68" s="1194"/>
      <c r="BM68" s="1199" t="s">
        <v>2397</v>
      </c>
    </row>
    <row r="69" spans="1:94" ht="15.75" customHeight="1" thickTop="1" thickBot="1">
      <c r="A69" s="1190"/>
      <c r="B69" s="2036" t="s">
        <v>2396</v>
      </c>
      <c r="C69" s="2037"/>
      <c r="D69" s="2037"/>
      <c r="E69" s="2037"/>
      <c r="F69" s="2037"/>
      <c r="G69" s="2037"/>
      <c r="H69" s="2037"/>
      <c r="I69" s="2037"/>
      <c r="J69" s="2037"/>
      <c r="K69" s="2037"/>
      <c r="L69" s="2037"/>
      <c r="M69" s="2037"/>
      <c r="N69" s="2037"/>
      <c r="O69" s="2038" t="s">
        <v>2395</v>
      </c>
      <c r="P69" s="2039"/>
      <c r="Q69" s="2039"/>
      <c r="R69" s="2039"/>
      <c r="S69" s="2039"/>
      <c r="T69" s="2039"/>
      <c r="U69" s="2039"/>
      <c r="V69" s="2039"/>
      <c r="W69" s="2039"/>
      <c r="X69" s="2039"/>
      <c r="Y69" s="2039"/>
      <c r="Z69" s="2039"/>
      <c r="AA69" s="2040"/>
      <c r="AB69" s="1190"/>
      <c r="AC69" s="2041" t="s">
        <v>2394</v>
      </c>
      <c r="AD69" s="2042"/>
      <c r="AE69" s="2042"/>
      <c r="AF69" s="2042"/>
      <c r="AG69" s="2042"/>
      <c r="AH69" s="2042"/>
      <c r="AI69" s="2042"/>
      <c r="AJ69" s="2042"/>
      <c r="AK69" s="2042"/>
      <c r="AL69" s="2042"/>
      <c r="AM69" s="2042"/>
      <c r="AN69" s="2042"/>
      <c r="AO69" s="2042"/>
      <c r="AP69" s="2042"/>
      <c r="AQ69" s="2042"/>
      <c r="AR69" s="2042"/>
      <c r="AS69" s="2042"/>
      <c r="AT69" s="2042"/>
      <c r="AU69" s="2042"/>
      <c r="AV69" s="2033" t="s">
        <v>670</v>
      </c>
      <c r="AW69" s="2034"/>
      <c r="AX69" s="2034"/>
      <c r="AY69" s="2034"/>
      <c r="AZ69" s="2034"/>
      <c r="BA69" s="2034"/>
      <c r="BB69" s="2034"/>
      <c r="BC69" s="2035"/>
      <c r="BD69" s="1190"/>
      <c r="BE69" s="1194"/>
      <c r="BM69" s="1200" t="s">
        <v>546</v>
      </c>
    </row>
    <row r="70" spans="1:94" ht="15.75" customHeight="1">
      <c r="A70" s="1190"/>
      <c r="B70" s="1990" t="s">
        <v>2393</v>
      </c>
      <c r="C70" s="1991"/>
      <c r="D70" s="1991"/>
      <c r="E70" s="1991"/>
      <c r="F70" s="1991"/>
      <c r="G70" s="1991"/>
      <c r="H70" s="1991"/>
      <c r="I70" s="1991"/>
      <c r="J70" s="1991"/>
      <c r="K70" s="1991"/>
      <c r="L70" s="1991"/>
      <c r="M70" s="1991"/>
      <c r="N70" s="1991"/>
      <c r="O70" s="2049">
        <v>0</v>
      </c>
      <c r="P70" s="2049"/>
      <c r="Q70" s="2049"/>
      <c r="R70" s="2049"/>
      <c r="S70" s="2049"/>
      <c r="T70" s="2049"/>
      <c r="U70" s="2049"/>
      <c r="V70" s="2049"/>
      <c r="W70" s="2049"/>
      <c r="X70" s="2049"/>
      <c r="Y70" s="2049"/>
      <c r="Z70" s="2049"/>
      <c r="AA70" s="2050"/>
      <c r="AB70" s="1190"/>
      <c r="AC70" s="2006" t="s">
        <v>2392</v>
      </c>
      <c r="AD70" s="2007"/>
      <c r="AE70" s="2007"/>
      <c r="AF70" s="2051"/>
      <c r="AG70" s="2051"/>
      <c r="AH70" s="2051"/>
      <c r="AI70" s="2051"/>
      <c r="AJ70" s="2051"/>
      <c r="AK70" s="2051"/>
      <c r="AL70" s="2051"/>
      <c r="AM70" s="2051"/>
      <c r="AN70" s="2051"/>
      <c r="AO70" s="2051"/>
      <c r="AP70" s="2051"/>
      <c r="AQ70" s="2051"/>
      <c r="AR70" s="2051"/>
      <c r="AS70" s="2051"/>
      <c r="AT70" s="2051"/>
      <c r="AU70" s="2052"/>
      <c r="AV70" s="1190"/>
      <c r="AW70" s="1190"/>
      <c r="AX70" s="1190"/>
      <c r="AY70" s="1190"/>
      <c r="AZ70" s="1190"/>
      <c r="BA70" s="1190"/>
      <c r="BB70" s="1190"/>
      <c r="BC70" s="1190"/>
      <c r="BD70" s="1190"/>
      <c r="BE70" s="1194"/>
      <c r="BM70" s="1201" t="s">
        <v>670</v>
      </c>
    </row>
    <row r="71" spans="1:94" ht="15.75" customHeight="1" thickBot="1">
      <c r="A71" s="1190"/>
      <c r="B71" s="1990" t="s">
        <v>2391</v>
      </c>
      <c r="C71" s="1991"/>
      <c r="D71" s="1991"/>
      <c r="E71" s="1991"/>
      <c r="F71" s="1991"/>
      <c r="G71" s="1991"/>
      <c r="H71" s="1991"/>
      <c r="I71" s="1991"/>
      <c r="J71" s="1991"/>
      <c r="K71" s="1991"/>
      <c r="L71" s="1991"/>
      <c r="M71" s="1991"/>
      <c r="N71" s="1991"/>
      <c r="O71" s="2049">
        <v>0</v>
      </c>
      <c r="P71" s="2049"/>
      <c r="Q71" s="2049"/>
      <c r="R71" s="2049"/>
      <c r="S71" s="2049"/>
      <c r="T71" s="2049"/>
      <c r="U71" s="2049"/>
      <c r="V71" s="2049"/>
      <c r="W71" s="2049"/>
      <c r="X71" s="2049"/>
      <c r="Y71" s="2049"/>
      <c r="Z71" s="2049"/>
      <c r="AA71" s="2050"/>
      <c r="AB71" s="1190"/>
      <c r="AC71" s="2053" t="s">
        <v>2390</v>
      </c>
      <c r="AD71" s="2054"/>
      <c r="AE71" s="2054"/>
      <c r="AF71" s="2047"/>
      <c r="AG71" s="2047"/>
      <c r="AH71" s="2047"/>
      <c r="AI71" s="2047"/>
      <c r="AJ71" s="2047"/>
      <c r="AK71" s="2047"/>
      <c r="AL71" s="2047"/>
      <c r="AM71" s="2047"/>
      <c r="AN71" s="2047"/>
      <c r="AO71" s="2047"/>
      <c r="AP71" s="2047"/>
      <c r="AQ71" s="2047"/>
      <c r="AR71" s="2047"/>
      <c r="AS71" s="2047"/>
      <c r="AT71" s="2047"/>
      <c r="AU71" s="2048"/>
      <c r="AV71" s="1190"/>
      <c r="AW71" s="1190"/>
      <c r="AX71" s="1190"/>
      <c r="AY71" s="1190"/>
      <c r="AZ71" s="1190"/>
      <c r="BA71" s="1190"/>
      <c r="BB71" s="1190"/>
      <c r="BC71" s="1190"/>
      <c r="BD71" s="1190"/>
      <c r="BE71" s="1194"/>
      <c r="BM71" s="1187" t="s">
        <v>2389</v>
      </c>
    </row>
    <row r="72" spans="1:94" ht="15.75" customHeight="1">
      <c r="A72" s="1190"/>
      <c r="B72" s="1990" t="s">
        <v>2388</v>
      </c>
      <c r="C72" s="1991"/>
      <c r="D72" s="1991"/>
      <c r="E72" s="1991"/>
      <c r="F72" s="1991"/>
      <c r="G72" s="1991"/>
      <c r="H72" s="1991"/>
      <c r="I72" s="1991"/>
      <c r="J72" s="1991"/>
      <c r="K72" s="1991"/>
      <c r="L72" s="1991"/>
      <c r="M72" s="1991"/>
      <c r="N72" s="1991"/>
      <c r="O72" s="2049">
        <v>0</v>
      </c>
      <c r="P72" s="2049"/>
      <c r="Q72" s="2049"/>
      <c r="R72" s="2049"/>
      <c r="S72" s="2049"/>
      <c r="T72" s="2049"/>
      <c r="U72" s="2049"/>
      <c r="V72" s="2049"/>
      <c r="W72" s="2049"/>
      <c r="X72" s="2049"/>
      <c r="Y72" s="2049"/>
      <c r="Z72" s="2049"/>
      <c r="AA72" s="2050"/>
      <c r="AB72" s="1190"/>
      <c r="AC72" s="2073" t="s">
        <v>2387</v>
      </c>
      <c r="AD72" s="2074"/>
      <c r="AE72" s="2074"/>
      <c r="AF72" s="2074"/>
      <c r="AG72" s="2074"/>
      <c r="AH72" s="2074"/>
      <c r="AI72" s="2074"/>
      <c r="AJ72" s="2074"/>
      <c r="AK72" s="2074"/>
      <c r="AL72" s="2074"/>
      <c r="AM72" s="2074"/>
      <c r="AN72" s="2074"/>
      <c r="AO72" s="2074"/>
      <c r="AP72" s="2074"/>
      <c r="AQ72" s="2074"/>
      <c r="AR72" s="2074"/>
      <c r="AS72" s="2074"/>
      <c r="AT72" s="2074"/>
      <c r="AU72" s="2074"/>
      <c r="AV72" s="2007"/>
      <c r="AW72" s="2007"/>
      <c r="AX72" s="2007"/>
      <c r="AY72" s="2007"/>
      <c r="AZ72" s="2007"/>
      <c r="BA72" s="2007"/>
      <c r="BB72" s="2007"/>
      <c r="BC72" s="2008"/>
      <c r="BD72" s="1190"/>
      <c r="BE72" s="1194"/>
    </row>
    <row r="73" spans="1:94" ht="15.75" customHeight="1">
      <c r="A73" s="1190"/>
      <c r="B73" s="1994" t="s">
        <v>2386</v>
      </c>
      <c r="C73" s="1995"/>
      <c r="D73" s="1995"/>
      <c r="E73" s="1995"/>
      <c r="F73" s="1995"/>
      <c r="G73" s="1995"/>
      <c r="H73" s="1995"/>
      <c r="I73" s="1995"/>
      <c r="J73" s="1995"/>
      <c r="K73" s="1995"/>
      <c r="L73" s="1995"/>
      <c r="M73" s="1995"/>
      <c r="N73" s="1995"/>
      <c r="O73" s="2049">
        <v>0</v>
      </c>
      <c r="P73" s="2049"/>
      <c r="Q73" s="2049"/>
      <c r="R73" s="2049"/>
      <c r="S73" s="2049"/>
      <c r="T73" s="2049"/>
      <c r="U73" s="2049"/>
      <c r="V73" s="2049"/>
      <c r="W73" s="2049"/>
      <c r="X73" s="2049"/>
      <c r="Y73" s="2049"/>
      <c r="Z73" s="2049"/>
      <c r="AA73" s="2050"/>
      <c r="AB73" s="1190"/>
      <c r="AC73" s="2075" t="s">
        <v>2331</v>
      </c>
      <c r="AD73" s="2076"/>
      <c r="AE73" s="2076"/>
      <c r="AF73" s="2076"/>
      <c r="AG73" s="2076"/>
      <c r="AH73" s="2076"/>
      <c r="AI73" s="2076"/>
      <c r="AJ73" s="2076"/>
      <c r="AK73" s="2076"/>
      <c r="AL73" s="2076"/>
      <c r="AM73" s="2076"/>
      <c r="AN73" s="2076"/>
      <c r="AO73" s="2076"/>
      <c r="AP73" s="2076"/>
      <c r="AQ73" s="2076"/>
      <c r="AR73" s="2076"/>
      <c r="AS73" s="2076"/>
      <c r="AT73" s="2076"/>
      <c r="AU73" s="2076"/>
      <c r="AV73" s="2076"/>
      <c r="AW73" s="2076"/>
      <c r="AX73" s="2076"/>
      <c r="AY73" s="2076"/>
      <c r="AZ73" s="2076"/>
      <c r="BA73" s="2076"/>
      <c r="BB73" s="2076"/>
      <c r="BC73" s="2077"/>
      <c r="BD73" s="1190"/>
      <c r="BE73" s="1194"/>
      <c r="CK73" s="1188"/>
      <c r="CL73" s="1188"/>
      <c r="CM73" s="1188"/>
      <c r="CN73" s="1188"/>
      <c r="CO73" s="1188"/>
      <c r="CP73" s="1188"/>
    </row>
    <row r="74" spans="1:94" ht="15.75" customHeight="1">
      <c r="A74" s="1190"/>
      <c r="B74" s="2081"/>
      <c r="C74" s="2013"/>
      <c r="D74" s="2013"/>
      <c r="E74" s="2013"/>
      <c r="F74" s="2013"/>
      <c r="G74" s="2013"/>
      <c r="H74" s="2013"/>
      <c r="I74" s="2013"/>
      <c r="J74" s="2013"/>
      <c r="K74" s="2013"/>
      <c r="L74" s="2013"/>
      <c r="M74" s="2013"/>
      <c r="N74" s="2013"/>
      <c r="O74" s="2049"/>
      <c r="P74" s="2049"/>
      <c r="Q74" s="2049"/>
      <c r="R74" s="2049"/>
      <c r="S74" s="2049"/>
      <c r="T74" s="2049"/>
      <c r="U74" s="2049"/>
      <c r="V74" s="2049"/>
      <c r="W74" s="2049"/>
      <c r="X74" s="2049"/>
      <c r="Y74" s="2049"/>
      <c r="Z74" s="2049"/>
      <c r="AA74" s="2050"/>
      <c r="AB74" s="1190"/>
      <c r="AC74" s="2075"/>
      <c r="AD74" s="2076"/>
      <c r="AE74" s="2076"/>
      <c r="AF74" s="2076"/>
      <c r="AG74" s="2076"/>
      <c r="AH74" s="2076"/>
      <c r="AI74" s="2076"/>
      <c r="AJ74" s="2076"/>
      <c r="AK74" s="2076"/>
      <c r="AL74" s="2076"/>
      <c r="AM74" s="2076"/>
      <c r="AN74" s="2076"/>
      <c r="AO74" s="2076"/>
      <c r="AP74" s="2076"/>
      <c r="AQ74" s="2076"/>
      <c r="AR74" s="2076"/>
      <c r="AS74" s="2076"/>
      <c r="AT74" s="2076"/>
      <c r="AU74" s="2076"/>
      <c r="AV74" s="2076"/>
      <c r="AW74" s="2076"/>
      <c r="AX74" s="2076"/>
      <c r="AY74" s="2076"/>
      <c r="AZ74" s="2076"/>
      <c r="BA74" s="2076"/>
      <c r="BB74" s="2076"/>
      <c r="BC74" s="2077"/>
      <c r="BD74" s="1190"/>
      <c r="BE74" s="1194"/>
      <c r="CK74" s="1188"/>
      <c r="CL74" s="1188"/>
      <c r="CM74" s="1188"/>
      <c r="CN74" s="1188"/>
      <c r="CO74" s="1188"/>
      <c r="CP74" s="1188"/>
    </row>
    <row r="75" spans="1:94" ht="15.75" customHeight="1" thickBot="1">
      <c r="A75" s="1190"/>
      <c r="B75" s="2082" t="s">
        <v>124</v>
      </c>
      <c r="C75" s="2083"/>
      <c r="D75" s="2083"/>
      <c r="E75" s="2083"/>
      <c r="F75" s="2083"/>
      <c r="G75" s="2083"/>
      <c r="H75" s="2083"/>
      <c r="I75" s="2083"/>
      <c r="J75" s="2083"/>
      <c r="K75" s="2083"/>
      <c r="L75" s="2083"/>
      <c r="M75" s="2083"/>
      <c r="N75" s="2083"/>
      <c r="O75" s="2084">
        <f>SUM(O70:AA74)</f>
        <v>0</v>
      </c>
      <c r="P75" s="2084"/>
      <c r="Q75" s="2084"/>
      <c r="R75" s="2084"/>
      <c r="S75" s="2084"/>
      <c r="T75" s="2084"/>
      <c r="U75" s="2084"/>
      <c r="V75" s="2084"/>
      <c r="W75" s="2084"/>
      <c r="X75" s="2084"/>
      <c r="Y75" s="2084"/>
      <c r="Z75" s="2084"/>
      <c r="AA75" s="2085"/>
      <c r="AB75" s="1190"/>
      <c r="AC75" s="2075"/>
      <c r="AD75" s="2076"/>
      <c r="AE75" s="2076"/>
      <c r="AF75" s="2076"/>
      <c r="AG75" s="2076"/>
      <c r="AH75" s="2076"/>
      <c r="AI75" s="2076"/>
      <c r="AJ75" s="2076"/>
      <c r="AK75" s="2076"/>
      <c r="AL75" s="2076"/>
      <c r="AM75" s="2076"/>
      <c r="AN75" s="2076"/>
      <c r="AO75" s="2076"/>
      <c r="AP75" s="2076"/>
      <c r="AQ75" s="2076"/>
      <c r="AR75" s="2076"/>
      <c r="AS75" s="2076"/>
      <c r="AT75" s="2076"/>
      <c r="AU75" s="2076"/>
      <c r="AV75" s="2076"/>
      <c r="AW75" s="2076"/>
      <c r="AX75" s="2076"/>
      <c r="AY75" s="2076"/>
      <c r="AZ75" s="2076"/>
      <c r="BA75" s="2076"/>
      <c r="BB75" s="2076"/>
      <c r="BC75" s="207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5"/>
      <c r="AD76" s="2076"/>
      <c r="AE76" s="2076"/>
      <c r="AF76" s="2076"/>
      <c r="AG76" s="2076"/>
      <c r="AH76" s="2076"/>
      <c r="AI76" s="2076"/>
      <c r="AJ76" s="2076"/>
      <c r="AK76" s="2076"/>
      <c r="AL76" s="2076"/>
      <c r="AM76" s="2076"/>
      <c r="AN76" s="2076"/>
      <c r="AO76" s="2076"/>
      <c r="AP76" s="2076"/>
      <c r="AQ76" s="2076"/>
      <c r="AR76" s="2076"/>
      <c r="AS76" s="2076"/>
      <c r="AT76" s="2076"/>
      <c r="AU76" s="2076"/>
      <c r="AV76" s="2076"/>
      <c r="AW76" s="2076"/>
      <c r="AX76" s="2076"/>
      <c r="AY76" s="2076"/>
      <c r="AZ76" s="2076"/>
      <c r="BA76" s="2076"/>
      <c r="BB76" s="2076"/>
      <c r="BC76" s="207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8"/>
      <c r="AD77" s="2079"/>
      <c r="AE77" s="2079"/>
      <c r="AF77" s="2079"/>
      <c r="AG77" s="2079"/>
      <c r="AH77" s="2079"/>
      <c r="AI77" s="2079"/>
      <c r="AJ77" s="2079"/>
      <c r="AK77" s="2079"/>
      <c r="AL77" s="2079"/>
      <c r="AM77" s="2079"/>
      <c r="AN77" s="2079"/>
      <c r="AO77" s="2079"/>
      <c r="AP77" s="2079"/>
      <c r="AQ77" s="2079"/>
      <c r="AR77" s="2079"/>
      <c r="AS77" s="2079"/>
      <c r="AT77" s="2079"/>
      <c r="AU77" s="2079"/>
      <c r="AV77" s="2079"/>
      <c r="AW77" s="2079"/>
      <c r="AX77" s="2079"/>
      <c r="AY77" s="2079"/>
      <c r="AZ77" s="2079"/>
      <c r="BA77" s="2079"/>
      <c r="BB77" s="2079"/>
      <c r="BC77" s="2080"/>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7"/>
      <c r="G79" s="2058"/>
      <c r="H79" s="2058"/>
      <c r="I79" s="2058"/>
      <c r="J79" s="2058"/>
      <c r="K79" s="2058"/>
      <c r="L79" s="2058"/>
      <c r="M79" s="2058"/>
      <c r="N79" s="2058"/>
      <c r="O79" s="2058"/>
      <c r="P79" s="2058"/>
      <c r="Q79" s="2058"/>
      <c r="R79" s="2058"/>
      <c r="S79" s="2058"/>
      <c r="T79" s="205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0" t="s">
        <v>2384</v>
      </c>
      <c r="C80" s="2061"/>
      <c r="D80" s="2061"/>
      <c r="E80" s="2061"/>
      <c r="F80" s="2061"/>
      <c r="G80" s="2061"/>
      <c r="H80" s="2061"/>
      <c r="I80" s="2061"/>
      <c r="J80" s="2061"/>
      <c r="K80" s="2061"/>
      <c r="L80" s="2061"/>
      <c r="M80" s="2061"/>
      <c r="N80" s="2061"/>
      <c r="O80" s="2061"/>
      <c r="P80" s="2061"/>
      <c r="Q80" s="2061"/>
      <c r="R80" s="2062" t="str">
        <f>IFERROR(INDEX(BR96:BR98,MATCH(F79,$BQ$96:$BQ$98,0))/SUM($BR$96:$BR$98),"")</f>
        <v/>
      </c>
      <c r="S80" s="2063"/>
      <c r="T80" s="206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5" t="s">
        <v>2383</v>
      </c>
      <c r="C81" s="2066"/>
      <c r="D81" s="2066"/>
      <c r="E81" s="2066"/>
      <c r="F81" s="2066"/>
      <c r="G81" s="2066"/>
      <c r="H81" s="2066"/>
      <c r="I81" s="2066"/>
      <c r="J81" s="2066"/>
      <c r="K81" s="2066"/>
      <c r="L81" s="2066"/>
      <c r="M81" s="2066"/>
      <c r="N81" s="2066"/>
      <c r="O81" s="2066"/>
      <c r="P81" s="2066"/>
      <c r="Q81" s="2066"/>
      <c r="R81" s="2067" t="s">
        <v>2189</v>
      </c>
      <c r="S81" s="2068"/>
      <c r="T81" s="206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0" t="s">
        <v>2382</v>
      </c>
      <c r="C83" s="2071"/>
      <c r="D83" s="2071"/>
      <c r="E83" s="2071"/>
      <c r="F83" s="2071"/>
      <c r="G83" s="2071"/>
      <c r="H83" s="2071"/>
      <c r="I83" s="2071"/>
      <c r="J83" s="2071"/>
      <c r="K83" s="2071"/>
      <c r="L83" s="2071"/>
      <c r="M83" s="2071"/>
      <c r="N83" s="2071"/>
      <c r="O83" s="2071"/>
      <c r="P83" s="2071"/>
      <c r="Q83" s="2071"/>
      <c r="R83" s="2071"/>
      <c r="S83" s="2071"/>
      <c r="T83" s="2071"/>
      <c r="U83" s="2071"/>
      <c r="V83" s="2071"/>
      <c r="W83" s="2071"/>
      <c r="X83" s="2071"/>
      <c r="Y83" s="2071"/>
      <c r="Z83" s="2071"/>
      <c r="AA83" s="2071"/>
      <c r="AB83" s="2071"/>
      <c r="AC83" s="2071"/>
      <c r="AD83" s="2071"/>
      <c r="AE83" s="2071"/>
      <c r="AF83" s="2071"/>
      <c r="AG83" s="2071"/>
      <c r="AH83" s="2072"/>
      <c r="AI83" s="1190"/>
      <c r="AJ83" s="2088" t="s">
        <v>2381</v>
      </c>
      <c r="AK83" s="2089"/>
      <c r="AL83" s="2089"/>
      <c r="AM83" s="2089"/>
      <c r="AN83" s="2089"/>
      <c r="AO83" s="2089"/>
      <c r="AP83" s="2089"/>
      <c r="AQ83" s="2089"/>
      <c r="AR83" s="2089"/>
      <c r="AS83" s="2089"/>
      <c r="AT83" s="2089"/>
      <c r="AU83" s="2089"/>
      <c r="AV83" s="2089"/>
      <c r="AW83" s="2089"/>
      <c r="AX83" s="2089"/>
      <c r="AY83" s="2092" t="s">
        <v>546</v>
      </c>
      <c r="AZ83" s="2092"/>
      <c r="BA83" s="2092"/>
      <c r="BB83" s="2093"/>
      <c r="BC83" s="1190"/>
      <c r="BD83" s="1190"/>
      <c r="BE83" s="1194"/>
      <c r="CK83" s="1188"/>
      <c r="CL83" s="1188"/>
      <c r="CM83" s="1188"/>
      <c r="CN83" s="1188"/>
      <c r="CO83" s="1188"/>
      <c r="CP83" s="1188"/>
    </row>
    <row r="84" spans="1:94" ht="15.75" customHeight="1">
      <c r="A84" s="1190"/>
      <c r="B84" s="2009"/>
      <c r="C84" s="2010"/>
      <c r="D84" s="2010"/>
      <c r="E84" s="2010"/>
      <c r="F84" s="2010"/>
      <c r="G84" s="2010"/>
      <c r="H84" s="2010"/>
      <c r="I84" s="2010" t="s">
        <v>2371</v>
      </c>
      <c r="J84" s="2010"/>
      <c r="K84" s="2010"/>
      <c r="L84" s="2010"/>
      <c r="M84" s="2010"/>
      <c r="N84" s="2010"/>
      <c r="O84" s="2010" t="s">
        <v>2347</v>
      </c>
      <c r="P84" s="2010"/>
      <c r="Q84" s="2010"/>
      <c r="R84" s="2010"/>
      <c r="S84" s="2010"/>
      <c r="T84" s="2010"/>
      <c r="U84" s="2010"/>
      <c r="V84" s="2096" t="s">
        <v>2346</v>
      </c>
      <c r="W84" s="2096"/>
      <c r="X84" s="2096"/>
      <c r="Y84" s="2096"/>
      <c r="Z84" s="2096"/>
      <c r="AA84" s="2096"/>
      <c r="AB84" s="2097" t="s">
        <v>2370</v>
      </c>
      <c r="AC84" s="2097"/>
      <c r="AD84" s="2097"/>
      <c r="AE84" s="2097"/>
      <c r="AF84" s="2097"/>
      <c r="AG84" s="2097"/>
      <c r="AH84" s="2098"/>
      <c r="AI84" s="1190"/>
      <c r="AJ84" s="2090"/>
      <c r="AK84" s="2091"/>
      <c r="AL84" s="2091"/>
      <c r="AM84" s="2091"/>
      <c r="AN84" s="2091"/>
      <c r="AO84" s="2091"/>
      <c r="AP84" s="2091"/>
      <c r="AQ84" s="2091"/>
      <c r="AR84" s="2091"/>
      <c r="AS84" s="2091"/>
      <c r="AT84" s="2091"/>
      <c r="AU84" s="2091"/>
      <c r="AV84" s="2091"/>
      <c r="AW84" s="2091"/>
      <c r="AX84" s="2091"/>
      <c r="AY84" s="2094"/>
      <c r="AZ84" s="2094"/>
      <c r="BA84" s="2094"/>
      <c r="BB84" s="2095"/>
      <c r="BC84" s="1190"/>
      <c r="BD84" s="1190"/>
      <c r="BE84" s="1194"/>
      <c r="CK84" s="1188"/>
      <c r="CL84" s="1188"/>
      <c r="CM84" s="1188"/>
      <c r="CN84" s="1188"/>
      <c r="CO84" s="1188"/>
      <c r="CP84" s="1188"/>
    </row>
    <row r="85" spans="1:94" ht="15.75" customHeight="1">
      <c r="A85" s="1190"/>
      <c r="B85" s="2009"/>
      <c r="C85" s="2010"/>
      <c r="D85" s="2010"/>
      <c r="E85" s="2010"/>
      <c r="F85" s="2010"/>
      <c r="G85" s="2010"/>
      <c r="H85" s="2010"/>
      <c r="I85" s="2010"/>
      <c r="J85" s="2010"/>
      <c r="K85" s="2010"/>
      <c r="L85" s="2010"/>
      <c r="M85" s="2010"/>
      <c r="N85" s="2010"/>
      <c r="O85" s="2010"/>
      <c r="P85" s="2010"/>
      <c r="Q85" s="2010"/>
      <c r="R85" s="2010"/>
      <c r="S85" s="2010"/>
      <c r="T85" s="2010"/>
      <c r="U85" s="2010"/>
      <c r="V85" s="2096"/>
      <c r="W85" s="2096"/>
      <c r="X85" s="2096"/>
      <c r="Y85" s="2096"/>
      <c r="Z85" s="2096"/>
      <c r="AA85" s="2096"/>
      <c r="AB85" s="2097"/>
      <c r="AC85" s="2097"/>
      <c r="AD85" s="2097"/>
      <c r="AE85" s="2097"/>
      <c r="AF85" s="2097"/>
      <c r="AG85" s="2097"/>
      <c r="AH85" s="2098"/>
      <c r="AI85" s="1190"/>
      <c r="AJ85" s="2090"/>
      <c r="AK85" s="2091"/>
      <c r="AL85" s="2091"/>
      <c r="AM85" s="2091"/>
      <c r="AN85" s="2091"/>
      <c r="AO85" s="2091"/>
      <c r="AP85" s="2091"/>
      <c r="AQ85" s="2091"/>
      <c r="AR85" s="2091"/>
      <c r="AS85" s="2091"/>
      <c r="AT85" s="2091"/>
      <c r="AU85" s="2091"/>
      <c r="AV85" s="2091"/>
      <c r="AW85" s="2091"/>
      <c r="AX85" s="2091"/>
      <c r="AY85" s="2094"/>
      <c r="AZ85" s="2094"/>
      <c r="BA85" s="2094"/>
      <c r="BB85" s="2095"/>
      <c r="BC85" s="1190"/>
      <c r="BD85" s="1190"/>
      <c r="BE85" s="1194"/>
      <c r="CK85" s="1188"/>
      <c r="CL85" s="1188"/>
      <c r="CM85" s="1188"/>
      <c r="CN85" s="1188"/>
      <c r="CO85" s="1188"/>
      <c r="CP85" s="1188"/>
    </row>
    <row r="86" spans="1:94" ht="15.75" customHeight="1">
      <c r="A86" s="1190"/>
      <c r="B86" s="2009" t="s">
        <v>2369</v>
      </c>
      <c r="C86" s="2010"/>
      <c r="D86" s="2010"/>
      <c r="E86" s="2010"/>
      <c r="F86" s="2010"/>
      <c r="G86" s="2010"/>
      <c r="H86" s="2010"/>
      <c r="I86" s="2086">
        <v>0</v>
      </c>
      <c r="J86" s="2086"/>
      <c r="K86" s="2086"/>
      <c r="L86" s="2086"/>
      <c r="M86" s="2086"/>
      <c r="N86" s="2086"/>
      <c r="O86" s="2086">
        <v>0</v>
      </c>
      <c r="P86" s="2086"/>
      <c r="Q86" s="2086"/>
      <c r="R86" s="2086"/>
      <c r="S86" s="2086"/>
      <c r="T86" s="2086"/>
      <c r="U86" s="2086"/>
      <c r="V86" s="2086">
        <v>0</v>
      </c>
      <c r="W86" s="2086"/>
      <c r="X86" s="2086"/>
      <c r="Y86" s="2086"/>
      <c r="Z86" s="2086"/>
      <c r="AA86" s="2086"/>
      <c r="AB86" s="2086">
        <v>0</v>
      </c>
      <c r="AC86" s="2086"/>
      <c r="AD86" s="2086"/>
      <c r="AE86" s="2086"/>
      <c r="AF86" s="2086"/>
      <c r="AG86" s="2086"/>
      <c r="AH86" s="2087"/>
      <c r="AI86" s="1190"/>
      <c r="AJ86" s="2090"/>
      <c r="AK86" s="2091"/>
      <c r="AL86" s="2091"/>
      <c r="AM86" s="2091"/>
      <c r="AN86" s="2091"/>
      <c r="AO86" s="2091"/>
      <c r="AP86" s="2091"/>
      <c r="AQ86" s="2091"/>
      <c r="AR86" s="2091"/>
      <c r="AS86" s="2091"/>
      <c r="AT86" s="2091"/>
      <c r="AU86" s="2091"/>
      <c r="AV86" s="2091"/>
      <c r="AW86" s="2091"/>
      <c r="AX86" s="2091"/>
      <c r="AY86" s="2094"/>
      <c r="AZ86" s="2094"/>
      <c r="BA86" s="2094"/>
      <c r="BB86" s="2095"/>
      <c r="BC86" s="1190"/>
      <c r="BD86" s="1190"/>
      <c r="BE86" s="1194"/>
      <c r="CK86" s="1188"/>
      <c r="CL86" s="1188"/>
      <c r="CM86" s="1188"/>
      <c r="CN86" s="1188"/>
      <c r="CO86" s="1188"/>
      <c r="CP86" s="1188"/>
    </row>
    <row r="87" spans="1:94" ht="15.75" customHeight="1">
      <c r="A87" s="1190"/>
      <c r="B87" s="2009" t="s">
        <v>2368</v>
      </c>
      <c r="C87" s="2010"/>
      <c r="D87" s="2010"/>
      <c r="E87" s="2010"/>
      <c r="F87" s="2010"/>
      <c r="G87" s="2010"/>
      <c r="H87" s="2010"/>
      <c r="I87" s="2086">
        <v>0</v>
      </c>
      <c r="J87" s="2086"/>
      <c r="K87" s="2086"/>
      <c r="L87" s="2086"/>
      <c r="M87" s="2086"/>
      <c r="N87" s="2086"/>
      <c r="O87" s="2086">
        <v>0</v>
      </c>
      <c r="P87" s="2086"/>
      <c r="Q87" s="2086"/>
      <c r="R87" s="2086"/>
      <c r="S87" s="2086"/>
      <c r="T87" s="2086"/>
      <c r="U87" s="2086"/>
      <c r="V87" s="2086">
        <v>0</v>
      </c>
      <c r="W87" s="2086"/>
      <c r="X87" s="2086"/>
      <c r="Y87" s="2086"/>
      <c r="Z87" s="2086"/>
      <c r="AA87" s="2086"/>
      <c r="AB87" s="2086">
        <v>0</v>
      </c>
      <c r="AC87" s="2086"/>
      <c r="AD87" s="2086"/>
      <c r="AE87" s="2086"/>
      <c r="AF87" s="2086"/>
      <c r="AG87" s="2086"/>
      <c r="AH87" s="2087"/>
      <c r="AI87" s="1190"/>
      <c r="AJ87" s="2075" t="s">
        <v>2375</v>
      </c>
      <c r="AK87" s="2076"/>
      <c r="AL87" s="2076"/>
      <c r="AM87" s="2076"/>
      <c r="AN87" s="2076"/>
      <c r="AO87" s="2076"/>
      <c r="AP87" s="2076"/>
      <c r="AQ87" s="2076"/>
      <c r="AR87" s="2076"/>
      <c r="AS87" s="2076"/>
      <c r="AT87" s="2076"/>
      <c r="AU87" s="2076"/>
      <c r="AV87" s="2076"/>
      <c r="AW87" s="2076"/>
      <c r="AX87" s="2076"/>
      <c r="AY87" s="2076"/>
      <c r="AZ87" s="2076"/>
      <c r="BA87" s="2076"/>
      <c r="BB87" s="2077"/>
      <c r="BC87" s="1190"/>
      <c r="BD87" s="1190"/>
      <c r="BE87" s="1194"/>
      <c r="CK87" s="1188"/>
      <c r="CL87" s="1188"/>
      <c r="CM87" s="1188"/>
      <c r="CN87" s="1188"/>
      <c r="CO87" s="1188"/>
      <c r="CP87" s="1188"/>
    </row>
    <row r="88" spans="1:94" ht="15.75" customHeight="1" thickBot="1">
      <c r="A88" s="1190"/>
      <c r="B88" s="2027" t="s">
        <v>2367</v>
      </c>
      <c r="C88" s="2028"/>
      <c r="D88" s="2028"/>
      <c r="E88" s="2028"/>
      <c r="F88" s="2028"/>
      <c r="G88" s="2028"/>
      <c r="H88" s="2028"/>
      <c r="I88" s="2101">
        <v>0</v>
      </c>
      <c r="J88" s="2101"/>
      <c r="K88" s="2101"/>
      <c r="L88" s="2101"/>
      <c r="M88" s="2101"/>
      <c r="N88" s="2101"/>
      <c r="O88" s="2101">
        <v>0</v>
      </c>
      <c r="P88" s="2101"/>
      <c r="Q88" s="2101"/>
      <c r="R88" s="2101"/>
      <c r="S88" s="2101"/>
      <c r="T88" s="2101"/>
      <c r="U88" s="2101"/>
      <c r="V88" s="2101">
        <v>0</v>
      </c>
      <c r="W88" s="2101"/>
      <c r="X88" s="2101"/>
      <c r="Y88" s="2101"/>
      <c r="Z88" s="2101"/>
      <c r="AA88" s="2101"/>
      <c r="AB88" s="2101">
        <v>0</v>
      </c>
      <c r="AC88" s="2101"/>
      <c r="AD88" s="2101"/>
      <c r="AE88" s="2101"/>
      <c r="AF88" s="2101"/>
      <c r="AG88" s="2101"/>
      <c r="AH88" s="2102"/>
      <c r="AI88" s="1190"/>
      <c r="AJ88" s="2078"/>
      <c r="AK88" s="2079"/>
      <c r="AL88" s="2079"/>
      <c r="AM88" s="2079"/>
      <c r="AN88" s="2079"/>
      <c r="AO88" s="2079"/>
      <c r="AP88" s="2079"/>
      <c r="AQ88" s="2079"/>
      <c r="AR88" s="2079"/>
      <c r="AS88" s="2079"/>
      <c r="AT88" s="2079"/>
      <c r="AU88" s="2079"/>
      <c r="AV88" s="2079"/>
      <c r="AW88" s="2079"/>
      <c r="AX88" s="2079"/>
      <c r="AY88" s="2079"/>
      <c r="AZ88" s="2079"/>
      <c r="BA88" s="2079"/>
      <c r="BB88" s="208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7"/>
      <c r="G92" s="2058"/>
      <c r="H92" s="2058"/>
      <c r="I92" s="2058"/>
      <c r="J92" s="2058"/>
      <c r="K92" s="2058"/>
      <c r="L92" s="2058"/>
      <c r="M92" s="2058"/>
      <c r="N92" s="2058"/>
      <c r="O92" s="2058"/>
      <c r="P92" s="2058"/>
      <c r="Q92" s="2058"/>
      <c r="R92" s="2058"/>
      <c r="S92" s="2058"/>
      <c r="T92" s="205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0" t="s">
        <v>2379</v>
      </c>
      <c r="C93" s="2061"/>
      <c r="D93" s="2061"/>
      <c r="E93" s="2061"/>
      <c r="F93" s="2061"/>
      <c r="G93" s="2061"/>
      <c r="H93" s="2061"/>
      <c r="I93" s="2061"/>
      <c r="J93" s="2061"/>
      <c r="K93" s="2061"/>
      <c r="L93" s="2061"/>
      <c r="M93" s="2061"/>
      <c r="N93" s="2061"/>
      <c r="O93" s="2061"/>
      <c r="P93" s="2061"/>
      <c r="Q93" s="2099"/>
      <c r="R93" s="2062" t="str">
        <f>IFERROR(INDEX(BR96:BR98,MATCH(F92,$BQ$96:$BQ$98,0))/SUM($BR$96:$BR$98),"")</f>
        <v/>
      </c>
      <c r="S93" s="2063"/>
      <c r="T93" s="206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5" t="s">
        <v>2378</v>
      </c>
      <c r="C94" s="2066"/>
      <c r="D94" s="2066"/>
      <c r="E94" s="2066"/>
      <c r="F94" s="2066"/>
      <c r="G94" s="2066"/>
      <c r="H94" s="2066"/>
      <c r="I94" s="2066"/>
      <c r="J94" s="2066"/>
      <c r="K94" s="2066"/>
      <c r="L94" s="2066"/>
      <c r="M94" s="2066"/>
      <c r="N94" s="2066"/>
      <c r="O94" s="2066"/>
      <c r="P94" s="2066"/>
      <c r="Q94" s="2100"/>
      <c r="R94" s="2067" t="s">
        <v>2189</v>
      </c>
      <c r="S94" s="2068"/>
      <c r="T94" s="206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0" t="s">
        <v>2377</v>
      </c>
      <c r="C96" s="2071"/>
      <c r="D96" s="2071"/>
      <c r="E96" s="2071"/>
      <c r="F96" s="2071"/>
      <c r="G96" s="2071"/>
      <c r="H96" s="2071"/>
      <c r="I96" s="2071"/>
      <c r="J96" s="2071"/>
      <c r="K96" s="2071"/>
      <c r="L96" s="2071"/>
      <c r="M96" s="2071"/>
      <c r="N96" s="2071"/>
      <c r="O96" s="2071"/>
      <c r="P96" s="2071"/>
      <c r="Q96" s="2071"/>
      <c r="R96" s="2071"/>
      <c r="S96" s="2071"/>
      <c r="T96" s="2071"/>
      <c r="U96" s="2071"/>
      <c r="V96" s="2071"/>
      <c r="W96" s="2071"/>
      <c r="X96" s="2071"/>
      <c r="Y96" s="2071"/>
      <c r="Z96" s="2071"/>
      <c r="AA96" s="2071"/>
      <c r="AB96" s="2071"/>
      <c r="AC96" s="2071"/>
      <c r="AD96" s="2071"/>
      <c r="AE96" s="2071"/>
      <c r="AF96" s="2071"/>
      <c r="AG96" s="2071"/>
      <c r="AH96" s="2072"/>
      <c r="AI96" s="1190"/>
      <c r="AJ96" s="2088" t="s">
        <v>2376</v>
      </c>
      <c r="AK96" s="2089"/>
      <c r="AL96" s="2089"/>
      <c r="AM96" s="2089"/>
      <c r="AN96" s="2089"/>
      <c r="AO96" s="2089"/>
      <c r="AP96" s="2089"/>
      <c r="AQ96" s="2089"/>
      <c r="AR96" s="2089"/>
      <c r="AS96" s="2089"/>
      <c r="AT96" s="2089"/>
      <c r="AU96" s="2089"/>
      <c r="AV96" s="2089"/>
      <c r="AW96" s="2089"/>
      <c r="AX96" s="2089"/>
      <c r="AY96" s="2092" t="s">
        <v>546</v>
      </c>
      <c r="AZ96" s="2092"/>
      <c r="BA96" s="2092"/>
      <c r="BB96" s="2093"/>
      <c r="BC96" s="1190"/>
      <c r="BD96" s="1190"/>
      <c r="BE96" s="1194"/>
      <c r="BQ96" s="1256" t="str">
        <f>Application!M243&amp;IF(TRIM(Application!AA249)&lt;&gt;""," ("&amp;Application!AA249&amp;")","")</f>
        <v>Kingdom BF LLC (Kingdom Development, Inc.)</v>
      </c>
      <c r="BR96" s="1259">
        <f>Application!AH246</f>
        <v>1E-3</v>
      </c>
      <c r="CM96" s="1188"/>
      <c r="CN96" s="1188"/>
      <c r="CO96" s="1188"/>
      <c r="CP96" s="1188"/>
    </row>
    <row r="97" spans="1:94" ht="15.75" customHeight="1">
      <c r="A97" s="1190"/>
      <c r="B97" s="2009"/>
      <c r="C97" s="2010"/>
      <c r="D97" s="2010"/>
      <c r="E97" s="2010"/>
      <c r="F97" s="2010"/>
      <c r="G97" s="2010"/>
      <c r="H97" s="2010"/>
      <c r="I97" s="2010" t="s">
        <v>2371</v>
      </c>
      <c r="J97" s="2010"/>
      <c r="K97" s="2010"/>
      <c r="L97" s="2010"/>
      <c r="M97" s="2010"/>
      <c r="N97" s="2010"/>
      <c r="O97" s="2010" t="s">
        <v>2347</v>
      </c>
      <c r="P97" s="2010"/>
      <c r="Q97" s="2010"/>
      <c r="R97" s="2010"/>
      <c r="S97" s="2010"/>
      <c r="T97" s="2010"/>
      <c r="U97" s="2010"/>
      <c r="V97" s="2096" t="s">
        <v>2346</v>
      </c>
      <c r="W97" s="2096"/>
      <c r="X97" s="2096"/>
      <c r="Y97" s="2096"/>
      <c r="Z97" s="2096"/>
      <c r="AA97" s="2096"/>
      <c r="AB97" s="2097" t="s">
        <v>2370</v>
      </c>
      <c r="AC97" s="2097"/>
      <c r="AD97" s="2097"/>
      <c r="AE97" s="2097"/>
      <c r="AF97" s="2097"/>
      <c r="AG97" s="2097"/>
      <c r="AH97" s="2098"/>
      <c r="AI97" s="1190"/>
      <c r="AJ97" s="2090"/>
      <c r="AK97" s="2091"/>
      <c r="AL97" s="2091"/>
      <c r="AM97" s="2091"/>
      <c r="AN97" s="2091"/>
      <c r="AO97" s="2091"/>
      <c r="AP97" s="2091"/>
      <c r="AQ97" s="2091"/>
      <c r="AR97" s="2091"/>
      <c r="AS97" s="2091"/>
      <c r="AT97" s="2091"/>
      <c r="AU97" s="2091"/>
      <c r="AV97" s="2091"/>
      <c r="AW97" s="2091"/>
      <c r="AX97" s="2091"/>
      <c r="AY97" s="2094"/>
      <c r="AZ97" s="2094"/>
      <c r="BA97" s="2094"/>
      <c r="BB97" s="2095"/>
      <c r="BC97" s="1190"/>
      <c r="BD97" s="1190"/>
      <c r="BE97" s="1194"/>
      <c r="BQ97" s="1256" t="str">
        <f>Application!M251&amp;IF(TRIM(Application!AA257)&lt;&gt;""," ("&amp;Application!AA257&amp;")","")</f>
        <v>Sky Castle Partners II, LLC (Gramercy Park Partners, Inc.)</v>
      </c>
      <c r="BR97" s="1259">
        <f>Application!AH254</f>
        <v>8.0000000000000002E-3</v>
      </c>
      <c r="CM97" s="1188"/>
      <c r="CN97" s="1188"/>
      <c r="CO97" s="1188"/>
      <c r="CP97" s="1188"/>
    </row>
    <row r="98" spans="1:94" ht="15.75" customHeight="1">
      <c r="A98" s="1190"/>
      <c r="B98" s="2009"/>
      <c r="C98" s="2010"/>
      <c r="D98" s="2010"/>
      <c r="E98" s="2010"/>
      <c r="F98" s="2010"/>
      <c r="G98" s="2010"/>
      <c r="H98" s="2010"/>
      <c r="I98" s="2010"/>
      <c r="J98" s="2010"/>
      <c r="K98" s="2010"/>
      <c r="L98" s="2010"/>
      <c r="M98" s="2010"/>
      <c r="N98" s="2010"/>
      <c r="O98" s="2010"/>
      <c r="P98" s="2010"/>
      <c r="Q98" s="2010"/>
      <c r="R98" s="2010"/>
      <c r="S98" s="2010"/>
      <c r="T98" s="2010"/>
      <c r="U98" s="2010"/>
      <c r="V98" s="2096"/>
      <c r="W98" s="2096"/>
      <c r="X98" s="2096"/>
      <c r="Y98" s="2096"/>
      <c r="Z98" s="2096"/>
      <c r="AA98" s="2096"/>
      <c r="AB98" s="2097"/>
      <c r="AC98" s="2097"/>
      <c r="AD98" s="2097"/>
      <c r="AE98" s="2097"/>
      <c r="AF98" s="2097"/>
      <c r="AG98" s="2097"/>
      <c r="AH98" s="2098"/>
      <c r="AI98" s="1190"/>
      <c r="AJ98" s="2090"/>
      <c r="AK98" s="2091"/>
      <c r="AL98" s="2091"/>
      <c r="AM98" s="2091"/>
      <c r="AN98" s="2091"/>
      <c r="AO98" s="2091"/>
      <c r="AP98" s="2091"/>
      <c r="AQ98" s="2091"/>
      <c r="AR98" s="2091"/>
      <c r="AS98" s="2091"/>
      <c r="AT98" s="2091"/>
      <c r="AU98" s="2091"/>
      <c r="AV98" s="2091"/>
      <c r="AW98" s="2091"/>
      <c r="AX98" s="2091"/>
      <c r="AY98" s="2094"/>
      <c r="AZ98" s="2094"/>
      <c r="BA98" s="2094"/>
      <c r="BB98" s="2095"/>
      <c r="BC98" s="1190"/>
      <c r="BD98" s="1190"/>
      <c r="BE98" s="1194"/>
      <c r="BQ98" s="1256" t="str">
        <f>Application!M259&amp;IF(TRIM(Application!AA265)&lt;&gt;""," ("&amp;Application!AA265&amp;")","")</f>
        <v>Spada Development, LLC</v>
      </c>
      <c r="BR98" s="1259">
        <f>Application!AH262</f>
        <v>1E-3</v>
      </c>
      <c r="CM98" s="1188"/>
      <c r="CN98" s="1188"/>
      <c r="CO98" s="1188"/>
      <c r="CP98" s="1188"/>
    </row>
    <row r="99" spans="1:94" ht="15.75" customHeight="1">
      <c r="A99" s="1190"/>
      <c r="B99" s="2009" t="s">
        <v>2369</v>
      </c>
      <c r="C99" s="2010"/>
      <c r="D99" s="2010"/>
      <c r="E99" s="2010"/>
      <c r="F99" s="2010"/>
      <c r="G99" s="2010"/>
      <c r="H99" s="2010"/>
      <c r="I99" s="2086">
        <v>0</v>
      </c>
      <c r="J99" s="2086"/>
      <c r="K99" s="2086"/>
      <c r="L99" s="2086"/>
      <c r="M99" s="2086"/>
      <c r="N99" s="2086"/>
      <c r="O99" s="2086">
        <v>0</v>
      </c>
      <c r="P99" s="2086"/>
      <c r="Q99" s="2086"/>
      <c r="R99" s="2086"/>
      <c r="S99" s="2086"/>
      <c r="T99" s="2086"/>
      <c r="U99" s="2086"/>
      <c r="V99" s="2086">
        <v>0</v>
      </c>
      <c r="W99" s="2086"/>
      <c r="X99" s="2086"/>
      <c r="Y99" s="2086"/>
      <c r="Z99" s="2086"/>
      <c r="AA99" s="2086"/>
      <c r="AB99" s="2086">
        <v>0</v>
      </c>
      <c r="AC99" s="2086"/>
      <c r="AD99" s="2086"/>
      <c r="AE99" s="2086"/>
      <c r="AF99" s="2086"/>
      <c r="AG99" s="2086"/>
      <c r="AH99" s="2087"/>
      <c r="AI99" s="1190"/>
      <c r="AJ99" s="2090"/>
      <c r="AK99" s="2091"/>
      <c r="AL99" s="2091"/>
      <c r="AM99" s="2091"/>
      <c r="AN99" s="2091"/>
      <c r="AO99" s="2091"/>
      <c r="AP99" s="2091"/>
      <c r="AQ99" s="2091"/>
      <c r="AR99" s="2091"/>
      <c r="AS99" s="2091"/>
      <c r="AT99" s="2091"/>
      <c r="AU99" s="2091"/>
      <c r="AV99" s="2091"/>
      <c r="AW99" s="2091"/>
      <c r="AX99" s="2091"/>
      <c r="AY99" s="2094"/>
      <c r="AZ99" s="2094"/>
      <c r="BA99" s="2094"/>
      <c r="BB99" s="2095"/>
      <c r="BC99" s="1190"/>
      <c r="BD99" s="1190"/>
      <c r="BE99" s="1194"/>
      <c r="CM99" s="1188"/>
      <c r="CN99" s="1188"/>
      <c r="CO99" s="1188"/>
      <c r="CP99" s="1188"/>
    </row>
    <row r="100" spans="1:94" ht="15.75" customHeight="1">
      <c r="A100" s="1190"/>
      <c r="B100" s="2009" t="s">
        <v>2368</v>
      </c>
      <c r="C100" s="2010"/>
      <c r="D100" s="2010"/>
      <c r="E100" s="2010"/>
      <c r="F100" s="2010"/>
      <c r="G100" s="2010"/>
      <c r="H100" s="2010"/>
      <c r="I100" s="2086">
        <v>0</v>
      </c>
      <c r="J100" s="2086"/>
      <c r="K100" s="2086"/>
      <c r="L100" s="2086"/>
      <c r="M100" s="2086"/>
      <c r="N100" s="2086"/>
      <c r="O100" s="2086">
        <v>0</v>
      </c>
      <c r="P100" s="2086"/>
      <c r="Q100" s="2086"/>
      <c r="R100" s="2086"/>
      <c r="S100" s="2086"/>
      <c r="T100" s="2086"/>
      <c r="U100" s="2086"/>
      <c r="V100" s="2086">
        <v>0</v>
      </c>
      <c r="W100" s="2086"/>
      <c r="X100" s="2086"/>
      <c r="Y100" s="2086"/>
      <c r="Z100" s="2086"/>
      <c r="AA100" s="2086"/>
      <c r="AB100" s="2086">
        <v>0</v>
      </c>
      <c r="AC100" s="2086"/>
      <c r="AD100" s="2086"/>
      <c r="AE100" s="2086"/>
      <c r="AF100" s="2086"/>
      <c r="AG100" s="2086"/>
      <c r="AH100" s="2087"/>
      <c r="AI100" s="1190"/>
      <c r="AJ100" s="2075" t="s">
        <v>2375</v>
      </c>
      <c r="AK100" s="2076"/>
      <c r="AL100" s="2076"/>
      <c r="AM100" s="2076"/>
      <c r="AN100" s="2076"/>
      <c r="AO100" s="2076"/>
      <c r="AP100" s="2076"/>
      <c r="AQ100" s="2076"/>
      <c r="AR100" s="2076"/>
      <c r="AS100" s="2076"/>
      <c r="AT100" s="2076"/>
      <c r="AU100" s="2076"/>
      <c r="AV100" s="2076"/>
      <c r="AW100" s="2076"/>
      <c r="AX100" s="2076"/>
      <c r="AY100" s="2076"/>
      <c r="AZ100" s="2076"/>
      <c r="BA100" s="2076"/>
      <c r="BB100" s="2077"/>
      <c r="BC100" s="1190"/>
      <c r="BD100" s="1190"/>
      <c r="BE100" s="1194"/>
      <c r="CM100" s="1188"/>
      <c r="CN100" s="1188"/>
      <c r="CO100" s="1188"/>
      <c r="CP100" s="1188"/>
    </row>
    <row r="101" spans="1:94" ht="15.75" customHeight="1" thickBot="1">
      <c r="A101" s="1190"/>
      <c r="B101" s="2027" t="s">
        <v>2367</v>
      </c>
      <c r="C101" s="2028"/>
      <c r="D101" s="2028"/>
      <c r="E101" s="2028"/>
      <c r="F101" s="2028"/>
      <c r="G101" s="2028"/>
      <c r="H101" s="2028"/>
      <c r="I101" s="2101">
        <v>0</v>
      </c>
      <c r="J101" s="2101"/>
      <c r="K101" s="2101"/>
      <c r="L101" s="2101"/>
      <c r="M101" s="2101"/>
      <c r="N101" s="2101"/>
      <c r="O101" s="2101">
        <v>0</v>
      </c>
      <c r="P101" s="2101"/>
      <c r="Q101" s="2101"/>
      <c r="R101" s="2101"/>
      <c r="S101" s="2101"/>
      <c r="T101" s="2101"/>
      <c r="U101" s="2101"/>
      <c r="V101" s="2101">
        <v>0</v>
      </c>
      <c r="W101" s="2101"/>
      <c r="X101" s="2101"/>
      <c r="Y101" s="2101"/>
      <c r="Z101" s="2101"/>
      <c r="AA101" s="2101"/>
      <c r="AB101" s="2101">
        <v>0</v>
      </c>
      <c r="AC101" s="2101"/>
      <c r="AD101" s="2101"/>
      <c r="AE101" s="2101"/>
      <c r="AF101" s="2101"/>
      <c r="AG101" s="2101"/>
      <c r="AH101" s="2102"/>
      <c r="AI101" s="1190"/>
      <c r="AJ101" s="2078"/>
      <c r="AK101" s="2079"/>
      <c r="AL101" s="2079"/>
      <c r="AM101" s="2079"/>
      <c r="AN101" s="2079"/>
      <c r="AO101" s="2079"/>
      <c r="AP101" s="2079"/>
      <c r="AQ101" s="2079"/>
      <c r="AR101" s="2079"/>
      <c r="AS101" s="2079"/>
      <c r="AT101" s="2079"/>
      <c r="AU101" s="2079"/>
      <c r="AV101" s="2079"/>
      <c r="AW101" s="2079"/>
      <c r="AX101" s="2079"/>
      <c r="AY101" s="2079"/>
      <c r="AZ101" s="2079"/>
      <c r="BA101" s="2079"/>
      <c r="BB101" s="2080"/>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3"/>
      <c r="G104" s="2104"/>
      <c r="H104" s="2104"/>
      <c r="I104" s="2104"/>
      <c r="J104" s="2104"/>
      <c r="K104" s="2104"/>
      <c r="L104" s="2104"/>
      <c r="M104" s="2104"/>
      <c r="N104" s="2104"/>
      <c r="O104" s="2104"/>
      <c r="P104" s="2104"/>
      <c r="Q104" s="2104"/>
      <c r="R104" s="210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7" t="str">
        <f>IFERROR(INDEX(BR96:BR98,MATCH(F104,$BQ$96:$BQ$98,0))/SUM($BR$96:$BR$98),"")</f>
        <v/>
      </c>
      <c r="P105" s="2068"/>
      <c r="Q105" s="2068"/>
      <c r="R105" s="206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5" t="s">
        <v>2372</v>
      </c>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10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9"/>
      <c r="C108" s="2010"/>
      <c r="D108" s="2010"/>
      <c r="E108" s="2010"/>
      <c r="F108" s="2010"/>
      <c r="G108" s="2010"/>
      <c r="H108" s="2010"/>
      <c r="I108" s="2010" t="s">
        <v>2371</v>
      </c>
      <c r="J108" s="2010"/>
      <c r="K108" s="2010"/>
      <c r="L108" s="2010"/>
      <c r="M108" s="2010"/>
      <c r="N108" s="2010"/>
      <c r="O108" s="2010" t="s">
        <v>2347</v>
      </c>
      <c r="P108" s="2010"/>
      <c r="Q108" s="2010"/>
      <c r="R108" s="2010"/>
      <c r="S108" s="2010"/>
      <c r="T108" s="2010"/>
      <c r="U108" s="2010"/>
      <c r="V108" s="2096" t="s">
        <v>2346</v>
      </c>
      <c r="W108" s="2096"/>
      <c r="X108" s="2096"/>
      <c r="Y108" s="2096"/>
      <c r="Z108" s="2096"/>
      <c r="AA108" s="2096"/>
      <c r="AB108" s="2097" t="s">
        <v>2370</v>
      </c>
      <c r="AC108" s="2097"/>
      <c r="AD108" s="2097"/>
      <c r="AE108" s="2097"/>
      <c r="AF108" s="2097"/>
      <c r="AG108" s="2097"/>
      <c r="AH108" s="209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9"/>
      <c r="C109" s="2010"/>
      <c r="D109" s="2010"/>
      <c r="E109" s="2010"/>
      <c r="F109" s="2010"/>
      <c r="G109" s="2010"/>
      <c r="H109" s="2010"/>
      <c r="I109" s="2010"/>
      <c r="J109" s="2010"/>
      <c r="K109" s="2010"/>
      <c r="L109" s="2010"/>
      <c r="M109" s="2010"/>
      <c r="N109" s="2010"/>
      <c r="O109" s="2010"/>
      <c r="P109" s="2010"/>
      <c r="Q109" s="2010"/>
      <c r="R109" s="2010"/>
      <c r="S109" s="2010"/>
      <c r="T109" s="2010"/>
      <c r="U109" s="2010"/>
      <c r="V109" s="2096"/>
      <c r="W109" s="2096"/>
      <c r="X109" s="2096"/>
      <c r="Y109" s="2096"/>
      <c r="Z109" s="2096"/>
      <c r="AA109" s="2096"/>
      <c r="AB109" s="2097"/>
      <c r="AC109" s="2097"/>
      <c r="AD109" s="2097"/>
      <c r="AE109" s="2097"/>
      <c r="AF109" s="2097"/>
      <c r="AG109" s="2097"/>
      <c r="AH109" s="209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9" t="s">
        <v>2369</v>
      </c>
      <c r="C110" s="2010"/>
      <c r="D110" s="2010"/>
      <c r="E110" s="2010"/>
      <c r="F110" s="2010"/>
      <c r="G110" s="2010"/>
      <c r="H110" s="2010"/>
      <c r="I110" s="2086">
        <v>0</v>
      </c>
      <c r="J110" s="2086"/>
      <c r="K110" s="2086"/>
      <c r="L110" s="2086"/>
      <c r="M110" s="2086"/>
      <c r="N110" s="2086"/>
      <c r="O110" s="2086">
        <v>0</v>
      </c>
      <c r="P110" s="2086"/>
      <c r="Q110" s="2086"/>
      <c r="R110" s="2086"/>
      <c r="S110" s="2086"/>
      <c r="T110" s="2086"/>
      <c r="U110" s="2086"/>
      <c r="V110" s="2086">
        <v>0</v>
      </c>
      <c r="W110" s="2086"/>
      <c r="X110" s="2086"/>
      <c r="Y110" s="2086"/>
      <c r="Z110" s="2086"/>
      <c r="AA110" s="2086"/>
      <c r="AB110" s="2086">
        <v>0</v>
      </c>
      <c r="AC110" s="2086"/>
      <c r="AD110" s="2086"/>
      <c r="AE110" s="2086"/>
      <c r="AF110" s="2086"/>
      <c r="AG110" s="2086"/>
      <c r="AH110" s="208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9" t="s">
        <v>2368</v>
      </c>
      <c r="C111" s="2010"/>
      <c r="D111" s="2010"/>
      <c r="E111" s="2010"/>
      <c r="F111" s="2010"/>
      <c r="G111" s="2010"/>
      <c r="H111" s="2010"/>
      <c r="I111" s="2086">
        <v>0</v>
      </c>
      <c r="J111" s="2086"/>
      <c r="K111" s="2086"/>
      <c r="L111" s="2086"/>
      <c r="M111" s="2086"/>
      <c r="N111" s="2086"/>
      <c r="O111" s="2086">
        <v>0</v>
      </c>
      <c r="P111" s="2086"/>
      <c r="Q111" s="2086"/>
      <c r="R111" s="2086"/>
      <c r="S111" s="2086"/>
      <c r="T111" s="2086"/>
      <c r="U111" s="2086"/>
      <c r="V111" s="2086">
        <v>0</v>
      </c>
      <c r="W111" s="2086"/>
      <c r="X111" s="2086"/>
      <c r="Y111" s="2086"/>
      <c r="Z111" s="2086"/>
      <c r="AA111" s="2086"/>
      <c r="AB111" s="2086">
        <v>0</v>
      </c>
      <c r="AC111" s="2086"/>
      <c r="AD111" s="2086"/>
      <c r="AE111" s="2086"/>
      <c r="AF111" s="2086"/>
      <c r="AG111" s="2086"/>
      <c r="AH111" s="208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7" t="s">
        <v>2367</v>
      </c>
      <c r="C112" s="2028"/>
      <c r="D112" s="2028"/>
      <c r="E112" s="2028"/>
      <c r="F112" s="2028"/>
      <c r="G112" s="2028"/>
      <c r="H112" s="2028"/>
      <c r="I112" s="2101">
        <v>0</v>
      </c>
      <c r="J112" s="2101"/>
      <c r="K112" s="2101"/>
      <c r="L112" s="2101"/>
      <c r="M112" s="2101"/>
      <c r="N112" s="2101"/>
      <c r="O112" s="2101">
        <v>0</v>
      </c>
      <c r="P112" s="2101"/>
      <c r="Q112" s="2101"/>
      <c r="R112" s="2101"/>
      <c r="S112" s="2101"/>
      <c r="T112" s="2101"/>
      <c r="U112" s="2101"/>
      <c r="V112" s="2101">
        <v>0</v>
      </c>
      <c r="W112" s="2101"/>
      <c r="X112" s="2101"/>
      <c r="Y112" s="2101"/>
      <c r="Z112" s="2101"/>
      <c r="AA112" s="2101"/>
      <c r="AB112" s="2101">
        <v>0</v>
      </c>
      <c r="AC112" s="2101"/>
      <c r="AD112" s="2101"/>
      <c r="AE112" s="2101"/>
      <c r="AF112" s="2101"/>
      <c r="AG112" s="2101"/>
      <c r="AH112" s="210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3"/>
      <c r="G115" s="2104"/>
      <c r="H115" s="2104"/>
      <c r="I115" s="2104"/>
      <c r="J115" s="2104"/>
      <c r="K115" s="2104"/>
      <c r="L115" s="2104"/>
      <c r="M115" s="2104"/>
      <c r="N115" s="2104"/>
      <c r="O115" s="2104"/>
      <c r="P115" s="2104"/>
      <c r="Q115" s="2104"/>
      <c r="R115" s="210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5" t="s">
        <v>2365</v>
      </c>
      <c r="C117" s="2116"/>
      <c r="D117" s="2116"/>
      <c r="E117" s="2116"/>
      <c r="F117" s="2116"/>
      <c r="G117" s="2116"/>
      <c r="H117" s="2116"/>
      <c r="I117" s="2116"/>
      <c r="J117" s="2116"/>
      <c r="K117" s="2116"/>
      <c r="L117" s="2116"/>
      <c r="M117" s="2116"/>
      <c r="N117" s="2116"/>
      <c r="O117" s="2116"/>
      <c r="P117" s="2116"/>
      <c r="Q117" s="2116"/>
      <c r="R117" s="2116"/>
      <c r="S117" s="2116"/>
      <c r="T117" s="2116"/>
      <c r="U117" s="2119" t="s">
        <v>546</v>
      </c>
      <c r="V117" s="2119"/>
      <c r="W117" s="2119"/>
      <c r="X117" s="212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3" t="s">
        <v>2365</v>
      </c>
      <c r="C121" s="2124"/>
      <c r="D121" s="2124"/>
      <c r="E121" s="2124"/>
      <c r="F121" s="2124"/>
      <c r="G121" s="2124"/>
      <c r="H121" s="2124"/>
      <c r="I121" s="2124"/>
      <c r="J121" s="2124"/>
      <c r="K121" s="2124"/>
      <c r="L121" s="2124"/>
      <c r="M121" s="2124"/>
      <c r="N121" s="2124"/>
      <c r="O121" s="2124"/>
      <c r="P121" s="2124"/>
      <c r="Q121" s="2124"/>
      <c r="R121" s="2124"/>
      <c r="S121" s="2124"/>
      <c r="T121" s="2124"/>
      <c r="U121" s="2127" t="s">
        <v>546</v>
      </c>
      <c r="V121" s="2127"/>
      <c r="W121" s="2127"/>
      <c r="X121" s="212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8" t="s">
        <v>2363</v>
      </c>
      <c r="Y125" s="2089"/>
      <c r="Z125" s="2089"/>
      <c r="AA125" s="2089"/>
      <c r="AB125" s="2089"/>
      <c r="AC125" s="2089"/>
      <c r="AD125" s="2089"/>
      <c r="AE125" s="2089"/>
      <c r="AF125" s="2089"/>
      <c r="AG125" s="2089"/>
      <c r="AH125" s="2089"/>
      <c r="AI125" s="2089"/>
      <c r="AJ125" s="2089"/>
      <c r="AK125" s="2089"/>
      <c r="AL125" s="2089"/>
      <c r="AM125" s="2089"/>
      <c r="AN125" s="2089"/>
      <c r="AO125" s="2089"/>
      <c r="AP125" s="2089"/>
      <c r="AQ125" s="2089"/>
      <c r="AR125" s="2089"/>
      <c r="AS125" s="2089"/>
      <c r="AT125" s="2089"/>
      <c r="AU125" s="2089"/>
      <c r="AV125" s="2089"/>
      <c r="AW125" s="2089"/>
      <c r="AX125" s="2089"/>
      <c r="AY125" s="2089"/>
      <c r="AZ125" s="2089"/>
      <c r="BA125" s="2089"/>
      <c r="BB125" s="2089"/>
      <c r="BC125" s="2089"/>
      <c r="BD125" s="2131"/>
      <c r="BE125" s="1194"/>
    </row>
    <row r="126" spans="1:57" ht="15.75" customHeight="1">
      <c r="A126" s="1190"/>
      <c r="B126" s="2133" t="s">
        <v>1577</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0"/>
      <c r="W126" s="1190"/>
      <c r="X126" s="2090"/>
      <c r="Y126" s="2091"/>
      <c r="Z126" s="2091"/>
      <c r="AA126" s="2091"/>
      <c r="AB126" s="2091"/>
      <c r="AC126" s="2091"/>
      <c r="AD126" s="2091"/>
      <c r="AE126" s="2091"/>
      <c r="AF126" s="2091"/>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132"/>
      <c r="BE126" s="1194"/>
    </row>
    <row r="127" spans="1:57" ht="15.75" customHeight="1">
      <c r="A127" s="1190"/>
      <c r="B127" s="2151"/>
      <c r="C127" s="2152"/>
      <c r="D127" s="2152"/>
      <c r="E127" s="2152"/>
      <c r="F127" s="2152"/>
      <c r="G127" s="2152"/>
      <c r="H127" s="2152"/>
      <c r="I127" s="2010" t="s">
        <v>2362</v>
      </c>
      <c r="J127" s="2010"/>
      <c r="K127" s="2010"/>
      <c r="L127" s="2010"/>
      <c r="M127" s="2010"/>
      <c r="N127" s="2010"/>
      <c r="O127" s="2107" t="s">
        <v>2361</v>
      </c>
      <c r="P127" s="2107"/>
      <c r="Q127" s="2107"/>
      <c r="R127" s="2107"/>
      <c r="S127" s="2107"/>
      <c r="T127" s="2107"/>
      <c r="U127" s="2108"/>
      <c r="V127" s="1190"/>
      <c r="W127" s="1190"/>
      <c r="X127" s="2075" t="s">
        <v>2331</v>
      </c>
      <c r="Y127" s="2076"/>
      <c r="Z127" s="2076"/>
      <c r="AA127" s="2076"/>
      <c r="AB127" s="2076"/>
      <c r="AC127" s="2076"/>
      <c r="AD127" s="2076"/>
      <c r="AE127" s="2076"/>
      <c r="AF127" s="2076"/>
      <c r="AG127" s="2076"/>
      <c r="AH127" s="2076"/>
      <c r="AI127" s="2076"/>
      <c r="AJ127" s="2076"/>
      <c r="AK127" s="2076"/>
      <c r="AL127" s="2076"/>
      <c r="AM127" s="2076"/>
      <c r="AN127" s="2076"/>
      <c r="AO127" s="2076"/>
      <c r="AP127" s="2076"/>
      <c r="AQ127" s="2076"/>
      <c r="AR127" s="2076"/>
      <c r="AS127" s="2076"/>
      <c r="AT127" s="2076"/>
      <c r="AU127" s="2076"/>
      <c r="AV127" s="2076"/>
      <c r="AW127" s="2076"/>
      <c r="AX127" s="2076"/>
      <c r="AY127" s="2076"/>
      <c r="AZ127" s="2076"/>
      <c r="BA127" s="2076"/>
      <c r="BB127" s="2076"/>
      <c r="BC127" s="2076"/>
      <c r="BD127" s="2077"/>
      <c r="BE127" s="1194"/>
    </row>
    <row r="128" spans="1:57" ht="15.75" customHeight="1">
      <c r="A128" s="1190"/>
      <c r="B128" s="2109" t="s">
        <v>2345</v>
      </c>
      <c r="C128" s="2110"/>
      <c r="D128" s="2110"/>
      <c r="E128" s="2110"/>
      <c r="F128" s="2110"/>
      <c r="G128" s="2110"/>
      <c r="H128" s="2110"/>
      <c r="I128" s="2086">
        <v>0</v>
      </c>
      <c r="J128" s="2086"/>
      <c r="K128" s="2086"/>
      <c r="L128" s="2086"/>
      <c r="M128" s="2086"/>
      <c r="N128" s="2086"/>
      <c r="O128" s="2086">
        <v>0</v>
      </c>
      <c r="P128" s="2086"/>
      <c r="Q128" s="2086"/>
      <c r="R128" s="2086"/>
      <c r="S128" s="2086"/>
      <c r="T128" s="2086"/>
      <c r="U128" s="2087"/>
      <c r="V128" s="1190"/>
      <c r="W128" s="1190"/>
      <c r="X128" s="2075"/>
      <c r="Y128" s="2076"/>
      <c r="Z128" s="2076"/>
      <c r="AA128" s="2076"/>
      <c r="AB128" s="2076"/>
      <c r="AC128" s="2076"/>
      <c r="AD128" s="2076"/>
      <c r="AE128" s="2076"/>
      <c r="AF128" s="2076"/>
      <c r="AG128" s="2076"/>
      <c r="AH128" s="2076"/>
      <c r="AI128" s="2076"/>
      <c r="AJ128" s="2076"/>
      <c r="AK128" s="2076"/>
      <c r="AL128" s="2076"/>
      <c r="AM128" s="2076"/>
      <c r="AN128" s="2076"/>
      <c r="AO128" s="2076"/>
      <c r="AP128" s="2076"/>
      <c r="AQ128" s="2076"/>
      <c r="AR128" s="2076"/>
      <c r="AS128" s="2076"/>
      <c r="AT128" s="2076"/>
      <c r="AU128" s="2076"/>
      <c r="AV128" s="2076"/>
      <c r="AW128" s="2076"/>
      <c r="AX128" s="2076"/>
      <c r="AY128" s="2076"/>
      <c r="AZ128" s="2076"/>
      <c r="BA128" s="2076"/>
      <c r="BB128" s="2076"/>
      <c r="BC128" s="2076"/>
      <c r="BD128" s="2077"/>
      <c r="BE128" s="1194"/>
    </row>
    <row r="129" spans="1:57" ht="15.75" customHeight="1" thickBot="1">
      <c r="A129" s="1190"/>
      <c r="B129" s="2111" t="s">
        <v>2344</v>
      </c>
      <c r="C129" s="2112"/>
      <c r="D129" s="2112"/>
      <c r="E129" s="2112"/>
      <c r="F129" s="2112"/>
      <c r="G129" s="2112"/>
      <c r="H129" s="2112"/>
      <c r="I129" s="2101">
        <v>0</v>
      </c>
      <c r="J129" s="2101"/>
      <c r="K129" s="2101"/>
      <c r="L129" s="2101"/>
      <c r="M129" s="2101"/>
      <c r="N129" s="2101"/>
      <c r="O129" s="2113"/>
      <c r="P129" s="2113"/>
      <c r="Q129" s="2113"/>
      <c r="R129" s="2113"/>
      <c r="S129" s="2113"/>
      <c r="T129" s="2113"/>
      <c r="U129" s="2114"/>
      <c r="V129" s="1190"/>
      <c r="W129" s="1190"/>
      <c r="X129" s="2075"/>
      <c r="Y129" s="2076"/>
      <c r="Z129" s="2076"/>
      <c r="AA129" s="2076"/>
      <c r="AB129" s="2076"/>
      <c r="AC129" s="2076"/>
      <c r="AD129" s="2076"/>
      <c r="AE129" s="2076"/>
      <c r="AF129" s="2076"/>
      <c r="AG129" s="2076"/>
      <c r="AH129" s="2076"/>
      <c r="AI129" s="2076"/>
      <c r="AJ129" s="2076"/>
      <c r="AK129" s="2076"/>
      <c r="AL129" s="2076"/>
      <c r="AM129" s="2076"/>
      <c r="AN129" s="2076"/>
      <c r="AO129" s="2076"/>
      <c r="AP129" s="2076"/>
      <c r="AQ129" s="2076"/>
      <c r="AR129" s="2076"/>
      <c r="AS129" s="2076"/>
      <c r="AT129" s="2076"/>
      <c r="AU129" s="2076"/>
      <c r="AV129" s="2076"/>
      <c r="AW129" s="2076"/>
      <c r="AX129" s="2076"/>
      <c r="AY129" s="2076"/>
      <c r="AZ129" s="2076"/>
      <c r="BA129" s="2076"/>
      <c r="BB129" s="2076"/>
      <c r="BC129" s="2076"/>
      <c r="BD129" s="207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5"/>
      <c r="Y130" s="2076"/>
      <c r="Z130" s="2076"/>
      <c r="AA130" s="2076"/>
      <c r="AB130" s="2076"/>
      <c r="AC130" s="2076"/>
      <c r="AD130" s="2076"/>
      <c r="AE130" s="2076"/>
      <c r="AF130" s="2076"/>
      <c r="AG130" s="2076"/>
      <c r="AH130" s="2076"/>
      <c r="AI130" s="2076"/>
      <c r="AJ130" s="2076"/>
      <c r="AK130" s="2076"/>
      <c r="AL130" s="2076"/>
      <c r="AM130" s="2076"/>
      <c r="AN130" s="2076"/>
      <c r="AO130" s="2076"/>
      <c r="AP130" s="2076"/>
      <c r="AQ130" s="2076"/>
      <c r="AR130" s="2076"/>
      <c r="AS130" s="2076"/>
      <c r="AT130" s="2076"/>
      <c r="AU130" s="2076"/>
      <c r="AV130" s="2076"/>
      <c r="AW130" s="2076"/>
      <c r="AX130" s="2076"/>
      <c r="AY130" s="2076"/>
      <c r="AZ130" s="2076"/>
      <c r="BA130" s="2076"/>
      <c r="BB130" s="2076"/>
      <c r="BC130" s="2076"/>
      <c r="BD130" s="2077"/>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5"/>
      <c r="Y131" s="2076"/>
      <c r="Z131" s="2076"/>
      <c r="AA131" s="2076"/>
      <c r="AB131" s="2076"/>
      <c r="AC131" s="2076"/>
      <c r="AD131" s="2076"/>
      <c r="AE131" s="2076"/>
      <c r="AF131" s="2076"/>
      <c r="AG131" s="2076"/>
      <c r="AH131" s="2076"/>
      <c r="AI131" s="2076"/>
      <c r="AJ131" s="2076"/>
      <c r="AK131" s="2076"/>
      <c r="AL131" s="2076"/>
      <c r="AM131" s="2076"/>
      <c r="AN131" s="2076"/>
      <c r="AO131" s="2076"/>
      <c r="AP131" s="2076"/>
      <c r="AQ131" s="2076"/>
      <c r="AR131" s="2076"/>
      <c r="AS131" s="2076"/>
      <c r="AT131" s="2076"/>
      <c r="AU131" s="2076"/>
      <c r="AV131" s="2076"/>
      <c r="AW131" s="2076"/>
      <c r="AX131" s="2076"/>
      <c r="AY131" s="2076"/>
      <c r="AZ131" s="2076"/>
      <c r="BA131" s="2076"/>
      <c r="BB131" s="2076"/>
      <c r="BC131" s="2076"/>
      <c r="BD131" s="207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194"/>
    </row>
    <row r="133" spans="1:57" ht="15.75" customHeight="1">
      <c r="A133" s="1190"/>
      <c r="B133" s="1911" t="s">
        <v>2359</v>
      </c>
      <c r="C133" s="1912"/>
      <c r="D133" s="1912"/>
      <c r="E133" s="1912"/>
      <c r="F133" s="1912"/>
      <c r="G133" s="1912"/>
      <c r="H133" s="1912"/>
      <c r="I133" s="1912"/>
      <c r="J133" s="1912"/>
      <c r="K133" s="1912"/>
      <c r="L133" s="1912"/>
      <c r="M133" s="1912"/>
      <c r="N133" s="1912"/>
      <c r="O133" s="1912"/>
      <c r="P133" s="1912"/>
      <c r="Q133" s="1912"/>
      <c r="R133" s="1912"/>
      <c r="S133" s="1912"/>
      <c r="T133" s="1912"/>
      <c r="U133" s="1913"/>
      <c r="V133" s="1190"/>
      <c r="W133" s="1190"/>
      <c r="X133" s="2075"/>
      <c r="Y133" s="2076"/>
      <c r="Z133" s="2076"/>
      <c r="AA133" s="2076"/>
      <c r="AB133" s="2076"/>
      <c r="AC133" s="2076"/>
      <c r="AD133" s="2076"/>
      <c r="AE133" s="2076"/>
      <c r="AF133" s="2076"/>
      <c r="AG133" s="2076"/>
      <c r="AH133" s="2076"/>
      <c r="AI133" s="2076"/>
      <c r="AJ133" s="2076"/>
      <c r="AK133" s="2076"/>
      <c r="AL133" s="2076"/>
      <c r="AM133" s="2076"/>
      <c r="AN133" s="2076"/>
      <c r="AO133" s="2076"/>
      <c r="AP133" s="2076"/>
      <c r="AQ133" s="2076"/>
      <c r="AR133" s="2076"/>
      <c r="AS133" s="2076"/>
      <c r="AT133" s="2076"/>
      <c r="AU133" s="2076"/>
      <c r="AV133" s="2076"/>
      <c r="AW133" s="2076"/>
      <c r="AX133" s="2076"/>
      <c r="AY133" s="2076"/>
      <c r="AZ133" s="2076"/>
      <c r="BA133" s="2076"/>
      <c r="BB133" s="2076"/>
      <c r="BC133" s="2076"/>
      <c r="BD133" s="2077"/>
      <c r="BE133" s="1194"/>
    </row>
    <row r="134" spans="1:57" ht="15.75" customHeight="1">
      <c r="A134" s="1190"/>
      <c r="B134" s="2151"/>
      <c r="C134" s="2152"/>
      <c r="D134" s="2152"/>
      <c r="E134" s="2152"/>
      <c r="F134" s="2152"/>
      <c r="G134" s="2152"/>
      <c r="H134" s="2152"/>
      <c r="I134" s="2153" t="s">
        <v>2347</v>
      </c>
      <c r="J134" s="2153"/>
      <c r="K134" s="2153"/>
      <c r="L134" s="2153"/>
      <c r="M134" s="2153"/>
      <c r="N134" s="2153"/>
      <c r="O134" s="2153"/>
      <c r="P134" s="2153" t="s">
        <v>2346</v>
      </c>
      <c r="Q134" s="2153"/>
      <c r="R134" s="2153"/>
      <c r="S134" s="2153"/>
      <c r="T134" s="2153"/>
      <c r="U134" s="2154"/>
      <c r="V134" s="1190"/>
      <c r="W134" s="1190"/>
      <c r="X134" s="2075"/>
      <c r="Y134" s="2076"/>
      <c r="Z134" s="2076"/>
      <c r="AA134" s="2076"/>
      <c r="AB134" s="2076"/>
      <c r="AC134" s="2076"/>
      <c r="AD134" s="2076"/>
      <c r="AE134" s="2076"/>
      <c r="AF134" s="2076"/>
      <c r="AG134" s="2076"/>
      <c r="AH134" s="2076"/>
      <c r="AI134" s="2076"/>
      <c r="AJ134" s="2076"/>
      <c r="AK134" s="2076"/>
      <c r="AL134" s="2076"/>
      <c r="AM134" s="2076"/>
      <c r="AN134" s="2076"/>
      <c r="AO134" s="2076"/>
      <c r="AP134" s="2076"/>
      <c r="AQ134" s="2076"/>
      <c r="AR134" s="2076"/>
      <c r="AS134" s="2076"/>
      <c r="AT134" s="2076"/>
      <c r="AU134" s="2076"/>
      <c r="AV134" s="2076"/>
      <c r="AW134" s="2076"/>
      <c r="AX134" s="2076"/>
      <c r="AY134" s="2076"/>
      <c r="AZ134" s="2076"/>
      <c r="BA134" s="2076"/>
      <c r="BB134" s="2076"/>
      <c r="BC134" s="2076"/>
      <c r="BD134" s="2077"/>
      <c r="BE134" s="1194"/>
    </row>
    <row r="135" spans="1:57" ht="15.75" customHeight="1">
      <c r="A135" s="1190"/>
      <c r="B135" s="2151"/>
      <c r="C135" s="2152"/>
      <c r="D135" s="2152"/>
      <c r="E135" s="2152"/>
      <c r="F135" s="2152"/>
      <c r="G135" s="2152"/>
      <c r="H135" s="2152"/>
      <c r="I135" s="2153"/>
      <c r="J135" s="2153"/>
      <c r="K135" s="2153"/>
      <c r="L135" s="2153"/>
      <c r="M135" s="2153"/>
      <c r="N135" s="2153"/>
      <c r="O135" s="2153"/>
      <c r="P135" s="2153"/>
      <c r="Q135" s="2153"/>
      <c r="R135" s="2153"/>
      <c r="S135" s="2153"/>
      <c r="T135" s="2153"/>
      <c r="U135" s="2154"/>
      <c r="V135" s="1190"/>
      <c r="W135" s="1190"/>
      <c r="X135" s="2075"/>
      <c r="Y135" s="2076"/>
      <c r="Z135" s="2076"/>
      <c r="AA135" s="2076"/>
      <c r="AB135" s="2076"/>
      <c r="AC135" s="2076"/>
      <c r="AD135" s="2076"/>
      <c r="AE135" s="2076"/>
      <c r="AF135" s="2076"/>
      <c r="AG135" s="2076"/>
      <c r="AH135" s="2076"/>
      <c r="AI135" s="2076"/>
      <c r="AJ135" s="2076"/>
      <c r="AK135" s="2076"/>
      <c r="AL135" s="2076"/>
      <c r="AM135" s="2076"/>
      <c r="AN135" s="2076"/>
      <c r="AO135" s="2076"/>
      <c r="AP135" s="2076"/>
      <c r="AQ135" s="2076"/>
      <c r="AR135" s="2076"/>
      <c r="AS135" s="2076"/>
      <c r="AT135" s="2076"/>
      <c r="AU135" s="2076"/>
      <c r="AV135" s="2076"/>
      <c r="AW135" s="2076"/>
      <c r="AX135" s="2076"/>
      <c r="AY135" s="2076"/>
      <c r="AZ135" s="2076"/>
      <c r="BA135" s="2076"/>
      <c r="BB135" s="2076"/>
      <c r="BC135" s="2076"/>
      <c r="BD135" s="2077"/>
      <c r="BE135" s="1194"/>
    </row>
    <row r="136" spans="1:57" ht="15.75" customHeight="1">
      <c r="A136" s="1190"/>
      <c r="B136" s="2109" t="s">
        <v>2345</v>
      </c>
      <c r="C136" s="2110"/>
      <c r="D136" s="2110"/>
      <c r="E136" s="2110"/>
      <c r="F136" s="2110"/>
      <c r="G136" s="2110"/>
      <c r="H136" s="2110"/>
      <c r="I136" s="2086">
        <v>0</v>
      </c>
      <c r="J136" s="2086"/>
      <c r="K136" s="2086"/>
      <c r="L136" s="2086"/>
      <c r="M136" s="2086"/>
      <c r="N136" s="2086"/>
      <c r="O136" s="2086"/>
      <c r="P136" s="2086">
        <v>0</v>
      </c>
      <c r="Q136" s="2086"/>
      <c r="R136" s="2086"/>
      <c r="S136" s="2086"/>
      <c r="T136" s="2086"/>
      <c r="U136" s="2087"/>
      <c r="V136" s="1190"/>
      <c r="W136" s="1190"/>
      <c r="X136" s="2075"/>
      <c r="Y136" s="2076"/>
      <c r="Z136" s="2076"/>
      <c r="AA136" s="2076"/>
      <c r="AB136" s="2076"/>
      <c r="AC136" s="2076"/>
      <c r="AD136" s="2076"/>
      <c r="AE136" s="2076"/>
      <c r="AF136" s="2076"/>
      <c r="AG136" s="2076"/>
      <c r="AH136" s="2076"/>
      <c r="AI136" s="2076"/>
      <c r="AJ136" s="2076"/>
      <c r="AK136" s="2076"/>
      <c r="AL136" s="2076"/>
      <c r="AM136" s="2076"/>
      <c r="AN136" s="2076"/>
      <c r="AO136" s="2076"/>
      <c r="AP136" s="2076"/>
      <c r="AQ136" s="2076"/>
      <c r="AR136" s="2076"/>
      <c r="AS136" s="2076"/>
      <c r="AT136" s="2076"/>
      <c r="AU136" s="2076"/>
      <c r="AV136" s="2076"/>
      <c r="AW136" s="2076"/>
      <c r="AX136" s="2076"/>
      <c r="AY136" s="2076"/>
      <c r="AZ136" s="2076"/>
      <c r="BA136" s="2076"/>
      <c r="BB136" s="2076"/>
      <c r="BC136" s="2076"/>
      <c r="BD136" s="2077"/>
      <c r="BE136" s="1194"/>
    </row>
    <row r="137" spans="1:57" ht="15.75" customHeight="1" thickBot="1">
      <c r="A137" s="1190"/>
      <c r="B137" s="2111" t="s">
        <v>2344</v>
      </c>
      <c r="C137" s="2112"/>
      <c r="D137" s="2112"/>
      <c r="E137" s="2112"/>
      <c r="F137" s="2112"/>
      <c r="G137" s="2112"/>
      <c r="H137" s="2112"/>
      <c r="I137" s="2101">
        <v>0</v>
      </c>
      <c r="J137" s="2101"/>
      <c r="K137" s="2101"/>
      <c r="L137" s="2101"/>
      <c r="M137" s="2101"/>
      <c r="N137" s="2101"/>
      <c r="O137" s="2101"/>
      <c r="P137" s="2101">
        <v>0</v>
      </c>
      <c r="Q137" s="2101"/>
      <c r="R137" s="2101"/>
      <c r="S137" s="2101"/>
      <c r="T137" s="2101"/>
      <c r="U137" s="2102"/>
      <c r="V137" s="1190"/>
      <c r="W137" s="1190"/>
      <c r="X137" s="2078"/>
      <c r="Y137" s="2079"/>
      <c r="Z137" s="2079"/>
      <c r="AA137" s="2079"/>
      <c r="AB137" s="2079"/>
      <c r="AC137" s="2079"/>
      <c r="AD137" s="2079"/>
      <c r="AE137" s="2079"/>
      <c r="AF137" s="2079"/>
      <c r="AG137" s="2079"/>
      <c r="AH137" s="2079"/>
      <c r="AI137" s="2079"/>
      <c r="AJ137" s="2079"/>
      <c r="AK137" s="2079"/>
      <c r="AL137" s="2079"/>
      <c r="AM137" s="2079"/>
      <c r="AN137" s="2079"/>
      <c r="AO137" s="2079"/>
      <c r="AP137" s="2079"/>
      <c r="AQ137" s="2079"/>
      <c r="AR137" s="2079"/>
      <c r="AS137" s="2079"/>
      <c r="AT137" s="2079"/>
      <c r="AU137" s="2079"/>
      <c r="AV137" s="2079"/>
      <c r="AW137" s="2079"/>
      <c r="AX137" s="2079"/>
      <c r="AY137" s="2079"/>
      <c r="AZ137" s="2079"/>
      <c r="BA137" s="2079"/>
      <c r="BB137" s="2079"/>
      <c r="BC137" s="2079"/>
      <c r="BD137" s="208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9" t="s">
        <v>2358</v>
      </c>
      <c r="C139" s="2150"/>
      <c r="D139" s="2150"/>
      <c r="E139" s="2150"/>
      <c r="F139" s="2150"/>
      <c r="G139" s="2150"/>
      <c r="H139" s="2150"/>
      <c r="I139" s="2150"/>
      <c r="J139" s="2150"/>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c r="AG139" s="2150"/>
      <c r="AH139" s="2034" t="s">
        <v>546</v>
      </c>
      <c r="AI139" s="2034"/>
      <c r="AJ139" s="2034"/>
      <c r="AK139" s="2034"/>
      <c r="AL139" s="2034"/>
      <c r="AM139" s="2034"/>
      <c r="AN139" s="2034"/>
      <c r="AO139" s="2034"/>
      <c r="AP139" s="2034"/>
      <c r="AQ139" s="2034"/>
      <c r="AR139" s="2034"/>
      <c r="AS139" s="2034"/>
      <c r="AT139" s="2034"/>
      <c r="AU139" s="2034"/>
      <c r="AV139" s="2034"/>
      <c r="AW139" s="2034"/>
      <c r="AX139" s="2035"/>
      <c r="AY139" s="1190"/>
      <c r="AZ139" s="1190"/>
      <c r="BA139" s="1190"/>
      <c r="BB139" s="1190"/>
      <c r="BC139" s="1190"/>
      <c r="BD139" s="1190"/>
      <c r="BE139" s="1194"/>
    </row>
    <row r="140" spans="1:57" ht="15.75" customHeight="1" thickBot="1">
      <c r="A140" s="1190"/>
      <c r="B140" s="2136" t="s">
        <v>2357</v>
      </c>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8"/>
      <c r="AH140" s="2103"/>
      <c r="AI140" s="2104"/>
      <c r="AJ140" s="2104"/>
      <c r="AK140" s="2104"/>
      <c r="AL140" s="2104"/>
      <c r="AM140" s="2104"/>
      <c r="AN140" s="2104"/>
      <c r="AO140" s="2104"/>
      <c r="AP140" s="2104"/>
      <c r="AQ140" s="2104"/>
      <c r="AR140" s="2104"/>
      <c r="AS140" s="2104"/>
      <c r="AT140" s="2104"/>
      <c r="AU140" s="2104"/>
      <c r="AV140" s="2104"/>
      <c r="AW140" s="2104"/>
      <c r="AX140" s="2105"/>
      <c r="AY140" s="1190"/>
      <c r="AZ140" s="1190"/>
      <c r="BA140" s="1190"/>
      <c r="BB140" s="1190"/>
      <c r="BC140" s="1190"/>
      <c r="BD140" s="1190"/>
      <c r="BE140" s="1194"/>
    </row>
    <row r="141" spans="1:57" ht="15.75" customHeight="1">
      <c r="A141" s="1190"/>
      <c r="B141" s="2136" t="s">
        <v>2356</v>
      </c>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8"/>
      <c r="AH141" s="2034" t="s">
        <v>546</v>
      </c>
      <c r="AI141" s="2034"/>
      <c r="AJ141" s="2034"/>
      <c r="AK141" s="2034"/>
      <c r="AL141" s="2034"/>
      <c r="AM141" s="2034"/>
      <c r="AN141" s="2034"/>
      <c r="AO141" s="2034"/>
      <c r="AP141" s="2034"/>
      <c r="AQ141" s="2034"/>
      <c r="AR141" s="2034"/>
      <c r="AS141" s="2034"/>
      <c r="AT141" s="2034"/>
      <c r="AU141" s="2034"/>
      <c r="AV141" s="2034"/>
      <c r="AW141" s="2034"/>
      <c r="AX141" s="2035"/>
      <c r="AY141" s="1190"/>
      <c r="AZ141" s="1190"/>
      <c r="BA141" s="1190"/>
      <c r="BB141" s="1190"/>
      <c r="BC141" s="1190"/>
      <c r="BD141" s="1190"/>
      <c r="BE141" s="1194"/>
    </row>
    <row r="142" spans="1:57" ht="15.75" customHeight="1">
      <c r="A142" s="1190"/>
      <c r="B142" s="2139" t="s">
        <v>2355</v>
      </c>
      <c r="C142" s="2140"/>
      <c r="D142" s="2140"/>
      <c r="E142" s="2140"/>
      <c r="F142" s="2140"/>
      <c r="G142" s="2140"/>
      <c r="H142" s="2140"/>
      <c r="I142" s="2140"/>
      <c r="J142" s="2140"/>
      <c r="K142" s="2140"/>
      <c r="L142" s="2140"/>
      <c r="M142" s="2140"/>
      <c r="N142" s="2140"/>
      <c r="O142" s="2140"/>
      <c r="P142" s="2140"/>
      <c r="Q142" s="2140"/>
      <c r="R142" s="2141" t="s">
        <v>2354</v>
      </c>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190"/>
      <c r="AZ142" s="1190"/>
      <c r="BA142" s="1190"/>
      <c r="BB142" s="1190"/>
      <c r="BC142" s="1190" t="s">
        <v>250</v>
      </c>
      <c r="BD142" s="1190"/>
      <c r="BE142" s="1194"/>
    </row>
    <row r="143" spans="1:57" ht="15.75" customHeight="1">
      <c r="A143" s="1190"/>
      <c r="B143" s="2143" t="s">
        <v>2353</v>
      </c>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190"/>
      <c r="AZ143" s="1190"/>
      <c r="BA143" s="1190"/>
      <c r="BB143" s="1190"/>
      <c r="BC143" s="1190"/>
      <c r="BD143" s="1190"/>
      <c r="BE143" s="1194"/>
    </row>
    <row r="144" spans="1:57" ht="15.75" customHeight="1">
      <c r="A144" s="1190"/>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190"/>
      <c r="AZ144" s="1190"/>
      <c r="BA144" s="1190"/>
      <c r="BB144" s="1190"/>
      <c r="BC144" s="1190"/>
      <c r="BD144" s="1190"/>
      <c r="BE144" s="1194"/>
    </row>
    <row r="145" spans="1:57" ht="15.75" customHeight="1">
      <c r="A145" s="1190"/>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190"/>
      <c r="AZ145" s="1190"/>
      <c r="BA145" s="1190"/>
      <c r="BB145" s="1190"/>
      <c r="BC145" s="1190"/>
      <c r="BD145" s="1190"/>
      <c r="BE145" s="1194"/>
    </row>
    <row r="146" spans="1:57" ht="15.75" customHeight="1">
      <c r="A146" s="1190"/>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190"/>
      <c r="AZ146" s="1190"/>
      <c r="BA146" s="1190"/>
      <c r="BB146" s="1190"/>
      <c r="BC146" s="1190"/>
      <c r="BD146" s="1190"/>
      <c r="BE146" s="1194"/>
    </row>
    <row r="147" spans="1:57" ht="15.75" customHeight="1">
      <c r="A147" s="1190"/>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190"/>
      <c r="AZ147" s="1190"/>
      <c r="BA147" s="1190"/>
      <c r="BB147" s="1190"/>
      <c r="BC147" s="1190"/>
      <c r="BD147" s="1190"/>
      <c r="BE147" s="1194"/>
    </row>
    <row r="148" spans="1:57" ht="15.75" customHeight="1">
      <c r="A148" s="1190"/>
      <c r="B148" s="2143"/>
      <c r="C148" s="2144"/>
      <c r="D148" s="2144"/>
      <c r="E148" s="2144"/>
      <c r="F148" s="2144"/>
      <c r="G148" s="2144"/>
      <c r="H148" s="2144"/>
      <c r="I148" s="2144"/>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5"/>
      <c r="AY148" s="1190"/>
      <c r="AZ148" s="1190"/>
      <c r="BA148" s="1190"/>
      <c r="BB148" s="1190"/>
      <c r="BC148" s="1190"/>
      <c r="BD148" s="1190"/>
      <c r="BE148" s="1194"/>
    </row>
    <row r="149" spans="1:57" ht="15.75" customHeight="1">
      <c r="A149" s="1190"/>
      <c r="B149" s="2143"/>
      <c r="C149" s="2144"/>
      <c r="D149" s="2144"/>
      <c r="E149" s="2144"/>
      <c r="F149" s="2144"/>
      <c r="G149" s="2144"/>
      <c r="H149" s="2144"/>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5"/>
      <c r="AY149" s="1190"/>
      <c r="AZ149" s="1190"/>
      <c r="BA149" s="1190"/>
      <c r="BB149" s="1190"/>
      <c r="BC149" s="1190"/>
      <c r="BD149" s="1190"/>
      <c r="BE149" s="1194"/>
    </row>
    <row r="150" spans="1:57" ht="15.75" customHeight="1">
      <c r="A150" s="1190"/>
      <c r="B150" s="2143"/>
      <c r="C150" s="2144"/>
      <c r="D150" s="2144"/>
      <c r="E150" s="2144"/>
      <c r="F150" s="2144"/>
      <c r="G150" s="2144"/>
      <c r="H150" s="2144"/>
      <c r="I150" s="2144"/>
      <c r="J150" s="2144"/>
      <c r="K150" s="2144"/>
      <c r="L150" s="2144"/>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4"/>
      <c r="AW150" s="2144"/>
      <c r="AX150" s="2145"/>
      <c r="AY150" s="1190"/>
      <c r="AZ150" s="1190"/>
      <c r="BA150" s="1190"/>
      <c r="BB150" s="1190"/>
      <c r="BC150" s="1190"/>
      <c r="BD150" s="1190"/>
      <c r="BE150" s="1194"/>
    </row>
    <row r="151" spans="1:57" ht="15.75" customHeight="1">
      <c r="A151" s="1190"/>
      <c r="B151" s="2143"/>
      <c r="C151" s="2144"/>
      <c r="D151" s="2144"/>
      <c r="E151" s="2144"/>
      <c r="F151" s="2144"/>
      <c r="G151" s="2144"/>
      <c r="H151" s="2144"/>
      <c r="I151" s="2144"/>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5"/>
      <c r="AY151" s="1190"/>
      <c r="AZ151" s="1190"/>
      <c r="BA151" s="1190"/>
      <c r="BB151" s="1190"/>
      <c r="BC151" s="1190"/>
      <c r="BD151" s="1190"/>
      <c r="BE151" s="1194"/>
    </row>
    <row r="152" spans="1:57" ht="15.75" customHeight="1" thickBot="1">
      <c r="A152" s="1190"/>
      <c r="B152" s="2146"/>
      <c r="C152" s="2147"/>
      <c r="D152" s="2147"/>
      <c r="E152" s="2147"/>
      <c r="F152" s="2147"/>
      <c r="G152" s="2147"/>
      <c r="H152" s="2147"/>
      <c r="I152" s="2147"/>
      <c r="J152" s="2147"/>
      <c r="K152" s="2147"/>
      <c r="L152" s="2147"/>
      <c r="M152" s="2147"/>
      <c r="N152" s="2147"/>
      <c r="O152" s="2147"/>
      <c r="P152" s="2147"/>
      <c r="Q152" s="2147"/>
      <c r="R152" s="2147"/>
      <c r="S152" s="2147"/>
      <c r="T152" s="2147"/>
      <c r="U152" s="2147"/>
      <c r="V152" s="2147"/>
      <c r="W152" s="2147"/>
      <c r="X152" s="2147"/>
      <c r="Y152" s="2147"/>
      <c r="Z152" s="2147"/>
      <c r="AA152" s="2147"/>
      <c r="AB152" s="2147"/>
      <c r="AC152" s="2147"/>
      <c r="AD152" s="2147"/>
      <c r="AE152" s="2147"/>
      <c r="AF152" s="2147"/>
      <c r="AG152" s="2147"/>
      <c r="AH152" s="2147"/>
      <c r="AI152" s="2147"/>
      <c r="AJ152" s="2147"/>
      <c r="AK152" s="2147"/>
      <c r="AL152" s="2147"/>
      <c r="AM152" s="2147"/>
      <c r="AN152" s="2147"/>
      <c r="AO152" s="2147"/>
      <c r="AP152" s="2147"/>
      <c r="AQ152" s="2147"/>
      <c r="AR152" s="2147"/>
      <c r="AS152" s="2147"/>
      <c r="AT152" s="2147"/>
      <c r="AU152" s="2147"/>
      <c r="AV152" s="2147"/>
      <c r="AW152" s="2147"/>
      <c r="AX152" s="214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6" t="s">
        <v>2350</v>
      </c>
      <c r="C156" s="2007"/>
      <c r="D156" s="2007"/>
      <c r="E156" s="2007"/>
      <c r="F156" s="2007"/>
      <c r="G156" s="2007"/>
      <c r="H156" s="2007"/>
      <c r="I156" s="2007"/>
      <c r="J156" s="2007"/>
      <c r="K156" s="2007"/>
      <c r="L156" s="2007"/>
      <c r="M156" s="2007"/>
      <c r="N156" s="2007"/>
      <c r="O156" s="2007"/>
      <c r="P156" s="2007"/>
      <c r="Q156" s="2007"/>
      <c r="R156" s="2007"/>
      <c r="S156" s="2007"/>
      <c r="T156" s="2007"/>
      <c r="U156" s="2008"/>
      <c r="V156" s="1190"/>
      <c r="W156" s="1192"/>
      <c r="X156" s="2006" t="s">
        <v>2349</v>
      </c>
      <c r="Y156" s="2007"/>
      <c r="Z156" s="2007"/>
      <c r="AA156" s="2007"/>
      <c r="AB156" s="2007"/>
      <c r="AC156" s="2007"/>
      <c r="AD156" s="2007"/>
      <c r="AE156" s="2007"/>
      <c r="AF156" s="2007"/>
      <c r="AG156" s="2007"/>
      <c r="AH156" s="2007"/>
      <c r="AI156" s="2007"/>
      <c r="AJ156" s="2007"/>
      <c r="AK156" s="2007"/>
      <c r="AL156" s="2007"/>
      <c r="AM156" s="2007"/>
      <c r="AN156" s="2007"/>
      <c r="AO156" s="2007"/>
      <c r="AP156" s="2007"/>
      <c r="AQ156" s="2008"/>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1"/>
      <c r="C157" s="2152"/>
      <c r="D157" s="2152"/>
      <c r="E157" s="2152"/>
      <c r="F157" s="2152"/>
      <c r="G157" s="2152"/>
      <c r="H157" s="2152"/>
      <c r="I157" s="2153" t="s">
        <v>2347</v>
      </c>
      <c r="J157" s="2153"/>
      <c r="K157" s="2153"/>
      <c r="L157" s="2153"/>
      <c r="M157" s="2153"/>
      <c r="N157" s="2153"/>
      <c r="O157" s="2153"/>
      <c r="P157" s="2153" t="s">
        <v>2348</v>
      </c>
      <c r="Q157" s="2153"/>
      <c r="R157" s="2153"/>
      <c r="S157" s="2153"/>
      <c r="T157" s="2153"/>
      <c r="U157" s="2154"/>
      <c r="V157" s="1190"/>
      <c r="W157" s="1190"/>
      <c r="X157" s="2151"/>
      <c r="Y157" s="2152"/>
      <c r="Z157" s="2152"/>
      <c r="AA157" s="2152"/>
      <c r="AB157" s="2152"/>
      <c r="AC157" s="2152"/>
      <c r="AD157" s="2152"/>
      <c r="AE157" s="2153" t="s">
        <v>2347</v>
      </c>
      <c r="AF157" s="2153"/>
      <c r="AG157" s="2153"/>
      <c r="AH157" s="2153"/>
      <c r="AI157" s="2153"/>
      <c r="AJ157" s="2153"/>
      <c r="AK157" s="2153"/>
      <c r="AL157" s="2153" t="s">
        <v>2346</v>
      </c>
      <c r="AM157" s="2153"/>
      <c r="AN157" s="2153"/>
      <c r="AO157" s="2153"/>
      <c r="AP157" s="2153"/>
      <c r="AQ157" s="2154"/>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1"/>
      <c r="C158" s="2152"/>
      <c r="D158" s="2152"/>
      <c r="E158" s="2152"/>
      <c r="F158" s="2152"/>
      <c r="G158" s="2152"/>
      <c r="H158" s="2152"/>
      <c r="I158" s="2153"/>
      <c r="J158" s="2153"/>
      <c r="K158" s="2153"/>
      <c r="L158" s="2153"/>
      <c r="M158" s="2153"/>
      <c r="N158" s="2153"/>
      <c r="O158" s="2153"/>
      <c r="P158" s="2153"/>
      <c r="Q158" s="2153"/>
      <c r="R158" s="2153"/>
      <c r="S158" s="2153"/>
      <c r="T158" s="2153"/>
      <c r="U158" s="2154"/>
      <c r="V158" s="1190"/>
      <c r="W158" s="1190"/>
      <c r="X158" s="2151"/>
      <c r="Y158" s="2152"/>
      <c r="Z158" s="2152"/>
      <c r="AA158" s="2152"/>
      <c r="AB158" s="2152"/>
      <c r="AC158" s="2152"/>
      <c r="AD158" s="2152"/>
      <c r="AE158" s="2153"/>
      <c r="AF158" s="2153"/>
      <c r="AG158" s="2153"/>
      <c r="AH158" s="2153"/>
      <c r="AI158" s="2153"/>
      <c r="AJ158" s="2153"/>
      <c r="AK158" s="2153"/>
      <c r="AL158" s="2153"/>
      <c r="AM158" s="2153"/>
      <c r="AN158" s="2153"/>
      <c r="AO158" s="2153"/>
      <c r="AP158" s="2153"/>
      <c r="AQ158" s="215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9" t="s">
        <v>2345</v>
      </c>
      <c r="C159" s="2110"/>
      <c r="D159" s="2110"/>
      <c r="E159" s="2110"/>
      <c r="F159" s="2110"/>
      <c r="G159" s="2110"/>
      <c r="H159" s="2110"/>
      <c r="I159" s="2086">
        <v>0</v>
      </c>
      <c r="J159" s="2086"/>
      <c r="K159" s="2086"/>
      <c r="L159" s="2086"/>
      <c r="M159" s="2086"/>
      <c r="N159" s="2086"/>
      <c r="O159" s="2086"/>
      <c r="P159" s="2086">
        <v>0</v>
      </c>
      <c r="Q159" s="2086"/>
      <c r="R159" s="2086"/>
      <c r="S159" s="2086"/>
      <c r="T159" s="2086"/>
      <c r="U159" s="2087"/>
      <c r="V159" s="1190"/>
      <c r="W159" s="1190"/>
      <c r="X159" s="2111" t="s">
        <v>2345</v>
      </c>
      <c r="Y159" s="2112"/>
      <c r="Z159" s="2112"/>
      <c r="AA159" s="2112"/>
      <c r="AB159" s="2112"/>
      <c r="AC159" s="2112"/>
      <c r="AD159" s="2112"/>
      <c r="AE159" s="2101">
        <v>0</v>
      </c>
      <c r="AF159" s="2101"/>
      <c r="AG159" s="2101"/>
      <c r="AH159" s="2101"/>
      <c r="AI159" s="2101"/>
      <c r="AJ159" s="2101"/>
      <c r="AK159" s="2101"/>
      <c r="AL159" s="2101">
        <v>0</v>
      </c>
      <c r="AM159" s="2101"/>
      <c r="AN159" s="2101"/>
      <c r="AO159" s="2101"/>
      <c r="AP159" s="2101"/>
      <c r="AQ159" s="210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1" t="s">
        <v>2344</v>
      </c>
      <c r="C160" s="2112"/>
      <c r="D160" s="2112"/>
      <c r="E160" s="2112"/>
      <c r="F160" s="2112"/>
      <c r="G160" s="2112"/>
      <c r="H160" s="2112"/>
      <c r="I160" s="2101">
        <v>0</v>
      </c>
      <c r="J160" s="2101"/>
      <c r="K160" s="2101"/>
      <c r="L160" s="2101"/>
      <c r="M160" s="2101"/>
      <c r="N160" s="2101"/>
      <c r="O160" s="2101"/>
      <c r="P160" s="2101">
        <v>0</v>
      </c>
      <c r="Q160" s="2101"/>
      <c r="R160" s="2101"/>
      <c r="S160" s="2101"/>
      <c r="T160" s="2101"/>
      <c r="U160" s="210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6" t="s">
        <v>2343</v>
      </c>
      <c r="D162" s="2007"/>
      <c r="E162" s="2007"/>
      <c r="F162" s="2007"/>
      <c r="G162" s="2007"/>
      <c r="H162" s="2007"/>
      <c r="I162" s="2007"/>
      <c r="J162" s="2007"/>
      <c r="K162" s="2007"/>
      <c r="L162" s="2007"/>
      <c r="M162" s="2007"/>
      <c r="N162" s="2007"/>
      <c r="O162" s="2007"/>
      <c r="P162" s="2007"/>
      <c r="Q162" s="2007"/>
      <c r="R162" s="2007"/>
      <c r="S162" s="2007"/>
      <c r="T162" s="2007"/>
      <c r="U162" s="2007"/>
      <c r="V162" s="2007"/>
      <c r="W162" s="2007"/>
      <c r="X162" s="2007"/>
      <c r="Y162" s="2007"/>
      <c r="Z162" s="2007"/>
      <c r="AA162" s="2007"/>
      <c r="AB162" s="2007"/>
      <c r="AC162" s="2007"/>
      <c r="AD162" s="2007"/>
      <c r="AE162" s="2007"/>
      <c r="AF162" s="2007"/>
      <c r="AG162" s="200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1" t="s">
        <v>2328</v>
      </c>
      <c r="D163" s="2152"/>
      <c r="E163" s="2152"/>
      <c r="F163" s="2152"/>
      <c r="G163" s="2152"/>
      <c r="H163" s="2152"/>
      <c r="I163" s="2152"/>
      <c r="J163" s="2152"/>
      <c r="K163" s="2152"/>
      <c r="L163" s="2152"/>
      <c r="M163" s="2152"/>
      <c r="N163" s="2152"/>
      <c r="O163" s="2152"/>
      <c r="P163" s="2152"/>
      <c r="Q163" s="2152" t="s">
        <v>2342</v>
      </c>
      <c r="R163" s="2152"/>
      <c r="S163" s="2152"/>
      <c r="T163" s="2097" t="s">
        <v>2341</v>
      </c>
      <c r="U163" s="2097"/>
      <c r="V163" s="2097"/>
      <c r="W163" s="2097"/>
      <c r="X163" s="2097"/>
      <c r="Y163" s="2097"/>
      <c r="Z163" s="2097"/>
      <c r="AA163" s="2097"/>
      <c r="AB163" s="2152" t="s">
        <v>2340</v>
      </c>
      <c r="AC163" s="2152"/>
      <c r="AD163" s="2152"/>
      <c r="AE163" s="2152"/>
      <c r="AF163" s="2152"/>
      <c r="AG163" s="216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5" t="s">
        <v>2339</v>
      </c>
      <c r="D164" s="2156"/>
      <c r="E164" s="2156"/>
      <c r="F164" s="2156"/>
      <c r="G164" s="2156"/>
      <c r="H164" s="2156"/>
      <c r="I164" s="2156"/>
      <c r="J164" s="2156"/>
      <c r="K164" s="2156"/>
      <c r="L164" s="2156"/>
      <c r="M164" s="2156"/>
      <c r="N164" s="2156"/>
      <c r="O164" s="2156"/>
      <c r="P164" s="2156"/>
      <c r="Q164" s="2157">
        <v>55</v>
      </c>
      <c r="R164" s="2157"/>
      <c r="S164" s="2157"/>
      <c r="T164" s="2158"/>
      <c r="U164" s="2158"/>
      <c r="V164" s="2158"/>
      <c r="W164" s="2158"/>
      <c r="X164" s="2158"/>
      <c r="Y164" s="2158"/>
      <c r="Z164" s="2158"/>
      <c r="AA164" s="2158"/>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5" t="s">
        <v>2338</v>
      </c>
      <c r="D165" s="2156"/>
      <c r="E165" s="2156"/>
      <c r="F165" s="2156"/>
      <c r="G165" s="2156"/>
      <c r="H165" s="2156"/>
      <c r="I165" s="2156"/>
      <c r="J165" s="2156"/>
      <c r="K165" s="2156"/>
      <c r="L165" s="2156"/>
      <c r="M165" s="2156"/>
      <c r="N165" s="2156"/>
      <c r="O165" s="2156"/>
      <c r="P165" s="2156"/>
      <c r="Q165" s="2157">
        <v>55</v>
      </c>
      <c r="R165" s="2157"/>
      <c r="S165" s="2157"/>
      <c r="T165" s="2159"/>
      <c r="U165" s="2159"/>
      <c r="V165" s="2159"/>
      <c r="W165" s="2159"/>
      <c r="X165" s="2159"/>
      <c r="Y165" s="2159"/>
      <c r="Z165" s="2159"/>
      <c r="AA165" s="21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5" t="s">
        <v>2337</v>
      </c>
      <c r="D166" s="2156"/>
      <c r="E166" s="2156"/>
      <c r="F166" s="2156"/>
      <c r="G166" s="2156"/>
      <c r="H166" s="2156"/>
      <c r="I166" s="2156"/>
      <c r="J166" s="2156"/>
      <c r="K166" s="2156"/>
      <c r="L166" s="2156"/>
      <c r="M166" s="2156"/>
      <c r="N166" s="2156"/>
      <c r="O166" s="2156"/>
      <c r="P166" s="2156"/>
      <c r="Q166" s="2157">
        <v>55</v>
      </c>
      <c r="R166" s="2157"/>
      <c r="S166" s="2157"/>
      <c r="T166" s="2158"/>
      <c r="U166" s="2158"/>
      <c r="V166" s="2158"/>
      <c r="W166" s="2158"/>
      <c r="X166" s="2158"/>
      <c r="Y166" s="2158"/>
      <c r="Z166" s="2158"/>
      <c r="AA166" s="215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5" t="s">
        <v>2336</v>
      </c>
      <c r="D167" s="2156"/>
      <c r="E167" s="2156"/>
      <c r="F167" s="2156"/>
      <c r="G167" s="2156"/>
      <c r="H167" s="2156"/>
      <c r="I167" s="2156"/>
      <c r="J167" s="2156"/>
      <c r="K167" s="2156"/>
      <c r="L167" s="2156"/>
      <c r="M167" s="2156"/>
      <c r="N167" s="2156"/>
      <c r="O167" s="2156"/>
      <c r="P167" s="2156"/>
      <c r="Q167" s="2157">
        <v>55</v>
      </c>
      <c r="R167" s="2157"/>
      <c r="S167" s="2157"/>
      <c r="T167" s="2158"/>
      <c r="U167" s="2158"/>
      <c r="V167" s="2158"/>
      <c r="W167" s="2158"/>
      <c r="X167" s="2158"/>
      <c r="Y167" s="2158"/>
      <c r="Z167" s="2158"/>
      <c r="AA167" s="2158"/>
      <c r="AB167" s="2161">
        <v>0</v>
      </c>
      <c r="AC167" s="2161"/>
      <c r="AD167" s="2161"/>
      <c r="AE167" s="2161"/>
      <c r="AF167" s="2161"/>
      <c r="AG167" s="21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5" t="s">
        <v>170</v>
      </c>
      <c r="D168" s="2156"/>
      <c r="E168" s="2156"/>
      <c r="F168" s="2163" t="s">
        <v>2317</v>
      </c>
      <c r="G168" s="2163"/>
      <c r="H168" s="2163"/>
      <c r="I168" s="2163"/>
      <c r="J168" s="2163"/>
      <c r="K168" s="2163"/>
      <c r="L168" s="2163"/>
      <c r="M168" s="2163"/>
      <c r="N168" s="2163"/>
      <c r="O168" s="2163"/>
      <c r="P168" s="2163"/>
      <c r="Q168" s="2157">
        <v>55</v>
      </c>
      <c r="R168" s="2157"/>
      <c r="S168" s="2157"/>
      <c r="T168" s="2159"/>
      <c r="U168" s="2159"/>
      <c r="V168" s="2159"/>
      <c r="W168" s="2159"/>
      <c r="X168" s="2159"/>
      <c r="Y168" s="2159"/>
      <c r="Z168" s="2159"/>
      <c r="AA168" s="2159"/>
      <c r="AB168" s="2161">
        <v>0</v>
      </c>
      <c r="AC168" s="2161"/>
      <c r="AD168" s="2161"/>
      <c r="AE168" s="2161"/>
      <c r="AF168" s="2161"/>
      <c r="AG168" s="21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5" t="s">
        <v>170</v>
      </c>
      <c r="D169" s="2156"/>
      <c r="E169" s="2156"/>
      <c r="F169" s="2163" t="s">
        <v>2317</v>
      </c>
      <c r="G169" s="2163"/>
      <c r="H169" s="2163"/>
      <c r="I169" s="2163"/>
      <c r="J169" s="2163"/>
      <c r="K169" s="2163"/>
      <c r="L169" s="2163"/>
      <c r="M169" s="2163"/>
      <c r="N169" s="2163"/>
      <c r="O169" s="2163"/>
      <c r="P169" s="2163"/>
      <c r="Q169" s="2157">
        <v>55</v>
      </c>
      <c r="R169" s="2157"/>
      <c r="S169" s="2157"/>
      <c r="T169" s="2159"/>
      <c r="U169" s="2159"/>
      <c r="V169" s="2159"/>
      <c r="W169" s="2159"/>
      <c r="X169" s="2159"/>
      <c r="Y169" s="2159"/>
      <c r="Z169" s="2159"/>
      <c r="AA169" s="2159"/>
      <c r="AB169" s="2161">
        <v>0</v>
      </c>
      <c r="AC169" s="2161"/>
      <c r="AD169" s="2161"/>
      <c r="AE169" s="2161"/>
      <c r="AF169" s="2161"/>
      <c r="AG169" s="216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4" t="s">
        <v>170</v>
      </c>
      <c r="D170" s="2165"/>
      <c r="E170" s="2165"/>
      <c r="F170" s="2166" t="s">
        <v>2317</v>
      </c>
      <c r="G170" s="2166"/>
      <c r="H170" s="2166"/>
      <c r="I170" s="2166"/>
      <c r="J170" s="2166"/>
      <c r="K170" s="2166"/>
      <c r="L170" s="2166"/>
      <c r="M170" s="2166"/>
      <c r="N170" s="2166"/>
      <c r="O170" s="2166"/>
      <c r="P170" s="2166"/>
      <c r="Q170" s="2167">
        <v>55</v>
      </c>
      <c r="R170" s="2167"/>
      <c r="S170" s="2167"/>
      <c r="T170" s="2168"/>
      <c r="U170" s="2168"/>
      <c r="V170" s="2168"/>
      <c r="W170" s="2168"/>
      <c r="X170" s="2168"/>
      <c r="Y170" s="2168"/>
      <c r="Z170" s="2168"/>
      <c r="AA170" s="2168"/>
      <c r="AB170" s="2169">
        <v>0</v>
      </c>
      <c r="AC170" s="2169"/>
      <c r="AD170" s="2169"/>
      <c r="AE170" s="2169"/>
      <c r="AF170" s="2169"/>
      <c r="AG170" s="217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5" t="s">
        <v>2335</v>
      </c>
      <c r="D172" s="2056"/>
      <c r="E172" s="2056"/>
      <c r="F172" s="2056"/>
      <c r="G172" s="2056"/>
      <c r="H172" s="2056"/>
      <c r="I172" s="2056"/>
      <c r="J172" s="2056"/>
      <c r="K172" s="2056"/>
      <c r="L172" s="2056"/>
      <c r="M172" s="2056"/>
      <c r="N172" s="2106"/>
      <c r="O172" s="1190"/>
      <c r="P172" s="2171" t="s">
        <v>2334</v>
      </c>
      <c r="Q172" s="2172"/>
      <c r="R172" s="2172"/>
      <c r="S172" s="2172"/>
      <c r="T172" s="2172"/>
      <c r="U172" s="2172"/>
      <c r="V172" s="2172"/>
      <c r="W172" s="2172"/>
      <c r="X172" s="2172"/>
      <c r="Y172" s="2172"/>
      <c r="Z172" s="2172"/>
      <c r="AA172" s="2172"/>
      <c r="AB172" s="2172"/>
      <c r="AC172" s="2172"/>
      <c r="AD172" s="2172"/>
      <c r="AE172" s="2172"/>
      <c r="AF172" s="2172"/>
      <c r="AG172" s="2172"/>
      <c r="AH172" s="2172"/>
      <c r="AI172" s="2172"/>
      <c r="AJ172" s="2172"/>
      <c r="AK172" s="2172"/>
      <c r="AL172" s="2172"/>
      <c r="AM172" s="2172"/>
      <c r="AN172" s="2172"/>
      <c r="AO172" s="217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1" t="s">
        <v>2333</v>
      </c>
      <c r="D173" s="2152"/>
      <c r="E173" s="2152"/>
      <c r="F173" s="2152"/>
      <c r="G173" s="2152"/>
      <c r="H173" s="2152"/>
      <c r="I173" s="2152" t="s">
        <v>2332</v>
      </c>
      <c r="J173" s="2152"/>
      <c r="K173" s="2152"/>
      <c r="L173" s="2152"/>
      <c r="M173" s="2152"/>
      <c r="N173" s="2160"/>
      <c r="O173" s="1190"/>
      <c r="P173" s="2075" t="s">
        <v>2331</v>
      </c>
      <c r="Q173" s="2076"/>
      <c r="R173" s="2076"/>
      <c r="S173" s="2076"/>
      <c r="T173" s="2076"/>
      <c r="U173" s="2076"/>
      <c r="V173" s="2076"/>
      <c r="W173" s="2076"/>
      <c r="X173" s="2076"/>
      <c r="Y173" s="2076"/>
      <c r="Z173" s="2076"/>
      <c r="AA173" s="2076"/>
      <c r="AB173" s="2076"/>
      <c r="AC173" s="2076"/>
      <c r="AD173" s="2076"/>
      <c r="AE173" s="2076"/>
      <c r="AF173" s="2076"/>
      <c r="AG173" s="2076"/>
      <c r="AH173" s="2076"/>
      <c r="AI173" s="2076"/>
      <c r="AJ173" s="2076"/>
      <c r="AK173" s="2076"/>
      <c r="AL173" s="2076"/>
      <c r="AM173" s="2076"/>
      <c r="AN173" s="2076"/>
      <c r="AO173" s="207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1"/>
      <c r="D174" s="2013"/>
      <c r="E174" s="2013"/>
      <c r="F174" s="2013"/>
      <c r="G174" s="2013"/>
      <c r="H174" s="2013"/>
      <c r="I174" s="2158"/>
      <c r="J174" s="2158"/>
      <c r="K174" s="2158"/>
      <c r="L174" s="2158"/>
      <c r="M174" s="2158"/>
      <c r="N174" s="2174"/>
      <c r="O174" s="1190"/>
      <c r="P174" s="2075"/>
      <c r="Q174" s="2076"/>
      <c r="R174" s="2076"/>
      <c r="S174" s="2076"/>
      <c r="T174" s="2076"/>
      <c r="U174" s="2076"/>
      <c r="V174" s="2076"/>
      <c r="W174" s="2076"/>
      <c r="X174" s="2076"/>
      <c r="Y174" s="2076"/>
      <c r="Z174" s="2076"/>
      <c r="AA174" s="2076"/>
      <c r="AB174" s="2076"/>
      <c r="AC174" s="2076"/>
      <c r="AD174" s="2076"/>
      <c r="AE174" s="2076"/>
      <c r="AF174" s="2076"/>
      <c r="AG174" s="2076"/>
      <c r="AH174" s="2076"/>
      <c r="AI174" s="2076"/>
      <c r="AJ174" s="2076"/>
      <c r="AK174" s="2076"/>
      <c r="AL174" s="2076"/>
      <c r="AM174" s="2076"/>
      <c r="AN174" s="2076"/>
      <c r="AO174" s="207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1"/>
      <c r="D175" s="2013"/>
      <c r="E175" s="2013"/>
      <c r="F175" s="2013"/>
      <c r="G175" s="2013"/>
      <c r="H175" s="2013"/>
      <c r="I175" s="2158"/>
      <c r="J175" s="2158"/>
      <c r="K175" s="2158"/>
      <c r="L175" s="2158"/>
      <c r="M175" s="2158"/>
      <c r="N175" s="2174"/>
      <c r="O175" s="1190"/>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1"/>
      <c r="D176" s="2013"/>
      <c r="E176" s="2013"/>
      <c r="F176" s="2013"/>
      <c r="G176" s="2013"/>
      <c r="H176" s="2013"/>
      <c r="I176" s="2158"/>
      <c r="J176" s="2158"/>
      <c r="K176" s="2158"/>
      <c r="L176" s="2158"/>
      <c r="M176" s="2158"/>
      <c r="N176" s="2174"/>
      <c r="O176" s="1190"/>
      <c r="P176" s="2075"/>
      <c r="Q176" s="2076"/>
      <c r="R176" s="2076"/>
      <c r="S176" s="2076"/>
      <c r="T176" s="2076"/>
      <c r="U176" s="2076"/>
      <c r="V176" s="2076"/>
      <c r="W176" s="2076"/>
      <c r="X176" s="2076"/>
      <c r="Y176" s="2076"/>
      <c r="Z176" s="2076"/>
      <c r="AA176" s="2076"/>
      <c r="AB176" s="2076"/>
      <c r="AC176" s="2076"/>
      <c r="AD176" s="2076"/>
      <c r="AE176" s="2076"/>
      <c r="AF176" s="2076"/>
      <c r="AG176" s="2076"/>
      <c r="AH176" s="2076"/>
      <c r="AI176" s="2076"/>
      <c r="AJ176" s="2076"/>
      <c r="AK176" s="2076"/>
      <c r="AL176" s="2076"/>
      <c r="AM176" s="2076"/>
      <c r="AN176" s="2076"/>
      <c r="AO176" s="207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1"/>
      <c r="D177" s="2013"/>
      <c r="E177" s="2013"/>
      <c r="F177" s="2013"/>
      <c r="G177" s="2013"/>
      <c r="H177" s="2013"/>
      <c r="I177" s="2158"/>
      <c r="J177" s="2158"/>
      <c r="K177" s="2158"/>
      <c r="L177" s="2158"/>
      <c r="M177" s="2158"/>
      <c r="N177" s="2174"/>
      <c r="O177" s="1190"/>
      <c r="P177" s="2075"/>
      <c r="Q177" s="2076"/>
      <c r="R177" s="2076"/>
      <c r="S177" s="2076"/>
      <c r="T177" s="2076"/>
      <c r="U177" s="2076"/>
      <c r="V177" s="2076"/>
      <c r="W177" s="2076"/>
      <c r="X177" s="2076"/>
      <c r="Y177" s="2076"/>
      <c r="Z177" s="2076"/>
      <c r="AA177" s="2076"/>
      <c r="AB177" s="2076"/>
      <c r="AC177" s="2076"/>
      <c r="AD177" s="2076"/>
      <c r="AE177" s="2076"/>
      <c r="AF177" s="2076"/>
      <c r="AG177" s="2076"/>
      <c r="AH177" s="2076"/>
      <c r="AI177" s="2076"/>
      <c r="AJ177" s="2076"/>
      <c r="AK177" s="2076"/>
      <c r="AL177" s="2076"/>
      <c r="AM177" s="2076"/>
      <c r="AN177" s="2076"/>
      <c r="AO177" s="207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1"/>
      <c r="D178" s="2013"/>
      <c r="E178" s="2013"/>
      <c r="F178" s="2013"/>
      <c r="G178" s="2013"/>
      <c r="H178" s="2013"/>
      <c r="I178" s="2158"/>
      <c r="J178" s="2158"/>
      <c r="K178" s="2158"/>
      <c r="L178" s="2158"/>
      <c r="M178" s="2158"/>
      <c r="N178" s="2174"/>
      <c r="O178" s="1190"/>
      <c r="P178" s="2075"/>
      <c r="Q178" s="2076"/>
      <c r="R178" s="2076"/>
      <c r="S178" s="2076"/>
      <c r="T178" s="2076"/>
      <c r="U178" s="2076"/>
      <c r="V178" s="2076"/>
      <c r="W178" s="2076"/>
      <c r="X178" s="2076"/>
      <c r="Y178" s="2076"/>
      <c r="Z178" s="2076"/>
      <c r="AA178" s="2076"/>
      <c r="AB178" s="2076"/>
      <c r="AC178" s="2076"/>
      <c r="AD178" s="2076"/>
      <c r="AE178" s="2076"/>
      <c r="AF178" s="2076"/>
      <c r="AG178" s="2076"/>
      <c r="AH178" s="2076"/>
      <c r="AI178" s="2076"/>
      <c r="AJ178" s="2076"/>
      <c r="AK178" s="2076"/>
      <c r="AL178" s="2076"/>
      <c r="AM178" s="2076"/>
      <c r="AN178" s="2076"/>
      <c r="AO178" s="207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1"/>
      <c r="D179" s="2013"/>
      <c r="E179" s="2013"/>
      <c r="F179" s="2013"/>
      <c r="G179" s="2013"/>
      <c r="H179" s="2013"/>
      <c r="I179" s="2158"/>
      <c r="J179" s="2158"/>
      <c r="K179" s="2158"/>
      <c r="L179" s="2158"/>
      <c r="M179" s="2158"/>
      <c r="N179" s="2174"/>
      <c r="O179" s="1190"/>
      <c r="P179" s="2075"/>
      <c r="Q179" s="2076"/>
      <c r="R179" s="2076"/>
      <c r="S179" s="2076"/>
      <c r="T179" s="2076"/>
      <c r="U179" s="2076"/>
      <c r="V179" s="2076"/>
      <c r="W179" s="2076"/>
      <c r="X179" s="2076"/>
      <c r="Y179" s="2076"/>
      <c r="Z179" s="2076"/>
      <c r="AA179" s="2076"/>
      <c r="AB179" s="2076"/>
      <c r="AC179" s="2076"/>
      <c r="AD179" s="2076"/>
      <c r="AE179" s="2076"/>
      <c r="AF179" s="2076"/>
      <c r="AG179" s="2076"/>
      <c r="AH179" s="2076"/>
      <c r="AI179" s="2076"/>
      <c r="AJ179" s="2076"/>
      <c r="AK179" s="2076"/>
      <c r="AL179" s="2076"/>
      <c r="AM179" s="2076"/>
      <c r="AN179" s="2076"/>
      <c r="AO179" s="207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5"/>
      <c r="D180" s="2176"/>
      <c r="E180" s="2176"/>
      <c r="F180" s="2176"/>
      <c r="G180" s="2176"/>
      <c r="H180" s="2176"/>
      <c r="I180" s="2177"/>
      <c r="J180" s="2177"/>
      <c r="K180" s="2177"/>
      <c r="L180" s="2177"/>
      <c r="M180" s="2177"/>
      <c r="N180" s="2178"/>
      <c r="O180" s="1190"/>
      <c r="P180" s="2078"/>
      <c r="Q180" s="2079"/>
      <c r="R180" s="2079"/>
      <c r="S180" s="2079"/>
      <c r="T180" s="2079"/>
      <c r="U180" s="2079"/>
      <c r="V180" s="2079"/>
      <c r="W180" s="2079"/>
      <c r="X180" s="2079"/>
      <c r="Y180" s="2079"/>
      <c r="Z180" s="2079"/>
      <c r="AA180" s="2079"/>
      <c r="AB180" s="2079"/>
      <c r="AC180" s="2079"/>
      <c r="AD180" s="2079"/>
      <c r="AE180" s="2079"/>
      <c r="AF180" s="2079"/>
      <c r="AG180" s="2079"/>
      <c r="AH180" s="2079"/>
      <c r="AI180" s="2079"/>
      <c r="AJ180" s="2079"/>
      <c r="AK180" s="2079"/>
      <c r="AL180" s="2079"/>
      <c r="AM180" s="2079"/>
      <c r="AN180" s="2079"/>
      <c r="AO180" s="208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2" t="s">
        <v>2330</v>
      </c>
      <c r="D182" s="2183"/>
      <c r="E182" s="2183"/>
      <c r="F182" s="2183"/>
      <c r="G182" s="2183"/>
      <c r="H182" s="2183"/>
      <c r="I182" s="2183"/>
      <c r="J182" s="2183"/>
      <c r="K182" s="2183"/>
      <c r="L182" s="2183"/>
      <c r="M182" s="2183"/>
      <c r="N182" s="2183"/>
      <c r="O182" s="2183"/>
      <c r="P182" s="2183"/>
      <c r="Q182" s="2183"/>
      <c r="R182" s="2183"/>
      <c r="S182" s="2183"/>
      <c r="T182" s="2183"/>
      <c r="U182" s="2183"/>
      <c r="V182" s="2183"/>
      <c r="W182" s="2183"/>
      <c r="X182" s="2183"/>
      <c r="Y182" s="2183"/>
      <c r="Z182" s="2183"/>
      <c r="AA182" s="2183"/>
      <c r="AB182" s="2183"/>
      <c r="AC182" s="2183"/>
      <c r="AD182" s="2183"/>
      <c r="AE182" s="2184"/>
      <c r="AF182" s="1190"/>
      <c r="AG182" s="1190"/>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190"/>
      <c r="B183" s="1190"/>
      <c r="C183" s="2185"/>
      <c r="D183" s="2186"/>
      <c r="E183" s="2186"/>
      <c r="F183" s="2186"/>
      <c r="G183" s="2186"/>
      <c r="H183" s="2186"/>
      <c r="I183" s="2186"/>
      <c r="J183" s="2186"/>
      <c r="K183" s="2186"/>
      <c r="L183" s="2186"/>
      <c r="M183" s="2186"/>
      <c r="N183" s="2186"/>
      <c r="O183" s="2186"/>
      <c r="P183" s="2186"/>
      <c r="Q183" s="2186"/>
      <c r="R183" s="2186"/>
      <c r="S183" s="2186"/>
      <c r="T183" s="2186"/>
      <c r="U183" s="2186"/>
      <c r="V183" s="2186"/>
      <c r="W183" s="2186"/>
      <c r="X183" s="2186"/>
      <c r="Y183" s="2186"/>
      <c r="Z183" s="2186"/>
      <c r="AA183" s="2186"/>
      <c r="AB183" s="2186"/>
      <c r="AC183" s="2186"/>
      <c r="AD183" s="2186"/>
      <c r="AE183" s="2187"/>
      <c r="AF183" s="1190"/>
      <c r="AG183" s="1190"/>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c r="A184" s="1190"/>
      <c r="B184" s="1190"/>
      <c r="C184" s="2055" t="s">
        <v>2328</v>
      </c>
      <c r="D184" s="2056"/>
      <c r="E184" s="2056"/>
      <c r="F184" s="2056"/>
      <c r="G184" s="2056"/>
      <c r="H184" s="2056"/>
      <c r="I184" s="2056"/>
      <c r="J184" s="2056"/>
      <c r="K184" s="2056"/>
      <c r="L184" s="2056"/>
      <c r="M184" s="2056"/>
      <c r="N184" s="2056" t="s">
        <v>2329</v>
      </c>
      <c r="O184" s="2056"/>
      <c r="P184" s="2056"/>
      <c r="Q184" s="2056"/>
      <c r="R184" s="2056"/>
      <c r="S184" s="2056"/>
      <c r="T184" s="2056"/>
      <c r="U184" s="2007" t="s">
        <v>2328</v>
      </c>
      <c r="V184" s="2007"/>
      <c r="W184" s="2007"/>
      <c r="X184" s="2007"/>
      <c r="Y184" s="2007"/>
      <c r="Z184" s="2007"/>
      <c r="AA184" s="2007"/>
      <c r="AB184" s="2007"/>
      <c r="AC184" s="2007"/>
      <c r="AD184" s="2007"/>
      <c r="AE184" s="2008"/>
      <c r="AF184" s="1190"/>
      <c r="AG184" s="1190"/>
      <c r="AH184" s="2192"/>
      <c r="AI184" s="2192"/>
      <c r="AJ184" s="2192"/>
      <c r="AK184" s="2192"/>
      <c r="AL184" s="2192"/>
      <c r="AM184" s="2192"/>
      <c r="AN184" s="2192"/>
      <c r="AO184" s="2192"/>
      <c r="AP184" s="2192"/>
      <c r="AQ184" s="2192"/>
      <c r="AR184" s="2192"/>
      <c r="AS184" s="2192"/>
      <c r="AT184" s="2192"/>
      <c r="AU184" s="2192"/>
      <c r="AV184" s="2192"/>
      <c r="AW184" s="2192"/>
      <c r="AX184" s="2192"/>
      <c r="AY184" s="2192"/>
      <c r="AZ184" s="2192"/>
      <c r="BA184" s="2192"/>
      <c r="BB184" s="2192"/>
      <c r="BC184" s="2192"/>
      <c r="BD184" s="2192"/>
      <c r="BE184" s="2192"/>
    </row>
    <row r="185" spans="1:57" ht="15.75" customHeight="1">
      <c r="A185" s="1190"/>
      <c r="B185" s="1190"/>
      <c r="C185" s="2179" t="s">
        <v>2327</v>
      </c>
      <c r="D185" s="2180"/>
      <c r="E185" s="2180"/>
      <c r="F185" s="2180"/>
      <c r="G185" s="2180"/>
      <c r="H185" s="2180"/>
      <c r="I185" s="2180"/>
      <c r="J185" s="2180"/>
      <c r="K185" s="2180"/>
      <c r="L185" s="2180"/>
      <c r="M185" s="2180"/>
      <c r="N185" s="2181">
        <f>'Sources and Uses Budget'!B105</f>
        <v>103796270</v>
      </c>
      <c r="O185" s="2181"/>
      <c r="P185" s="2181"/>
      <c r="Q185" s="2181"/>
      <c r="R185" s="2181"/>
      <c r="S185" s="2181"/>
      <c r="T185" s="2181"/>
      <c r="U185" s="2193"/>
      <c r="V185" s="2193"/>
      <c r="W185" s="2193"/>
      <c r="X185" s="2193"/>
      <c r="Y185" s="2193"/>
      <c r="Z185" s="2193"/>
      <c r="AA185" s="2193"/>
      <c r="AB185" s="2193"/>
      <c r="AC185" s="2193"/>
      <c r="AD185" s="2193"/>
      <c r="AE185" s="2194"/>
      <c r="AF185" s="1190"/>
      <c r="AG185" s="1190"/>
      <c r="AH185" s="2192"/>
      <c r="AI185" s="2192"/>
      <c r="AJ185" s="2192"/>
      <c r="AK185" s="2192"/>
      <c r="AL185" s="2192"/>
      <c r="AM185" s="2192"/>
      <c r="AN185" s="2192"/>
      <c r="AO185" s="2192"/>
      <c r="AP185" s="2192"/>
      <c r="AQ185" s="2192"/>
      <c r="AR185" s="2192"/>
      <c r="AS185" s="2192"/>
      <c r="AT185" s="2192"/>
      <c r="AU185" s="2192"/>
      <c r="AV185" s="2192"/>
      <c r="AW185" s="2192"/>
      <c r="AX185" s="2192"/>
      <c r="AY185" s="2192"/>
      <c r="AZ185" s="2192"/>
      <c r="BA185" s="2192"/>
      <c r="BB185" s="2192"/>
      <c r="BC185" s="2192"/>
      <c r="BD185" s="2192"/>
      <c r="BE185" s="2192"/>
    </row>
    <row r="186" spans="1:57" ht="15.75" customHeight="1">
      <c r="A186" s="1190"/>
      <c r="B186" s="1190"/>
      <c r="C186" s="2179" t="s">
        <v>2326</v>
      </c>
      <c r="D186" s="2180"/>
      <c r="E186" s="2180"/>
      <c r="F186" s="2180"/>
      <c r="G186" s="2180"/>
      <c r="H186" s="2180"/>
      <c r="I186" s="2180"/>
      <c r="J186" s="2180"/>
      <c r="K186" s="2180"/>
      <c r="L186" s="2180"/>
      <c r="M186" s="2180"/>
      <c r="N186" s="2181">
        <f>N185/J29</f>
        <v>383012.0664206642</v>
      </c>
      <c r="O186" s="2181"/>
      <c r="P186" s="2181"/>
      <c r="Q186" s="2181"/>
      <c r="R186" s="2181"/>
      <c r="S186" s="2181"/>
      <c r="T186" s="2181"/>
      <c r="U186" s="1228"/>
      <c r="V186" s="1228"/>
      <c r="W186" s="1228"/>
      <c r="X186" s="1228"/>
      <c r="Y186" s="1228"/>
      <c r="Z186" s="1228"/>
      <c r="AA186" s="1228"/>
      <c r="AB186" s="1228"/>
      <c r="AC186" s="1228"/>
      <c r="AD186" s="1228"/>
      <c r="AE186" s="1229"/>
      <c r="AF186" s="1190"/>
      <c r="AG186" s="1190"/>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row>
    <row r="187" spans="1:57" ht="15.75" customHeight="1">
      <c r="A187" s="1190"/>
      <c r="B187" s="1190"/>
      <c r="C187" s="2195" t="s">
        <v>2325</v>
      </c>
      <c r="D187" s="2196"/>
      <c r="E187" s="2196"/>
      <c r="F187" s="2196"/>
      <c r="G187" s="2196"/>
      <c r="H187" s="2196"/>
      <c r="I187" s="2196"/>
      <c r="J187" s="2196"/>
      <c r="K187" s="2196"/>
      <c r="L187" s="2196"/>
      <c r="M187" s="2196"/>
      <c r="N187" s="2049">
        <v>0</v>
      </c>
      <c r="O187" s="2049"/>
      <c r="P187" s="2049"/>
      <c r="Q187" s="2049"/>
      <c r="R187" s="2049"/>
      <c r="S187" s="2049"/>
      <c r="T187" s="2049"/>
      <c r="U187" s="2025"/>
      <c r="V187" s="2025"/>
      <c r="W187" s="2025"/>
      <c r="X187" s="2025"/>
      <c r="Y187" s="2025"/>
      <c r="Z187" s="2025"/>
      <c r="AA187" s="2025"/>
      <c r="AB187" s="2025"/>
      <c r="AC187" s="2025"/>
      <c r="AD187" s="2025"/>
      <c r="AE187" s="2026"/>
      <c r="AF187" s="1190"/>
      <c r="AG187" s="1190"/>
      <c r="AH187" s="2192"/>
      <c r="AI187" s="2192"/>
      <c r="AJ187" s="2192"/>
      <c r="AK187" s="2192"/>
      <c r="AL187" s="2192"/>
      <c r="AM187" s="2192"/>
      <c r="AN187" s="2192"/>
      <c r="AO187" s="2192"/>
      <c r="AP187" s="2192"/>
      <c r="AQ187" s="2192"/>
      <c r="AR187" s="2192"/>
      <c r="AS187" s="2192"/>
      <c r="AT187" s="2192"/>
      <c r="AU187" s="2192"/>
      <c r="AV187" s="2192"/>
      <c r="AW187" s="2192"/>
      <c r="AX187" s="2192"/>
      <c r="AY187" s="2192"/>
      <c r="AZ187" s="2192"/>
      <c r="BA187" s="2192"/>
      <c r="BB187" s="2192"/>
      <c r="BC187" s="2192"/>
      <c r="BD187" s="2192"/>
      <c r="BE187" s="2192"/>
    </row>
    <row r="188" spans="1:57" ht="15.75" customHeight="1" thickBot="1">
      <c r="A188" s="1190"/>
      <c r="B188" s="1190"/>
      <c r="C188" s="2179" t="s">
        <v>2324</v>
      </c>
      <c r="D188" s="2180"/>
      <c r="E188" s="2180"/>
      <c r="F188" s="2180"/>
      <c r="G188" s="2180"/>
      <c r="H188" s="2180"/>
      <c r="I188" s="2180"/>
      <c r="J188" s="2180"/>
      <c r="K188" s="2180"/>
      <c r="L188" s="2180"/>
      <c r="M188" s="2180"/>
      <c r="N188" s="2197">
        <f>SUM('Sources and Uses Budget'!B85:B86)</f>
        <v>2556532</v>
      </c>
      <c r="O188" s="2197"/>
      <c r="P188" s="2197"/>
      <c r="Q188" s="2197"/>
      <c r="R188" s="2197"/>
      <c r="S188" s="2197"/>
      <c r="T188" s="2197"/>
      <c r="U188" s="2025"/>
      <c r="V188" s="2025"/>
      <c r="W188" s="2025"/>
      <c r="X188" s="2025"/>
      <c r="Y188" s="2025"/>
      <c r="Z188" s="2025"/>
      <c r="AA188" s="2025"/>
      <c r="AB188" s="2025"/>
      <c r="AC188" s="2025"/>
      <c r="AD188" s="2025"/>
      <c r="AE188" s="2026"/>
      <c r="AF188" s="1190"/>
      <c r="AG188" s="1190"/>
      <c r="AH188" s="2192"/>
      <c r="AI188" s="2192"/>
      <c r="AJ188" s="2192"/>
      <c r="AK188" s="2192"/>
      <c r="AL188" s="2192"/>
      <c r="AM188" s="2192"/>
      <c r="AN188" s="2192"/>
      <c r="AO188" s="2192"/>
      <c r="AP188" s="2192"/>
      <c r="AQ188" s="2192"/>
      <c r="AR188" s="2192"/>
      <c r="AS188" s="2192"/>
      <c r="AT188" s="2192"/>
      <c r="AU188" s="2192"/>
      <c r="AV188" s="2192"/>
      <c r="AW188" s="2192"/>
      <c r="AX188" s="2192"/>
      <c r="AY188" s="2192"/>
      <c r="AZ188" s="2192"/>
      <c r="BA188" s="2192"/>
      <c r="BB188" s="2192"/>
      <c r="BC188" s="2192"/>
      <c r="BD188" s="2192"/>
      <c r="BE188" s="2192"/>
    </row>
    <row r="189" spans="1:57" ht="15.75" customHeight="1" thickBot="1">
      <c r="A189" s="1190"/>
      <c r="B189" s="1190"/>
      <c r="C189" s="2179" t="s">
        <v>2323</v>
      </c>
      <c r="D189" s="2180"/>
      <c r="E189" s="2180"/>
      <c r="F189" s="2180"/>
      <c r="G189" s="2180"/>
      <c r="H189" s="2180"/>
      <c r="I189" s="2180"/>
      <c r="J189" s="2180"/>
      <c r="K189" s="2180"/>
      <c r="L189" s="2180"/>
      <c r="M189" s="2180"/>
      <c r="N189" s="2197">
        <f>'Sources and Uses Budget'!B8</f>
        <v>1800000</v>
      </c>
      <c r="O189" s="2197"/>
      <c r="P189" s="2197"/>
      <c r="Q189" s="2197"/>
      <c r="R189" s="2197"/>
      <c r="S189" s="2197"/>
      <c r="T189" s="2197"/>
      <c r="U189" s="2025"/>
      <c r="V189" s="2025"/>
      <c r="W189" s="2025"/>
      <c r="X189" s="2025"/>
      <c r="Y189" s="2025"/>
      <c r="Z189" s="2025"/>
      <c r="AA189" s="2025"/>
      <c r="AB189" s="2025"/>
      <c r="AC189" s="2025"/>
      <c r="AD189" s="2025"/>
      <c r="AE189" s="2026"/>
      <c r="AF189" s="1190"/>
      <c r="AG189" s="1190"/>
      <c r="AH189" s="2201" t="s">
        <v>2321</v>
      </c>
      <c r="AI189" s="2202"/>
      <c r="AJ189" s="2202"/>
      <c r="AK189" s="2202"/>
      <c r="AL189" s="2202"/>
      <c r="AM189" s="2202"/>
      <c r="AN189" s="2202"/>
      <c r="AO189" s="2202"/>
      <c r="AP189" s="2202"/>
      <c r="AQ189" s="2202"/>
      <c r="AR189" s="2202"/>
      <c r="AS189" s="2202"/>
      <c r="AT189" s="2202"/>
      <c r="AU189" s="2202"/>
      <c r="AV189" s="2202"/>
      <c r="AW189" s="2202"/>
      <c r="AX189" s="2202"/>
      <c r="AY189" s="2202"/>
      <c r="AZ189" s="2202"/>
      <c r="BA189" s="2202"/>
      <c r="BB189" s="2202"/>
      <c r="BC189" s="2202"/>
      <c r="BD189" s="2202"/>
      <c r="BE189" s="2203"/>
    </row>
    <row r="190" spans="1:57" ht="15.75" customHeight="1">
      <c r="A190" s="1190"/>
      <c r="B190" s="1190"/>
      <c r="C190" s="2179" t="s">
        <v>2322</v>
      </c>
      <c r="D190" s="2180"/>
      <c r="E190" s="2180"/>
      <c r="F190" s="2180"/>
      <c r="G190" s="2180"/>
      <c r="H190" s="2180"/>
      <c r="I190" s="2180"/>
      <c r="J190" s="2180"/>
      <c r="K190" s="2180"/>
      <c r="L190" s="2180"/>
      <c r="M190" s="2180"/>
      <c r="N190" s="2188">
        <v>0</v>
      </c>
      <c r="O190" s="2188"/>
      <c r="P190" s="2188"/>
      <c r="Q190" s="2188"/>
      <c r="R190" s="2188"/>
      <c r="S190" s="2188"/>
      <c r="T190" s="2188"/>
      <c r="U190" s="2025"/>
      <c r="V190" s="2025"/>
      <c r="W190" s="2025"/>
      <c r="X190" s="2025"/>
      <c r="Y190" s="2025"/>
      <c r="Z190" s="2025"/>
      <c r="AA190" s="2025"/>
      <c r="AB190" s="2025"/>
      <c r="AC190" s="2025"/>
      <c r="AD190" s="2025"/>
      <c r="AE190" s="2026"/>
      <c r="AF190" s="1190"/>
      <c r="AG190" s="1190"/>
      <c r="AH190" s="2204" t="s">
        <v>2321</v>
      </c>
      <c r="AI190" s="2205"/>
      <c r="AJ190" s="2205"/>
      <c r="AK190" s="2205"/>
      <c r="AL190" s="2205"/>
      <c r="AM190" s="2205"/>
      <c r="AN190" s="2205"/>
      <c r="AO190" s="2205"/>
      <c r="AP190" s="2205"/>
      <c r="AQ190" s="2205"/>
      <c r="AR190" s="2205"/>
      <c r="AS190" s="2205"/>
      <c r="AT190" s="2205"/>
      <c r="AU190" s="2206">
        <v>0</v>
      </c>
      <c r="AV190" s="2206"/>
      <c r="AW190" s="2206"/>
      <c r="AX190" s="2206"/>
      <c r="AY190" s="2206"/>
      <c r="AZ190" s="2206"/>
      <c r="BA190" s="2206"/>
      <c r="BB190" s="2206"/>
      <c r="BC190" s="2207"/>
      <c r="BD190" s="2208"/>
      <c r="BE190" s="2209"/>
    </row>
    <row r="191" spans="1:57" ht="15.75" customHeight="1">
      <c r="A191" s="1190"/>
      <c r="B191" s="1190"/>
      <c r="C191" s="2179" t="s">
        <v>2320</v>
      </c>
      <c r="D191" s="2180"/>
      <c r="E191" s="2180"/>
      <c r="F191" s="2180"/>
      <c r="G191" s="2180"/>
      <c r="H191" s="2180"/>
      <c r="I191" s="2180"/>
      <c r="J191" s="2180"/>
      <c r="K191" s="2180"/>
      <c r="L191" s="2180"/>
      <c r="M191" s="2180"/>
      <c r="N191" s="2188">
        <v>0</v>
      </c>
      <c r="O191" s="2188"/>
      <c r="P191" s="2188"/>
      <c r="Q191" s="2188"/>
      <c r="R191" s="2188"/>
      <c r="S191" s="2188"/>
      <c r="T191" s="2188"/>
      <c r="U191" s="2025"/>
      <c r="V191" s="2025"/>
      <c r="W191" s="2025"/>
      <c r="X191" s="2025"/>
      <c r="Y191" s="2025"/>
      <c r="Z191" s="2025"/>
      <c r="AA191" s="2025"/>
      <c r="AB191" s="2025"/>
      <c r="AC191" s="2025"/>
      <c r="AD191" s="2025"/>
      <c r="AE191" s="2026"/>
      <c r="AF191" s="1190"/>
      <c r="AG191" s="1190"/>
      <c r="AH191" s="2189" t="s">
        <v>2319</v>
      </c>
      <c r="AI191" s="2190"/>
      <c r="AJ191" s="2190"/>
      <c r="AK191" s="2190"/>
      <c r="AL191" s="2190"/>
      <c r="AM191" s="2190"/>
      <c r="AN191" s="2190"/>
      <c r="AO191" s="2190"/>
      <c r="AP191" s="2190"/>
      <c r="AQ191" s="2190"/>
      <c r="AR191" s="2190"/>
      <c r="AS191" s="2190"/>
      <c r="AT191" s="2190"/>
      <c r="AU191" s="2191"/>
      <c r="AV191" s="2191"/>
      <c r="AW191" s="2191"/>
      <c r="AX191" s="2191"/>
      <c r="AY191" s="2191"/>
      <c r="AZ191" s="2191"/>
      <c r="BA191" s="2191"/>
      <c r="BB191" s="2191"/>
      <c r="BC191" s="2198"/>
      <c r="BD191" s="2199"/>
      <c r="BE191" s="2200"/>
    </row>
    <row r="192" spans="1:57" ht="15.75" customHeight="1">
      <c r="A192" s="1190"/>
      <c r="B192" s="1190"/>
      <c r="C192" s="2214" t="s">
        <v>300</v>
      </c>
      <c r="D192" s="2157"/>
      <c r="E192" s="2210" t="s">
        <v>2317</v>
      </c>
      <c r="F192" s="2210"/>
      <c r="G192" s="2210"/>
      <c r="H192" s="2210"/>
      <c r="I192" s="2210"/>
      <c r="J192" s="2210"/>
      <c r="K192" s="2210"/>
      <c r="L192" s="2210"/>
      <c r="M192" s="2210"/>
      <c r="N192" s="2188">
        <v>0</v>
      </c>
      <c r="O192" s="2188"/>
      <c r="P192" s="2188"/>
      <c r="Q192" s="2188"/>
      <c r="R192" s="2188"/>
      <c r="S192" s="2188"/>
      <c r="T192" s="2188"/>
      <c r="U192" s="2025"/>
      <c r="V192" s="2025"/>
      <c r="W192" s="2025"/>
      <c r="X192" s="2025"/>
      <c r="Y192" s="2025"/>
      <c r="Z192" s="2025"/>
      <c r="AA192" s="2025"/>
      <c r="AB192" s="2025"/>
      <c r="AC192" s="2025"/>
      <c r="AD192" s="2025"/>
      <c r="AE192" s="2026"/>
      <c r="AF192" s="1190"/>
      <c r="AG192" s="1190"/>
      <c r="AH192" s="2215" t="s">
        <v>2318</v>
      </c>
      <c r="AI192" s="2216"/>
      <c r="AJ192" s="2216"/>
      <c r="AK192" s="2216"/>
      <c r="AL192" s="2216"/>
      <c r="AM192" s="2216"/>
      <c r="AN192" s="2216"/>
      <c r="AO192" s="2216"/>
      <c r="AP192" s="2216"/>
      <c r="AQ192" s="2216"/>
      <c r="AR192" s="2216"/>
      <c r="AS192" s="2216"/>
      <c r="AT192" s="2216"/>
      <c r="AU192" s="2217">
        <f>SUM(AU190:BB191)</f>
        <v>0</v>
      </c>
      <c r="AV192" s="2217"/>
      <c r="AW192" s="2217"/>
      <c r="AX192" s="2217"/>
      <c r="AY192" s="2217"/>
      <c r="AZ192" s="2217"/>
      <c r="BA192" s="2217"/>
      <c r="BB192" s="2217"/>
      <c r="BC192" s="2198"/>
      <c r="BD192" s="2199"/>
      <c r="BE192" s="2200"/>
    </row>
    <row r="193" spans="1:57" ht="15.75" customHeight="1" thickBot="1">
      <c r="A193" s="1190"/>
      <c r="B193" s="1190"/>
      <c r="C193" s="2081" t="s">
        <v>300</v>
      </c>
      <c r="D193" s="2013"/>
      <c r="E193" s="2210" t="s">
        <v>2317</v>
      </c>
      <c r="F193" s="2210"/>
      <c r="G193" s="2210"/>
      <c r="H193" s="2210"/>
      <c r="I193" s="2210"/>
      <c r="J193" s="2210"/>
      <c r="K193" s="2210"/>
      <c r="L193" s="2210"/>
      <c r="M193" s="2210"/>
      <c r="N193" s="2188">
        <v>0</v>
      </c>
      <c r="O193" s="2188"/>
      <c r="P193" s="2188"/>
      <c r="Q193" s="2188"/>
      <c r="R193" s="2188"/>
      <c r="S193" s="2188"/>
      <c r="T193" s="2188"/>
      <c r="U193" s="2025"/>
      <c r="V193" s="2025"/>
      <c r="W193" s="2025"/>
      <c r="X193" s="2025"/>
      <c r="Y193" s="2025"/>
      <c r="Z193" s="2025"/>
      <c r="AA193" s="2025"/>
      <c r="AB193" s="2025"/>
      <c r="AC193" s="2025"/>
      <c r="AD193" s="2025"/>
      <c r="AE193" s="2026"/>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1"/>
      <c r="BD193" s="2212"/>
      <c r="BE193" s="2213"/>
    </row>
    <row r="194" spans="1:57" ht="15.75" customHeight="1" thickBot="1">
      <c r="A194" s="1190"/>
      <c r="B194" s="1190"/>
      <c r="C194" s="2235" t="s">
        <v>300</v>
      </c>
      <c r="D194" s="2236"/>
      <c r="E194" s="2237" t="s">
        <v>2317</v>
      </c>
      <c r="F194" s="2237"/>
      <c r="G194" s="2237"/>
      <c r="H194" s="2237"/>
      <c r="I194" s="2237"/>
      <c r="J194" s="2237"/>
      <c r="K194" s="2237"/>
      <c r="L194" s="2237"/>
      <c r="M194" s="2238"/>
      <c r="N194" s="2239">
        <v>0</v>
      </c>
      <c r="O194" s="2239"/>
      <c r="P194" s="2239"/>
      <c r="Q194" s="2239"/>
      <c r="R194" s="2239"/>
      <c r="S194" s="2239"/>
      <c r="T194" s="2240"/>
      <c r="U194" s="2241"/>
      <c r="V194" s="2242"/>
      <c r="W194" s="2242"/>
      <c r="X194" s="2242"/>
      <c r="Y194" s="2242"/>
      <c r="Z194" s="2242"/>
      <c r="AA194" s="2242"/>
      <c r="AB194" s="2242"/>
      <c r="AC194" s="2242"/>
      <c r="AD194" s="2242"/>
      <c r="AE194" s="2243"/>
      <c r="AF194" s="1190"/>
      <c r="AG194" s="1190"/>
      <c r="AH194" s="2244" t="s">
        <v>2316</v>
      </c>
      <c r="AI194" s="2245"/>
      <c r="AJ194" s="2245"/>
      <c r="AK194" s="2245"/>
      <c r="AL194" s="2245"/>
      <c r="AM194" s="2245"/>
      <c r="AN194" s="2245"/>
      <c r="AO194" s="2245"/>
      <c r="AP194" s="2245"/>
      <c r="AQ194" s="2245"/>
      <c r="AR194" s="2245"/>
      <c r="AS194" s="2245"/>
      <c r="AT194" s="2245"/>
      <c r="AU194" s="2246"/>
      <c r="AV194" s="2246"/>
      <c r="AW194" s="2246"/>
      <c r="AX194" s="2246"/>
      <c r="AY194" s="2246"/>
      <c r="AZ194" s="2246"/>
      <c r="BA194" s="2246"/>
      <c r="BB194" s="2246"/>
      <c r="BC194" s="1171"/>
      <c r="BD194" s="1171"/>
      <c r="BE194" s="1232"/>
    </row>
    <row r="195" spans="1:57" ht="15.75" customHeight="1">
      <c r="A195" s="1190"/>
      <c r="B195" s="1190"/>
      <c r="C195" s="2218" t="s">
        <v>2315</v>
      </c>
      <c r="D195" s="2219"/>
      <c r="E195" s="2219"/>
      <c r="F195" s="2219"/>
      <c r="G195" s="2219"/>
      <c r="H195" s="2219"/>
      <c r="I195" s="2219"/>
      <c r="J195" s="2219"/>
      <c r="K195" s="2219"/>
      <c r="L195" s="2219"/>
      <c r="M195" s="2219"/>
      <c r="N195" s="2220">
        <f>SUM(N187:T194)</f>
        <v>4356532</v>
      </c>
      <c r="O195" s="2220"/>
      <c r="P195" s="2220"/>
      <c r="Q195" s="2220"/>
      <c r="R195" s="2220"/>
      <c r="S195" s="2220"/>
      <c r="T195" s="2221"/>
      <c r="U195" s="1190"/>
      <c r="V195" s="1190"/>
      <c r="W195" s="1190"/>
      <c r="X195" s="1190"/>
      <c r="Y195" s="1190"/>
      <c r="Z195" s="1190"/>
      <c r="AA195" s="1190"/>
      <c r="AB195" s="1190"/>
      <c r="AC195" s="1190"/>
      <c r="AD195" s="1190"/>
      <c r="AE195" s="1190"/>
      <c r="AF195" s="1190"/>
      <c r="AG195" s="1190"/>
      <c r="AH195" s="2222" t="s">
        <v>2314</v>
      </c>
      <c r="AI195" s="2223"/>
      <c r="AJ195" s="2223"/>
      <c r="AK195" s="2223"/>
      <c r="AL195" s="2223"/>
      <c r="AM195" s="2223"/>
      <c r="AN195" s="2223"/>
      <c r="AO195" s="2223"/>
      <c r="AP195" s="2223"/>
      <c r="AQ195" s="2223"/>
      <c r="AR195" s="2223"/>
      <c r="AS195" s="2223"/>
      <c r="AT195" s="2223"/>
      <c r="AU195" s="2223"/>
      <c r="AV195" s="2223"/>
      <c r="AW195" s="2223"/>
      <c r="AX195" s="2223"/>
      <c r="AY195" s="2223"/>
      <c r="AZ195" s="2223"/>
      <c r="BA195" s="2223"/>
      <c r="BB195" s="2223"/>
      <c r="BC195" s="2223"/>
      <c r="BD195" s="2223"/>
      <c r="BE195" s="2224"/>
    </row>
    <row r="196" spans="1:57" ht="15.75" customHeight="1" thickBot="1">
      <c r="A196" s="1190"/>
      <c r="B196" s="1190"/>
      <c r="C196" s="2228" t="s">
        <v>2313</v>
      </c>
      <c r="D196" s="2229"/>
      <c r="E196" s="2229"/>
      <c r="F196" s="2229"/>
      <c r="G196" s="2229"/>
      <c r="H196" s="2229"/>
      <c r="I196" s="2229"/>
      <c r="J196" s="2229"/>
      <c r="K196" s="2229"/>
      <c r="L196" s="2229"/>
      <c r="M196" s="2229"/>
      <c r="N196" s="2230">
        <f>(N185-N195)/J29</f>
        <v>366936.30258302583</v>
      </c>
      <c r="O196" s="2231"/>
      <c r="P196" s="2231"/>
      <c r="Q196" s="2231"/>
      <c r="R196" s="2231"/>
      <c r="S196" s="2231"/>
      <c r="T196" s="2232"/>
      <c r="U196" s="1195"/>
      <c r="V196" s="1190"/>
      <c r="W196" s="1190"/>
      <c r="X196" s="1190"/>
      <c r="Y196" s="1190"/>
      <c r="Z196" s="1190"/>
      <c r="AA196" s="1190"/>
      <c r="AB196" s="1190"/>
      <c r="AC196" s="1190"/>
      <c r="AD196" s="1190"/>
      <c r="AE196" s="1190"/>
      <c r="AF196" s="1190"/>
      <c r="AG196" s="1190"/>
      <c r="AH196" s="2225"/>
      <c r="AI196" s="2226"/>
      <c r="AJ196" s="2226"/>
      <c r="AK196" s="2226"/>
      <c r="AL196" s="2226"/>
      <c r="AM196" s="2226"/>
      <c r="AN196" s="2226"/>
      <c r="AO196" s="2226"/>
      <c r="AP196" s="2226"/>
      <c r="AQ196" s="2226"/>
      <c r="AR196" s="2226"/>
      <c r="AS196" s="2226"/>
      <c r="AT196" s="2226"/>
      <c r="AU196" s="2226"/>
      <c r="AV196" s="2226"/>
      <c r="AW196" s="2226"/>
      <c r="AX196" s="2226"/>
      <c r="AY196" s="2226"/>
      <c r="AZ196" s="2226"/>
      <c r="BA196" s="2226"/>
      <c r="BB196" s="2226"/>
      <c r="BC196" s="2226"/>
      <c r="BD196" s="2226"/>
      <c r="BE196" s="222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3"/>
      <c r="AI197" s="2233"/>
      <c r="AJ197" s="2233"/>
      <c r="AK197" s="2233"/>
      <c r="AL197" s="2233"/>
      <c r="AM197" s="2233"/>
      <c r="AN197" s="2233"/>
      <c r="AO197" s="2233"/>
      <c r="AP197" s="2233"/>
      <c r="AQ197" s="2233"/>
      <c r="AR197" s="2233"/>
      <c r="AS197" s="2234"/>
      <c r="AT197" s="2234"/>
      <c r="AU197" s="2234"/>
      <c r="AV197" s="2234"/>
      <c r="AW197" s="2234"/>
      <c r="AX197" s="2234"/>
      <c r="AY197" s="2234"/>
      <c r="AZ197" s="2234"/>
      <c r="BA197" s="2234"/>
      <c r="BB197" s="2234"/>
      <c r="BC197" s="2234"/>
      <c r="BD197" s="223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2" t="s">
        <v>2312</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5" t="s">
        <v>2311</v>
      </c>
      <c r="D200" s="2255"/>
      <c r="E200" s="2255"/>
      <c r="F200" s="2255"/>
      <c r="G200" s="2255"/>
      <c r="H200" s="2255"/>
      <c r="I200" s="2255"/>
      <c r="J200" s="2255"/>
      <c r="K200" s="2255"/>
      <c r="L200" s="2255"/>
      <c r="M200" s="2255"/>
      <c r="N200" s="2255"/>
      <c r="O200" s="2256" t="s">
        <v>2310</v>
      </c>
      <c r="P200" s="2256"/>
      <c r="Q200" s="2256"/>
      <c r="R200" s="2256"/>
      <c r="S200" s="2256"/>
      <c r="T200" s="2256"/>
      <c r="U200" s="2256"/>
      <c r="V200" s="2256"/>
      <c r="W200" s="2256"/>
      <c r="X200" s="2256" t="s">
        <v>2309</v>
      </c>
      <c r="Y200" s="2256"/>
      <c r="Z200" s="2256"/>
      <c r="AA200" s="2256"/>
      <c r="AB200" s="2256"/>
      <c r="AC200" s="2256"/>
      <c r="AD200" s="2256"/>
      <c r="AE200" s="22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7" t="s">
        <v>2308</v>
      </c>
      <c r="D201" s="2247"/>
      <c r="E201" s="2247"/>
      <c r="F201" s="2247"/>
      <c r="G201" s="2247"/>
      <c r="H201" s="2247"/>
      <c r="I201" s="2247"/>
      <c r="J201" s="2247"/>
      <c r="K201" s="2247"/>
      <c r="L201" s="2247"/>
      <c r="M201" s="2247"/>
      <c r="N201" s="2247"/>
      <c r="O201" s="2248" t="s">
        <v>2307</v>
      </c>
      <c r="P201" s="2248"/>
      <c r="Q201" s="2248"/>
      <c r="R201" s="2248"/>
      <c r="S201" s="2248"/>
      <c r="T201" s="2248"/>
      <c r="U201" s="2248"/>
      <c r="V201" s="2248"/>
      <c r="W201" s="2248"/>
      <c r="X201" s="2249">
        <v>0.03</v>
      </c>
      <c r="Y201" s="2249"/>
      <c r="Z201" s="2249"/>
      <c r="AA201" s="2249"/>
      <c r="AB201" s="2249"/>
      <c r="AC201" s="2249"/>
      <c r="AD201" s="2249"/>
      <c r="AE201" s="22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7" t="s">
        <v>855</v>
      </c>
      <c r="D202" s="2247"/>
      <c r="E202" s="2247"/>
      <c r="F202" s="2247"/>
      <c r="G202" s="2247"/>
      <c r="H202" s="2247"/>
      <c r="I202" s="2247"/>
      <c r="J202" s="2247"/>
      <c r="K202" s="2247"/>
      <c r="L202" s="2247"/>
      <c r="M202" s="2247"/>
      <c r="N202" s="2247"/>
      <c r="O202" s="2248" t="s">
        <v>2307</v>
      </c>
      <c r="P202" s="2248"/>
      <c r="Q202" s="2248"/>
      <c r="R202" s="2248"/>
      <c r="S202" s="2248"/>
      <c r="T202" s="2248"/>
      <c r="U202" s="2248"/>
      <c r="V202" s="2248"/>
      <c r="W202" s="2248"/>
      <c r="X202" s="2249">
        <v>0.03</v>
      </c>
      <c r="Y202" s="2249"/>
      <c r="Z202" s="2249"/>
      <c r="AA202" s="2249"/>
      <c r="AB202" s="2249"/>
      <c r="AC202" s="2249"/>
      <c r="AD202" s="2249"/>
      <c r="AE202" s="22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7" t="s">
        <v>2306</v>
      </c>
      <c r="D203" s="2247"/>
      <c r="E203" s="2247"/>
      <c r="F203" s="2247"/>
      <c r="G203" s="2247"/>
      <c r="H203" s="2247"/>
      <c r="I203" s="2247"/>
      <c r="J203" s="2247"/>
      <c r="K203" s="2247"/>
      <c r="L203" s="2247"/>
      <c r="M203" s="2247"/>
      <c r="N203" s="2247"/>
      <c r="O203" s="2250">
        <f>SUM(O201:W202)</f>
        <v>0</v>
      </c>
      <c r="P203" s="2251"/>
      <c r="Q203" s="2251"/>
      <c r="R203" s="2251"/>
      <c r="S203" s="2251"/>
      <c r="T203" s="2251"/>
      <c r="U203" s="2251"/>
      <c r="V203" s="2251"/>
      <c r="W203" s="2251"/>
      <c r="X203" s="2251" t="s">
        <v>2305</v>
      </c>
      <c r="Y203" s="2251"/>
      <c r="Z203" s="2251"/>
      <c r="AA203" s="2251"/>
      <c r="AB203" s="2251"/>
      <c r="AC203" s="2251"/>
      <c r="AD203" s="2251"/>
      <c r="AE203" s="22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7" t="s">
        <v>2304</v>
      </c>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c r="AA204" s="2257"/>
      <c r="AB204" s="2257"/>
      <c r="AC204" s="2257"/>
      <c r="AD204" s="2257"/>
      <c r="AE204" s="225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8" t="s">
        <v>2303</v>
      </c>
      <c r="D206" s="2259"/>
      <c r="E206" s="2259"/>
      <c r="F206" s="2259"/>
      <c r="G206" s="2259"/>
      <c r="H206" s="2259"/>
      <c r="I206" s="2259"/>
      <c r="J206" s="2259"/>
      <c r="K206" s="2259"/>
      <c r="L206" s="2259"/>
      <c r="M206" s="2259"/>
      <c r="N206" s="2259"/>
      <c r="O206" s="2259"/>
      <c r="P206" s="2259"/>
      <c r="Q206" s="2259"/>
      <c r="R206" s="2259"/>
      <c r="S206" s="2259"/>
      <c r="T206" s="2259"/>
      <c r="U206" s="2259"/>
      <c r="V206" s="2259"/>
      <c r="W206" s="2259"/>
      <c r="X206" s="2259"/>
      <c r="Y206" s="2259"/>
      <c r="Z206" s="2259"/>
      <c r="AA206" s="2259"/>
      <c r="AB206" s="2259"/>
      <c r="AC206" s="2259"/>
      <c r="AD206" s="2259"/>
      <c r="AE206" s="2259"/>
      <c r="AF206" s="2259"/>
      <c r="AG206" s="2259"/>
      <c r="AH206" s="2259"/>
      <c r="AI206" s="2259"/>
      <c r="AJ206" s="2259"/>
      <c r="AK206" s="226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1" t="s">
        <v>2302</v>
      </c>
      <c r="D207" s="2262"/>
      <c r="E207" s="2262"/>
      <c r="F207" s="2263"/>
      <c r="G207" s="2267" t="s">
        <v>2301</v>
      </c>
      <c r="H207" s="2262"/>
      <c r="I207" s="2262"/>
      <c r="J207" s="2262"/>
      <c r="K207" s="2262"/>
      <c r="L207" s="2262"/>
      <c r="M207" s="2262"/>
      <c r="N207" s="2262"/>
      <c r="O207" s="2263"/>
      <c r="P207" s="2269" t="s">
        <v>2300</v>
      </c>
      <c r="Q207" s="2270"/>
      <c r="R207" s="2270"/>
      <c r="S207" s="2270"/>
      <c r="T207" s="2271"/>
      <c r="U207" s="2275" t="s">
        <v>2299</v>
      </c>
      <c r="V207" s="2276"/>
      <c r="W207" s="2276"/>
      <c r="X207" s="2277"/>
      <c r="Y207" s="2275" t="s">
        <v>2298</v>
      </c>
      <c r="Z207" s="2276"/>
      <c r="AA207" s="2276"/>
      <c r="AB207" s="2277"/>
      <c r="AC207" s="2275" t="s">
        <v>2297</v>
      </c>
      <c r="AD207" s="2276"/>
      <c r="AE207" s="2276"/>
      <c r="AF207" s="2277"/>
      <c r="AG207" s="2267" t="s">
        <v>2296</v>
      </c>
      <c r="AH207" s="2262"/>
      <c r="AI207" s="2262"/>
      <c r="AJ207" s="2262"/>
      <c r="AK207" s="228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4"/>
      <c r="D208" s="2265"/>
      <c r="E208" s="2265"/>
      <c r="F208" s="2266"/>
      <c r="G208" s="2268"/>
      <c r="H208" s="2265"/>
      <c r="I208" s="2265"/>
      <c r="J208" s="2265"/>
      <c r="K208" s="2265"/>
      <c r="L208" s="2265"/>
      <c r="M208" s="2265"/>
      <c r="N208" s="2265"/>
      <c r="O208" s="2266"/>
      <c r="P208" s="2272"/>
      <c r="Q208" s="2273"/>
      <c r="R208" s="2273"/>
      <c r="S208" s="2273"/>
      <c r="T208" s="2274"/>
      <c r="U208" s="2278"/>
      <c r="V208" s="2279"/>
      <c r="W208" s="2279"/>
      <c r="X208" s="2280"/>
      <c r="Y208" s="2278"/>
      <c r="Z208" s="2279"/>
      <c r="AA208" s="2279"/>
      <c r="AB208" s="2280"/>
      <c r="AC208" s="2278"/>
      <c r="AD208" s="2279"/>
      <c r="AE208" s="2279"/>
      <c r="AF208" s="2280"/>
      <c r="AG208" s="2268"/>
      <c r="AH208" s="2265"/>
      <c r="AI208" s="2265"/>
      <c r="AJ208" s="2265"/>
      <c r="AK208" s="228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6">
        <v>1</v>
      </c>
      <c r="D209" s="2287"/>
      <c r="E209" s="2287"/>
      <c r="F209" s="2287"/>
      <c r="G209" s="2288" t="s">
        <v>1885</v>
      </c>
      <c r="H209" s="2288"/>
      <c r="I209" s="2288"/>
      <c r="J209" s="2288"/>
      <c r="K209" s="2288"/>
      <c r="L209" s="2288"/>
      <c r="M209" s="2288"/>
      <c r="N209" s="2288"/>
      <c r="O209" s="2288"/>
      <c r="P209" s="2289"/>
      <c r="Q209" s="2292"/>
      <c r="R209" s="2292"/>
      <c r="S209" s="2292"/>
      <c r="T209" s="2292"/>
      <c r="U209" s="2290" t="s">
        <v>1885</v>
      </c>
      <c r="V209" s="2290"/>
      <c r="W209" s="2290"/>
      <c r="X209" s="2290"/>
      <c r="Y209" s="2290" t="s">
        <v>1885</v>
      </c>
      <c r="Z209" s="2290"/>
      <c r="AA209" s="2290"/>
      <c r="AB209" s="2290"/>
      <c r="AC209" s="2291" t="s">
        <v>1885</v>
      </c>
      <c r="AD209" s="2291"/>
      <c r="AE209" s="2291"/>
      <c r="AF209" s="2291"/>
      <c r="AG209" s="2283"/>
      <c r="AH209" s="2284"/>
      <c r="AI209" s="2284"/>
      <c r="AJ209" s="2284"/>
      <c r="AK209" s="228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6">
        <v>2</v>
      </c>
      <c r="D210" s="2287"/>
      <c r="E210" s="2287"/>
      <c r="F210" s="2287"/>
      <c r="G210" s="2288" t="s">
        <v>1885</v>
      </c>
      <c r="H210" s="2288"/>
      <c r="I210" s="2288"/>
      <c r="J210" s="2288"/>
      <c r="K210" s="2288"/>
      <c r="L210" s="2288"/>
      <c r="M210" s="2288"/>
      <c r="N210" s="2288"/>
      <c r="O210" s="2288"/>
      <c r="P210" s="2289"/>
      <c r="Q210" s="2289"/>
      <c r="R210" s="2289"/>
      <c r="S210" s="2289"/>
      <c r="T210" s="2289"/>
      <c r="U210" s="2290" t="s">
        <v>1885</v>
      </c>
      <c r="V210" s="2290"/>
      <c r="W210" s="2290"/>
      <c r="X210" s="2290"/>
      <c r="Y210" s="2290" t="s">
        <v>1885</v>
      </c>
      <c r="Z210" s="2290"/>
      <c r="AA210" s="2290"/>
      <c r="AB210" s="2290"/>
      <c r="AC210" s="2291" t="s">
        <v>1885</v>
      </c>
      <c r="AD210" s="2291"/>
      <c r="AE210" s="2291"/>
      <c r="AF210" s="2291"/>
      <c r="AG210" s="2283"/>
      <c r="AH210" s="2284"/>
      <c r="AI210" s="2284"/>
      <c r="AJ210" s="2284"/>
      <c r="AK210" s="228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6">
        <v>3</v>
      </c>
      <c r="D211" s="2287"/>
      <c r="E211" s="2287"/>
      <c r="F211" s="2287"/>
      <c r="G211" s="2288" t="s">
        <v>1885</v>
      </c>
      <c r="H211" s="2288"/>
      <c r="I211" s="2288"/>
      <c r="J211" s="2288"/>
      <c r="K211" s="2288"/>
      <c r="L211" s="2288"/>
      <c r="M211" s="2288"/>
      <c r="N211" s="2288"/>
      <c r="O211" s="2288"/>
      <c r="P211" s="2289"/>
      <c r="Q211" s="2289"/>
      <c r="R211" s="2289"/>
      <c r="S211" s="2289"/>
      <c r="T211" s="2289"/>
      <c r="U211" s="2290" t="s">
        <v>1885</v>
      </c>
      <c r="V211" s="2290"/>
      <c r="W211" s="2290"/>
      <c r="X211" s="2290"/>
      <c r="Y211" s="2290" t="s">
        <v>1885</v>
      </c>
      <c r="Z211" s="2290"/>
      <c r="AA211" s="2290"/>
      <c r="AB211" s="2290"/>
      <c r="AC211" s="2291" t="s">
        <v>1885</v>
      </c>
      <c r="AD211" s="2291"/>
      <c r="AE211" s="2291"/>
      <c r="AF211" s="2291"/>
      <c r="AG211" s="2283"/>
      <c r="AH211" s="2284"/>
      <c r="AI211" s="2284"/>
      <c r="AJ211" s="2284"/>
      <c r="AK211" s="228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6">
        <v>4</v>
      </c>
      <c r="D212" s="2287"/>
      <c r="E212" s="2287"/>
      <c r="F212" s="2287"/>
      <c r="G212" s="2288" t="s">
        <v>1885</v>
      </c>
      <c r="H212" s="2288"/>
      <c r="I212" s="2288"/>
      <c r="J212" s="2288"/>
      <c r="K212" s="2288"/>
      <c r="L212" s="2288"/>
      <c r="M212" s="2288"/>
      <c r="N212" s="2288"/>
      <c r="O212" s="2288"/>
      <c r="P212" s="2289"/>
      <c r="Q212" s="2289"/>
      <c r="R212" s="2289"/>
      <c r="S212" s="2289"/>
      <c r="T212" s="2289"/>
      <c r="U212" s="2290" t="s">
        <v>1885</v>
      </c>
      <c r="V212" s="2290"/>
      <c r="W212" s="2290"/>
      <c r="X212" s="2290"/>
      <c r="Y212" s="2290" t="s">
        <v>1885</v>
      </c>
      <c r="Z212" s="2290"/>
      <c r="AA212" s="2290"/>
      <c r="AB212" s="2290"/>
      <c r="AC212" s="2291" t="s">
        <v>1885</v>
      </c>
      <c r="AD212" s="2291"/>
      <c r="AE212" s="2291"/>
      <c r="AF212" s="2291"/>
      <c r="AG212" s="2283"/>
      <c r="AH212" s="2284"/>
      <c r="AI212" s="2284"/>
      <c r="AJ212" s="2284"/>
      <c r="AK212" s="228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6">
        <v>5</v>
      </c>
      <c r="D213" s="2287"/>
      <c r="E213" s="2287"/>
      <c r="F213" s="2287"/>
      <c r="G213" s="2288" t="s">
        <v>1885</v>
      </c>
      <c r="H213" s="2288"/>
      <c r="I213" s="2288"/>
      <c r="J213" s="2288"/>
      <c r="K213" s="2288"/>
      <c r="L213" s="2288"/>
      <c r="M213" s="2288"/>
      <c r="N213" s="2288"/>
      <c r="O213" s="2288"/>
      <c r="P213" s="2289"/>
      <c r="Q213" s="2289"/>
      <c r="R213" s="2289"/>
      <c r="S213" s="2289"/>
      <c r="T213" s="2289"/>
      <c r="U213" s="2290" t="s">
        <v>1885</v>
      </c>
      <c r="V213" s="2290"/>
      <c r="W213" s="2290"/>
      <c r="X213" s="2290"/>
      <c r="Y213" s="2290" t="s">
        <v>1885</v>
      </c>
      <c r="Z213" s="2290"/>
      <c r="AA213" s="2290"/>
      <c r="AB213" s="2290"/>
      <c r="AC213" s="2291" t="s">
        <v>1885</v>
      </c>
      <c r="AD213" s="2291"/>
      <c r="AE213" s="2291"/>
      <c r="AF213" s="2291"/>
      <c r="AG213" s="2283"/>
      <c r="AH213" s="2284"/>
      <c r="AI213" s="2284"/>
      <c r="AJ213" s="2284"/>
      <c r="AK213" s="228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6">
        <v>6</v>
      </c>
      <c r="D214" s="2287"/>
      <c r="E214" s="2287"/>
      <c r="F214" s="2287"/>
      <c r="G214" s="2288" t="s">
        <v>1885</v>
      </c>
      <c r="H214" s="2288"/>
      <c r="I214" s="2288"/>
      <c r="J214" s="2288"/>
      <c r="K214" s="2288"/>
      <c r="L214" s="2288"/>
      <c r="M214" s="2288"/>
      <c r="N214" s="2288"/>
      <c r="O214" s="2288"/>
      <c r="P214" s="2289"/>
      <c r="Q214" s="2289"/>
      <c r="R214" s="2289"/>
      <c r="S214" s="2289"/>
      <c r="T214" s="2289"/>
      <c r="U214" s="2290"/>
      <c r="V214" s="2290"/>
      <c r="W214" s="2290"/>
      <c r="X214" s="2290"/>
      <c r="Y214" s="2290"/>
      <c r="Z214" s="2290"/>
      <c r="AA214" s="2290"/>
      <c r="AB214" s="2290"/>
      <c r="AC214" s="2291" t="s">
        <v>1885</v>
      </c>
      <c r="AD214" s="2291"/>
      <c r="AE214" s="2291"/>
      <c r="AF214" s="2291"/>
      <c r="AG214" s="2283"/>
      <c r="AH214" s="2284"/>
      <c r="AI214" s="2284"/>
      <c r="AJ214" s="2284"/>
      <c r="AK214" s="228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6">
        <v>7</v>
      </c>
      <c r="D215" s="2287"/>
      <c r="E215" s="2287"/>
      <c r="F215" s="2287"/>
      <c r="G215" s="2288"/>
      <c r="H215" s="2288"/>
      <c r="I215" s="2288"/>
      <c r="J215" s="2288"/>
      <c r="K215" s="2288"/>
      <c r="L215" s="2288"/>
      <c r="M215" s="2288"/>
      <c r="N215" s="2288"/>
      <c r="O215" s="2288"/>
      <c r="P215" s="2289"/>
      <c r="Q215" s="2289"/>
      <c r="R215" s="2289"/>
      <c r="S215" s="2289"/>
      <c r="T215" s="2289"/>
      <c r="U215" s="2290"/>
      <c r="V215" s="2290"/>
      <c r="W215" s="2290"/>
      <c r="X215" s="2290"/>
      <c r="Y215" s="2290"/>
      <c r="Z215" s="2290"/>
      <c r="AA215" s="2290"/>
      <c r="AB215" s="2290"/>
      <c r="AC215" s="2291" t="s">
        <v>1885</v>
      </c>
      <c r="AD215" s="2291"/>
      <c r="AE215" s="2291"/>
      <c r="AF215" s="2291"/>
      <c r="AG215" s="2283"/>
      <c r="AH215" s="2284"/>
      <c r="AI215" s="2284"/>
      <c r="AJ215" s="2284"/>
      <c r="AK215" s="228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5" t="s">
        <v>2295</v>
      </c>
      <c r="D216" s="2306"/>
      <c r="E216" s="2306"/>
      <c r="F216" s="2306"/>
      <c r="G216" s="2306"/>
      <c r="H216" s="2306"/>
      <c r="I216" s="2306"/>
      <c r="J216" s="2306"/>
      <c r="K216" s="2306"/>
      <c r="L216" s="2306"/>
      <c r="M216" s="2306"/>
      <c r="N216" s="2306"/>
      <c r="O216" s="2306"/>
      <c r="P216" s="2307"/>
      <c r="Q216" s="2307"/>
      <c r="R216" s="2307"/>
      <c r="S216" s="2307"/>
      <c r="T216" s="2307"/>
      <c r="U216" s="2308">
        <f>-SUM(U209:U215)</f>
        <v>0</v>
      </c>
      <c r="V216" s="2308"/>
      <c r="W216" s="2308"/>
      <c r="X216" s="2308"/>
      <c r="Y216" s="2308">
        <f>-SUM(Y209:Y215)</f>
        <v>0</v>
      </c>
      <c r="Z216" s="2308"/>
      <c r="AA216" s="2308"/>
      <c r="AB216" s="2308"/>
      <c r="AC216" s="2309">
        <f>-SUM(AC209:AC215)</f>
        <v>0</v>
      </c>
      <c r="AD216" s="2309"/>
      <c r="AE216" s="2309"/>
      <c r="AF216" s="2309"/>
      <c r="AG216" s="2310"/>
      <c r="AH216" s="2311"/>
      <c r="AI216" s="2311"/>
      <c r="AJ216" s="2311"/>
      <c r="AK216" s="23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3" t="s">
        <v>2293</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194"/>
    </row>
    <row r="222" spans="1:57" ht="15.75" customHeight="1">
      <c r="A222" s="1190"/>
      <c r="B222" s="2296"/>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194"/>
    </row>
    <row r="223" spans="1:57" ht="15.75" customHeight="1">
      <c r="A223" s="1190"/>
      <c r="B223" s="2299" t="s">
        <v>2292</v>
      </c>
      <c r="C223" s="2300"/>
      <c r="D223" s="2300"/>
      <c r="E223" s="2300"/>
      <c r="F223" s="2300"/>
      <c r="G223" s="2300"/>
      <c r="H223" s="2300"/>
      <c r="I223" s="2300"/>
      <c r="J223" s="2300"/>
      <c r="K223" s="2300"/>
      <c r="L223" s="2300"/>
      <c r="M223" s="2300"/>
      <c r="N223" s="2300"/>
      <c r="O223" s="2300"/>
      <c r="P223" s="2300"/>
      <c r="Q223" s="2300"/>
      <c r="R223" s="2300"/>
      <c r="S223" s="2300"/>
      <c r="T223" s="2300"/>
      <c r="U223" s="2300"/>
      <c r="V223" s="2300"/>
      <c r="W223" s="2300"/>
      <c r="X223" s="2300"/>
      <c r="Y223" s="2300"/>
      <c r="Z223" s="2300"/>
      <c r="AA223" s="2300"/>
      <c r="AB223" s="2300"/>
      <c r="AC223" s="2300"/>
      <c r="AD223" s="2300"/>
      <c r="AE223" s="2300"/>
      <c r="AF223" s="2300"/>
      <c r="AG223" s="2300"/>
      <c r="AH223" s="2300"/>
      <c r="AI223" s="2300"/>
      <c r="AJ223" s="2300"/>
      <c r="AK223" s="2300"/>
      <c r="AL223" s="2300"/>
      <c r="AM223" s="2300"/>
      <c r="AN223" s="2300"/>
      <c r="AO223" s="2300"/>
      <c r="AP223" s="2300"/>
      <c r="AQ223" s="2300"/>
      <c r="AR223" s="2300"/>
      <c r="AS223" s="2300"/>
      <c r="AT223" s="2300"/>
      <c r="AU223" s="2300"/>
      <c r="AV223" s="2300"/>
      <c r="AW223" s="2300"/>
      <c r="AX223" s="2300"/>
      <c r="AY223" s="2300"/>
      <c r="AZ223" s="2300"/>
      <c r="BA223" s="2300"/>
      <c r="BB223" s="2300"/>
      <c r="BC223" s="2300"/>
      <c r="BD223" s="2301"/>
      <c r="BE223" s="1194"/>
    </row>
    <row r="224" spans="1:57" ht="15.75" customHeight="1">
      <c r="A224" s="1190"/>
      <c r="B224" s="2299" t="s">
        <v>2291</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2" t="s">
        <v>2290</v>
      </c>
      <c r="C226" s="2192"/>
      <c r="D226" s="2192"/>
      <c r="E226" s="2192"/>
      <c r="F226" s="2192"/>
      <c r="G226" s="2192"/>
      <c r="H226" s="2192"/>
      <c r="I226" s="2192"/>
      <c r="J226" s="2192"/>
      <c r="K226" s="2192"/>
      <c r="L226" s="2192"/>
      <c r="M226" s="2192"/>
      <c r="N226" s="2192"/>
      <c r="O226" s="2192"/>
      <c r="P226" s="2192"/>
      <c r="Q226" s="2192"/>
      <c r="R226" s="2192"/>
      <c r="S226" s="2192"/>
      <c r="T226" s="2192"/>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3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4" t="s">
        <v>2288</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2" t="s">
        <v>2287</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2322"/>
      <c r="AX232" s="2322"/>
      <c r="AY232" s="2322"/>
      <c r="AZ232" s="2322"/>
      <c r="BA232" s="1190"/>
      <c r="BB232" s="1190"/>
      <c r="BC232" s="1190"/>
      <c r="BD232" s="1194"/>
      <c r="BE232" s="1194"/>
    </row>
    <row r="233" spans="1:57" ht="15.75" customHeight="1">
      <c r="A233" s="1190"/>
      <c r="B233" s="1189"/>
      <c r="C233" s="1190"/>
      <c r="D233" s="1190"/>
      <c r="E233" s="1190"/>
      <c r="F233" s="1190"/>
      <c r="G233" s="1190"/>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2"/>
      <c r="AD233" s="2322"/>
      <c r="AE233" s="2322"/>
      <c r="AF233" s="2322"/>
      <c r="AG233" s="2322"/>
      <c r="AH233" s="2322"/>
      <c r="AI233" s="2322"/>
      <c r="AJ233" s="2322"/>
      <c r="AK233" s="2322"/>
      <c r="AL233" s="2322"/>
      <c r="AM233" s="2322"/>
      <c r="AN233" s="2322"/>
      <c r="AO233" s="2322"/>
      <c r="AP233" s="2322"/>
      <c r="AQ233" s="2322"/>
      <c r="AR233" s="2322"/>
      <c r="AS233" s="2322"/>
      <c r="AT233" s="2322"/>
      <c r="AU233" s="2322"/>
      <c r="AV233" s="2322"/>
      <c r="AW233" s="2322"/>
      <c r="AX233" s="2322"/>
      <c r="AY233" s="2322"/>
      <c r="AZ233" s="2322"/>
      <c r="BA233" s="1190"/>
      <c r="BB233" s="1190"/>
      <c r="BC233" s="1190"/>
      <c r="BD233" s="1194"/>
      <c r="BE233" s="1194"/>
    </row>
    <row r="234" spans="1:57" ht="15.75" customHeight="1">
      <c r="A234" s="1190"/>
      <c r="B234" s="1189"/>
      <c r="C234" s="1190"/>
      <c r="D234" s="1190"/>
      <c r="E234" s="1190"/>
      <c r="F234" s="1190"/>
      <c r="G234" s="1190"/>
      <c r="H234" s="2322"/>
      <c r="I234" s="2322"/>
      <c r="J234" s="2322"/>
      <c r="K234" s="2322"/>
      <c r="L234" s="2322"/>
      <c r="M234" s="2322"/>
      <c r="N234" s="2322"/>
      <c r="O234" s="2322"/>
      <c r="P234" s="2322"/>
      <c r="Q234" s="2322"/>
      <c r="R234" s="2322"/>
      <c r="S234" s="2322"/>
      <c r="T234" s="2322"/>
      <c r="U234" s="2322"/>
      <c r="V234" s="2322"/>
      <c r="W234" s="2322"/>
      <c r="X234" s="2322"/>
      <c r="Y234" s="2322"/>
      <c r="Z234" s="2322"/>
      <c r="AA234" s="2322"/>
      <c r="AB234" s="2322"/>
      <c r="AC234" s="2322"/>
      <c r="AD234" s="2322"/>
      <c r="AE234" s="2322"/>
      <c r="AF234" s="2322"/>
      <c r="AG234" s="2322"/>
      <c r="AH234" s="2322"/>
      <c r="AI234" s="2322"/>
      <c r="AJ234" s="2322"/>
      <c r="AK234" s="2322"/>
      <c r="AL234" s="2322"/>
      <c r="AM234" s="2322"/>
      <c r="AN234" s="2322"/>
      <c r="AO234" s="2322"/>
      <c r="AP234" s="2322"/>
      <c r="AQ234" s="2322"/>
      <c r="AR234" s="2322"/>
      <c r="AS234" s="2322"/>
      <c r="AT234" s="2322"/>
      <c r="AU234" s="2322"/>
      <c r="AV234" s="2322"/>
      <c r="AW234" s="2322"/>
      <c r="AX234" s="2322"/>
      <c r="AY234" s="2322"/>
      <c r="AZ234" s="2322"/>
      <c r="BA234" s="1190"/>
      <c r="BB234" s="1190"/>
      <c r="BC234" s="1190"/>
      <c r="BD234" s="1194"/>
      <c r="BE234" s="1194"/>
    </row>
    <row r="235" spans="1:57" ht="15.75" customHeight="1">
      <c r="A235" s="1190"/>
      <c r="B235" s="1189"/>
      <c r="C235" s="1190"/>
      <c r="D235" s="1190"/>
      <c r="E235" s="1190"/>
      <c r="F235" s="1190"/>
      <c r="G235" s="1190"/>
      <c r="H235" s="2322"/>
      <c r="I235" s="2322"/>
      <c r="J235" s="2322"/>
      <c r="K235" s="2322"/>
      <c r="L235" s="2322"/>
      <c r="M235" s="2322"/>
      <c r="N235" s="2322"/>
      <c r="O235" s="2322"/>
      <c r="P235" s="2322"/>
      <c r="Q235" s="2322"/>
      <c r="R235" s="2322"/>
      <c r="S235" s="2322"/>
      <c r="T235" s="2322"/>
      <c r="U235" s="2322"/>
      <c r="V235" s="2322"/>
      <c r="W235" s="2322"/>
      <c r="X235" s="2322"/>
      <c r="Y235" s="2322"/>
      <c r="Z235" s="2322"/>
      <c r="AA235" s="2322"/>
      <c r="AB235" s="2322"/>
      <c r="AC235" s="2322"/>
      <c r="AD235" s="2322"/>
      <c r="AE235" s="2322"/>
      <c r="AF235" s="2322"/>
      <c r="AG235" s="2322"/>
      <c r="AH235" s="2322"/>
      <c r="AI235" s="2322"/>
      <c r="AJ235" s="2322"/>
      <c r="AK235" s="2322"/>
      <c r="AL235" s="2322"/>
      <c r="AM235" s="2322"/>
      <c r="AN235" s="2322"/>
      <c r="AO235" s="2322"/>
      <c r="AP235" s="2322"/>
      <c r="AQ235" s="2322"/>
      <c r="AR235" s="2322"/>
      <c r="AS235" s="2322"/>
      <c r="AT235" s="2322"/>
      <c r="AU235" s="2322"/>
      <c r="AV235" s="2322"/>
      <c r="AW235" s="2322"/>
      <c r="AX235" s="2322"/>
      <c r="AY235" s="2322"/>
      <c r="AZ235" s="232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3" t="s">
        <v>2286</v>
      </c>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2323"/>
      <c r="AD237" s="2323"/>
      <c r="AE237" s="2323"/>
      <c r="AF237" s="2323"/>
      <c r="AG237" s="2323"/>
      <c r="AH237" s="2323"/>
      <c r="AI237" s="2323"/>
      <c r="AJ237" s="2323"/>
      <c r="AK237" s="2323"/>
      <c r="AL237" s="2323"/>
      <c r="AM237" s="2323"/>
      <c r="AN237" s="2323"/>
      <c r="AO237" s="2323"/>
      <c r="AP237" s="2323"/>
      <c r="AQ237" s="2323"/>
      <c r="AR237" s="2323"/>
      <c r="AS237" s="2323"/>
      <c r="AT237" s="2323"/>
      <c r="AU237" s="2323"/>
      <c r="AV237" s="232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3" t="s">
        <v>2285</v>
      </c>
      <c r="I239" s="2313"/>
      <c r="J239" s="2313"/>
      <c r="K239" s="2313"/>
      <c r="L239" s="1239"/>
      <c r="M239" s="1239"/>
      <c r="N239" s="1239"/>
      <c r="O239" s="1239"/>
      <c r="P239" s="1239"/>
      <c r="Q239" s="1239"/>
      <c r="R239" s="1239"/>
      <c r="S239" s="2324"/>
      <c r="T239" s="2325"/>
      <c r="U239" s="2325"/>
      <c r="V239" s="2325"/>
      <c r="W239" s="2325"/>
      <c r="X239" s="2325"/>
      <c r="Y239" s="2325"/>
      <c r="Z239" s="2325"/>
      <c r="AA239" s="2325"/>
      <c r="AB239" s="2325"/>
      <c r="AC239" s="2325"/>
      <c r="AD239" s="2325"/>
      <c r="AE239" s="2325"/>
      <c r="AF239" s="2325"/>
      <c r="AG239" s="2325"/>
      <c r="AH239" s="2325"/>
      <c r="AI239" s="2325"/>
      <c r="AJ239" s="232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3" t="s">
        <v>2284</v>
      </c>
      <c r="I241" s="2313"/>
      <c r="J241" s="2313"/>
      <c r="K241" s="1241"/>
      <c r="L241" s="1239"/>
      <c r="M241" s="1239"/>
      <c r="N241" s="1239"/>
      <c r="O241" s="1239"/>
      <c r="P241" s="1239"/>
      <c r="Q241" s="1239"/>
      <c r="R241" s="1239"/>
      <c r="S241" s="2314"/>
      <c r="T241" s="2315"/>
      <c r="U241" s="2315"/>
      <c r="V241" s="2315"/>
      <c r="W241" s="2315"/>
      <c r="X241" s="2315"/>
      <c r="Y241" s="2315"/>
      <c r="Z241" s="2315"/>
      <c r="AA241" s="2315"/>
      <c r="AB241" s="2315"/>
      <c r="AC241" s="2315"/>
      <c r="AD241" s="2315"/>
      <c r="AE241" s="2315"/>
      <c r="AF241" s="2315"/>
      <c r="AG241" s="2315"/>
      <c r="AH241" s="2315"/>
      <c r="AI241" s="2315"/>
      <c r="AJ241" s="231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3" t="s">
        <v>442</v>
      </c>
      <c r="I243" s="2313"/>
      <c r="J243" s="1241"/>
      <c r="K243" s="1241"/>
      <c r="L243" s="1239"/>
      <c r="M243" s="1239"/>
      <c r="N243" s="1239"/>
      <c r="O243" s="1239"/>
      <c r="P243" s="1239"/>
      <c r="Q243" s="1239"/>
      <c r="R243" s="1239"/>
      <c r="S243" s="2314"/>
      <c r="T243" s="2315"/>
      <c r="U243" s="2315"/>
      <c r="V243" s="2315"/>
      <c r="W243" s="2315"/>
      <c r="X243" s="2315"/>
      <c r="Y243" s="2315"/>
      <c r="Z243" s="2315"/>
      <c r="AA243" s="2315"/>
      <c r="AB243" s="2315"/>
      <c r="AC243" s="2315"/>
      <c r="AD243" s="2315"/>
      <c r="AE243" s="2315"/>
      <c r="AF243" s="2315"/>
      <c r="AG243" s="2315"/>
      <c r="AH243" s="2315"/>
      <c r="AI243" s="2315"/>
      <c r="AJ243" s="231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7" t="s">
        <v>2283</v>
      </c>
      <c r="I245" s="2317"/>
      <c r="J245" s="2317"/>
      <c r="K245" s="2317"/>
      <c r="L245" s="2317"/>
      <c r="M245" s="2317"/>
      <c r="N245" s="2317"/>
      <c r="O245" s="2317"/>
      <c r="P245" s="1239"/>
      <c r="Q245" s="1239"/>
      <c r="R245" s="1239"/>
      <c r="S245" s="2314"/>
      <c r="T245" s="2315"/>
      <c r="U245" s="2315"/>
      <c r="V245" s="2315"/>
      <c r="W245" s="2315"/>
      <c r="X245" s="2315"/>
      <c r="Y245" s="2315"/>
      <c r="Z245" s="2315"/>
      <c r="AA245" s="2315"/>
      <c r="AB245" s="2315"/>
      <c r="AC245" s="2315"/>
      <c r="AD245" s="2315"/>
      <c r="AE245" s="2315"/>
      <c r="AF245" s="2315"/>
      <c r="AG245" s="2315"/>
      <c r="AH245" s="2315"/>
      <c r="AI245" s="2315"/>
      <c r="AJ245" s="231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8" t="s">
        <v>2282</v>
      </c>
      <c r="I247" s="2318"/>
      <c r="J247" s="1239"/>
      <c r="K247" s="1239"/>
      <c r="L247" s="1239"/>
      <c r="M247" s="1239"/>
      <c r="N247" s="1239"/>
      <c r="O247" s="1239"/>
      <c r="P247" s="1239"/>
      <c r="Q247" s="1239"/>
      <c r="R247" s="1239"/>
      <c r="S247" s="2319"/>
      <c r="T247" s="2320"/>
      <c r="U247" s="2320"/>
      <c r="V247" s="2320"/>
      <c r="W247" s="2320"/>
      <c r="X247" s="2320"/>
      <c r="Y247" s="2320"/>
      <c r="Z247" s="2320"/>
      <c r="AA247" s="2320"/>
      <c r="AB247" s="2320"/>
      <c r="AC247" s="2320"/>
      <c r="AD247" s="2320"/>
      <c r="AE247" s="2320"/>
      <c r="AF247" s="2320"/>
      <c r="AG247" s="2320"/>
      <c r="AH247" s="2320"/>
      <c r="AI247" s="2320"/>
      <c r="AJ247" s="232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zoomScale="90" zoomScaleNormal="90" workbookViewId="0">
      <selection activeCell="AJ35" sqref="AJ35"/>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8" t="s">
        <v>1281</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2.95"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5"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39" t="s">
        <v>375</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65271846</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28520000</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2.95" customHeight="1">
      <c r="B12" s="2354" t="s">
        <v>498</v>
      </c>
      <c r="C12" s="1286"/>
      <c r="D12" s="1286"/>
      <c r="E12" s="1286"/>
      <c r="F12" s="1286"/>
      <c r="G12" s="1286"/>
      <c r="H12" s="1286"/>
      <c r="I12" s="1286"/>
      <c r="J12" s="1286"/>
      <c r="K12" s="1286"/>
      <c r="L12" s="1286"/>
      <c r="M12" s="1286"/>
      <c r="N12" s="1286"/>
      <c r="O12" s="1286"/>
      <c r="P12" s="1286"/>
      <c r="Q12" s="1286"/>
      <c r="R12" s="1286"/>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2.95" customHeight="1">
      <c r="B13" s="435"/>
      <c r="C13" s="2356" t="s">
        <v>499</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2.95" customHeight="1">
      <c r="B14" s="435"/>
      <c r="C14" s="2356" t="s">
        <v>500</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2.95" customHeight="1">
      <c r="B15" s="435"/>
      <c r="C15" s="2356" t="s">
        <v>501</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2.95" customHeight="1">
      <c r="B16" s="435"/>
      <c r="C16" s="2356" t="s">
        <v>806</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2.95" customHeight="1">
      <c r="B17" s="435"/>
      <c r="C17" s="2356" t="s">
        <v>502</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2.95" customHeight="1">
      <c r="A18"/>
      <c r="B18" s="1150"/>
      <c r="C18" s="1811" t="s">
        <v>961</v>
      </c>
      <c r="D18" s="1811"/>
      <c r="E18" s="1811"/>
      <c r="F18" s="1811"/>
      <c r="G18" s="1811"/>
      <c r="H18" s="1811"/>
      <c r="I18" s="1811"/>
      <c r="J18" s="1811"/>
      <c r="K18" s="1811"/>
      <c r="L18" s="1811"/>
      <c r="M18" s="1811"/>
      <c r="N18" s="1811"/>
      <c r="O18" s="1811"/>
      <c r="P18" s="1811"/>
      <c r="Q18" s="1811"/>
      <c r="R18" s="1811"/>
      <c r="S18" s="1812"/>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2.95" customHeight="1">
      <c r="B19" s="1150"/>
      <c r="C19" s="1811" t="s">
        <v>961</v>
      </c>
      <c r="D19" s="1811"/>
      <c r="E19" s="1811"/>
      <c r="F19" s="1811"/>
      <c r="G19" s="1811"/>
      <c r="H19" s="1811"/>
      <c r="I19" s="1811"/>
      <c r="J19" s="1811"/>
      <c r="K19" s="1811"/>
      <c r="L19" s="1811"/>
      <c r="M19" s="1811"/>
      <c r="N19" s="1811"/>
      <c r="O19" s="1811"/>
      <c r="P19" s="1811"/>
      <c r="Q19" s="1811"/>
      <c r="R19" s="1811"/>
      <c r="S19" s="1812"/>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2.95" customHeight="1">
      <c r="B20" s="2339" t="s">
        <v>503</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2.95" customHeight="1">
      <c r="B21" s="2339" t="s">
        <v>1264</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2.95" customHeight="1">
      <c r="B22" s="2339" t="s">
        <v>504</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2.95" customHeight="1">
      <c r="B23" s="2339" t="s">
        <v>505</v>
      </c>
      <c r="C23" s="2340"/>
      <c r="D23" s="2340"/>
      <c r="E23" s="2340"/>
      <c r="F23" s="2340"/>
      <c r="G23" s="2340"/>
      <c r="H23" s="2340"/>
      <c r="I23" s="2340"/>
      <c r="J23" s="2340"/>
      <c r="K23" s="2340"/>
      <c r="L23" s="2340"/>
      <c r="M23" s="2340"/>
      <c r="N23" s="2340"/>
      <c r="O23" s="2340"/>
      <c r="P23" s="2340"/>
      <c r="Q23" s="2340"/>
      <c r="R23" s="2340"/>
      <c r="S23" s="2341"/>
      <c r="T23" s="2332">
        <f>T11+T22</f>
        <v>65271846</v>
      </c>
      <c r="U23" s="2333"/>
      <c r="V23" s="2333"/>
      <c r="W23" s="2333"/>
      <c r="X23" s="2333"/>
      <c r="Y23" s="2332">
        <f>Y11+Y22</f>
        <v>0</v>
      </c>
      <c r="Z23" s="2333"/>
      <c r="AA23" s="2333"/>
      <c r="AB23" s="2333"/>
      <c r="AC23" s="2333"/>
      <c r="AD23" s="2332">
        <f>AD11+AD22</f>
        <v>28520000</v>
      </c>
      <c r="AE23" s="2333"/>
      <c r="AF23" s="2333"/>
      <c r="AG23" s="2333"/>
      <c r="AH23" s="2333"/>
      <c r="AI23" s="2332">
        <f>AI11+AI22</f>
        <v>0</v>
      </c>
      <c r="AJ23" s="2333"/>
      <c r="AK23" s="2333"/>
      <c r="AL23" s="2333"/>
      <c r="AM23" s="2333"/>
    </row>
    <row r="24" spans="1:40" ht="12.95" customHeight="1">
      <c r="B24" s="2339" t="s">
        <v>962</v>
      </c>
      <c r="C24" s="2340"/>
      <c r="D24" s="2340"/>
      <c r="E24" s="2340"/>
      <c r="F24" s="2340"/>
      <c r="G24" s="2340"/>
      <c r="H24" s="2340"/>
      <c r="I24" s="2340"/>
      <c r="J24" s="2340"/>
      <c r="K24" s="2340"/>
      <c r="L24" s="2340"/>
      <c r="M24" s="2340"/>
      <c r="N24" s="2340"/>
      <c r="O24" s="2340"/>
      <c r="P24" s="2340"/>
      <c r="Q24" s="2340"/>
      <c r="R24" s="2340"/>
      <c r="S24" s="2341"/>
      <c r="T24" s="2334">
        <f>Application!AJ1053</f>
        <v>281689156.18000001</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2.95" customHeight="1">
      <c r="B25" s="2343" t="s">
        <v>1265</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39" t="s">
        <v>506</v>
      </c>
      <c r="C26" s="2340"/>
      <c r="D26" s="2340"/>
      <c r="E26" s="2340"/>
      <c r="F26" s="2340"/>
      <c r="G26" s="2340"/>
      <c r="H26" s="2340"/>
      <c r="I26" s="2340"/>
      <c r="J26" s="2340"/>
      <c r="K26" s="2340"/>
      <c r="L26" s="2340"/>
      <c r="M26" s="2340"/>
      <c r="N26" s="2340"/>
      <c r="O26" s="2340"/>
      <c r="P26" s="2340"/>
      <c r="Q26" s="2340"/>
      <c r="R26" s="2340"/>
      <c r="S26" s="2341"/>
      <c r="T26" s="2332">
        <f>T23*T25</f>
        <v>84853399.799999997</v>
      </c>
      <c r="U26" s="2333"/>
      <c r="V26" s="2333"/>
      <c r="W26" s="2333"/>
      <c r="X26" s="2333"/>
      <c r="Y26" s="2332">
        <f>Y23*Y25</f>
        <v>0</v>
      </c>
      <c r="Z26" s="2333"/>
      <c r="AA26" s="2333"/>
      <c r="AB26" s="2333"/>
      <c r="AC26" s="2333"/>
      <c r="AD26" s="2332">
        <f>AD23*AD25</f>
        <v>28520000</v>
      </c>
      <c r="AE26" s="2333"/>
      <c r="AF26" s="2333"/>
      <c r="AG26" s="2333"/>
      <c r="AH26" s="2333"/>
      <c r="AI26" s="2332">
        <f>AI23*AI25</f>
        <v>0</v>
      </c>
      <c r="AJ26" s="2333"/>
      <c r="AK26" s="2333"/>
      <c r="AL26" s="2333"/>
      <c r="AM26" s="2333"/>
    </row>
    <row r="27" spans="1:40" ht="12.95" customHeight="1">
      <c r="A27" s="410"/>
      <c r="B27" s="2346" t="s">
        <v>426</v>
      </c>
      <c r="C27" s="2347"/>
      <c r="D27" s="2347"/>
      <c r="E27" s="2347"/>
      <c r="F27" s="2347"/>
      <c r="G27" s="2347"/>
      <c r="H27" s="2347"/>
      <c r="I27" s="2347"/>
      <c r="J27" s="2347"/>
      <c r="K27" s="2347"/>
      <c r="L27" s="2347"/>
      <c r="M27" s="2347"/>
      <c r="N27" s="2347"/>
      <c r="O27" s="2347"/>
      <c r="P27" s="2347"/>
      <c r="Q27" s="2347"/>
      <c r="R27" s="2347"/>
      <c r="S27" s="2348"/>
      <c r="T27" s="2352">
        <f>Application!$AG$445</f>
        <v>1</v>
      </c>
      <c r="U27" s="2353"/>
      <c r="V27" s="2353"/>
      <c r="W27" s="2353"/>
      <c r="X27" s="2353"/>
      <c r="Y27" s="2352">
        <f>Application!$AG$445</f>
        <v>1</v>
      </c>
      <c r="Z27" s="2353"/>
      <c r="AA27" s="2353"/>
      <c r="AB27" s="2353"/>
      <c r="AC27" s="2353"/>
      <c r="AD27" s="2352">
        <f>Application!$AG$445</f>
        <v>1</v>
      </c>
      <c r="AE27" s="2353"/>
      <c r="AF27" s="2353"/>
      <c r="AG27" s="2353"/>
      <c r="AH27" s="2353"/>
      <c r="AI27" s="2352">
        <f>Application!$AG$445</f>
        <v>1</v>
      </c>
      <c r="AJ27" s="2353"/>
      <c r="AK27" s="2353"/>
      <c r="AL27" s="2353"/>
      <c r="AM27" s="2353"/>
    </row>
    <row r="28" spans="1:40" ht="12.95" customHeight="1">
      <c r="A28" s="404"/>
      <c r="B28" s="2339" t="s">
        <v>507</v>
      </c>
      <c r="C28" s="2340"/>
      <c r="D28" s="2340"/>
      <c r="E28" s="2340"/>
      <c r="F28" s="2340"/>
      <c r="G28" s="2340"/>
      <c r="H28" s="2340"/>
      <c r="I28" s="2340"/>
      <c r="J28" s="2340"/>
      <c r="K28" s="2340"/>
      <c r="L28" s="2340"/>
      <c r="M28" s="2340"/>
      <c r="N28" s="2340"/>
      <c r="O28" s="2340"/>
      <c r="P28" s="2340"/>
      <c r="Q28" s="2340"/>
      <c r="R28" s="2340"/>
      <c r="S28" s="2341"/>
      <c r="T28" s="2332">
        <f>IF(ISERROR((T26*T27)),0,(T26*T27))</f>
        <v>84853399.799999997</v>
      </c>
      <c r="U28" s="2333"/>
      <c r="V28" s="2333"/>
      <c r="W28" s="2333"/>
      <c r="X28" s="2333"/>
      <c r="Y28" s="2332">
        <f>IF(ISERROR((Y26*Y27)),0,(Y26*Y27))</f>
        <v>0</v>
      </c>
      <c r="Z28" s="2333"/>
      <c r="AA28" s="2333"/>
      <c r="AB28" s="2333"/>
      <c r="AC28" s="2333"/>
      <c r="AD28" s="2332">
        <f>IF(ISERROR((AD26*AD27)),0,(AD26*AD27))</f>
        <v>28520000</v>
      </c>
      <c r="AE28" s="2333"/>
      <c r="AF28" s="2333"/>
      <c r="AG28" s="2333"/>
      <c r="AH28" s="2333"/>
      <c r="AI28" s="2332">
        <f>IF(ISERROR((AI26*AI27)),0,(AI26*AI27))</f>
        <v>0</v>
      </c>
      <c r="AJ28" s="2333"/>
      <c r="AK28" s="2333"/>
      <c r="AL28" s="2333"/>
      <c r="AM28" s="2333"/>
    </row>
    <row r="29" spans="1:40" ht="12.95" customHeight="1">
      <c r="B29" s="2339" t="s">
        <v>524</v>
      </c>
      <c r="C29" s="2340"/>
      <c r="D29" s="2340"/>
      <c r="E29" s="2340"/>
      <c r="F29" s="2340"/>
      <c r="G29" s="2340"/>
      <c r="H29" s="2340"/>
      <c r="I29" s="2340"/>
      <c r="J29" s="2340"/>
      <c r="K29" s="2340"/>
      <c r="L29" s="2340"/>
      <c r="M29" s="2340"/>
      <c r="N29" s="2340"/>
      <c r="O29" s="2340"/>
      <c r="P29" s="2340"/>
      <c r="Q29" s="2340"/>
      <c r="R29" s="2340"/>
      <c r="S29" s="2341"/>
      <c r="T29" s="2334">
        <f>T28+Y28+AD28+AI28</f>
        <v>113373399.8</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2.95" customHeight="1">
      <c r="B30" s="2342" t="s">
        <v>1267</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2.95" customHeight="1">
      <c r="B31" s="2342" t="s">
        <v>1266</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1155</v>
      </c>
      <c r="Z35" s="2360"/>
      <c r="AA35" s="2360"/>
      <c r="AB35" s="2360"/>
      <c r="AC35" s="2360"/>
      <c r="AD35" s="2380" t="s">
        <v>369</v>
      </c>
      <c r="AE35" s="2380"/>
      <c r="AF35" s="2380"/>
      <c r="AG35" s="2380"/>
      <c r="AH35" s="2380"/>
    </row>
    <row r="36" spans="1:76" ht="12.95" customHeight="1">
      <c r="B36" s="407"/>
      <c r="X36" s="412"/>
      <c r="Y36" s="2360"/>
      <c r="Z36" s="2360"/>
      <c r="AA36" s="2360"/>
      <c r="AB36" s="2360"/>
      <c r="AC36" s="2360"/>
      <c r="AD36" s="2380"/>
      <c r="AE36" s="2380"/>
      <c r="AF36" s="2380"/>
      <c r="AG36" s="2380"/>
      <c r="AH36" s="2380"/>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80"/>
      <c r="AE37" s="2380"/>
      <c r="AF37" s="2380"/>
      <c r="AG37" s="2380"/>
      <c r="AH37" s="2380"/>
    </row>
    <row r="38" spans="1:76" ht="12.95" customHeight="1">
      <c r="A38" s="404"/>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84853399.799999997</v>
      </c>
      <c r="Z38" s="2333"/>
      <c r="AA38" s="2333"/>
      <c r="AB38" s="2333"/>
      <c r="AC38" s="2333"/>
      <c r="AD38" s="2333">
        <f>IF(T24&gt;=(T23+Y23+AD23+AI23),AD28+AI28,0)</f>
        <v>28520000</v>
      </c>
      <c r="AE38" s="2333"/>
      <c r="AF38" s="2333"/>
      <c r="AG38" s="2333"/>
      <c r="AH38" s="2333"/>
    </row>
    <row r="39" spans="1:76" ht="12.95" customHeight="1">
      <c r="B39" s="2339" t="s">
        <v>1692</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2.95" customHeight="1">
      <c r="A40" s="404"/>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3394136</v>
      </c>
      <c r="Z40" s="2333"/>
      <c r="AA40" s="2333"/>
      <c r="AB40" s="2333"/>
      <c r="AC40" s="2333"/>
      <c r="AD40" s="2332">
        <f>ROUND(AD38*AD39,0)</f>
        <v>1140800</v>
      </c>
      <c r="AE40" s="2333"/>
      <c r="AF40" s="2333"/>
      <c r="AG40" s="2333"/>
      <c r="AH40" s="2333"/>
    </row>
    <row r="41" spans="1:76" ht="12.95"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4534936</v>
      </c>
      <c r="Z41" s="2335"/>
      <c r="AA41" s="2335"/>
      <c r="AB41" s="2335"/>
      <c r="AC41" s="2335"/>
      <c r="AD41" s="2335"/>
      <c r="AE41" s="2335"/>
      <c r="AF41" s="2335"/>
      <c r="AG41" s="2335"/>
      <c r="AH41" s="2332"/>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7" t="s">
        <v>1277</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4" customFormat="1" ht="12.95" customHeight="1" thickTop="1"/>
    <row r="46" spans="1:76" ht="12.95" customHeight="1">
      <c r="A46" s="404" t="s">
        <v>587</v>
      </c>
      <c r="C46" s="404" t="s">
        <v>282</v>
      </c>
    </row>
    <row r="47" spans="1:76" ht="12.95" customHeight="1">
      <c r="D47" s="404" t="s">
        <v>283</v>
      </c>
      <c r="AB47" s="2349">
        <f>'Sources and Uses Budget'!B105-MAX(IF('Sources and Uses Budget'!B15="",0,'Sources and Uses Budget'!B15),IF(Application!AG394="",0,Application!AG394))</f>
        <v>103796270</v>
      </c>
      <c r="AC47" s="2350"/>
      <c r="AD47" s="2350"/>
      <c r="AE47" s="2350"/>
      <c r="AF47" s="2351"/>
    </row>
    <row r="48" spans="1:76" ht="12.95" customHeight="1">
      <c r="D48" s="404" t="s">
        <v>21</v>
      </c>
      <c r="AB48" s="2349">
        <f>Application!AO639-MAX(IF('Sources and Uses Budget'!B15="",0,'Sources and Uses Budget'!B15),IF(Application!AG394="",0,Application!AG394))</f>
        <v>64346272</v>
      </c>
      <c r="AC48" s="2350"/>
      <c r="AD48" s="2350"/>
      <c r="AE48" s="2350"/>
      <c r="AF48" s="2351"/>
    </row>
    <row r="49" spans="1:76" ht="12.95" customHeight="1">
      <c r="D49" s="404" t="s">
        <v>91</v>
      </c>
      <c r="AB49" s="2349">
        <f>AB47-AB48</f>
        <v>39449998</v>
      </c>
      <c r="AC49" s="2350"/>
      <c r="AD49" s="2350"/>
      <c r="AE49" s="2350"/>
      <c r="AF49" s="2351"/>
    </row>
    <row r="50" spans="1:76" ht="12.95" customHeight="1">
      <c r="D50" s="404" t="s">
        <v>682</v>
      </c>
      <c r="AA50" s="415"/>
      <c r="AB50" s="2376">
        <f>AB49/(Y41*10)</f>
        <v>0.86991300428495577</v>
      </c>
      <c r="AC50" s="2377"/>
      <c r="AD50" s="2377"/>
      <c r="AE50" s="2377"/>
      <c r="AF50" s="2378"/>
    </row>
    <row r="51" spans="1:76" s="417" customFormat="1" ht="12.95" customHeight="1">
      <c r="A51" s="402"/>
      <c r="B51" s="402"/>
      <c r="C51" s="402"/>
      <c r="D51" s="402"/>
      <c r="E51" s="2379" t="s">
        <v>2612</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9">
        <f>ROUND(IF(ISERROR((AB49/AB50)),0,(AB49/AB50)),0)</f>
        <v>45349360</v>
      </c>
      <c r="AC54" s="2350"/>
      <c r="AD54" s="2350"/>
      <c r="AE54" s="2350"/>
      <c r="AF54" s="2351"/>
    </row>
    <row r="55" spans="1:76" ht="12.95" customHeight="1">
      <c r="D55" s="404" t="s">
        <v>333</v>
      </c>
      <c r="AB55" s="2349">
        <f>(AB54/10)</f>
        <v>4534936</v>
      </c>
      <c r="AC55" s="2350"/>
      <c r="AD55" s="2350"/>
      <c r="AE55" s="2350"/>
      <c r="AF55" s="2351"/>
    </row>
    <row r="56" spans="1:76" ht="12.95" customHeight="1">
      <c r="D56" s="404" t="s">
        <v>757</v>
      </c>
      <c r="AB56" s="2349">
        <f>ROUND((IF((Y41&lt;AB55),Y41,AB55)),0)</f>
        <v>4534936</v>
      </c>
      <c r="AC56" s="2350"/>
      <c r="AD56" s="2350"/>
      <c r="AE56" s="2350"/>
      <c r="AF56" s="2351"/>
    </row>
    <row r="57" spans="1:76" ht="12.95" customHeight="1">
      <c r="D57" s="404" t="s">
        <v>756</v>
      </c>
      <c r="AB57" s="2349">
        <f>ROUND((10*AB56*AB50),0)</f>
        <v>39449998</v>
      </c>
      <c r="AC57" s="2350"/>
      <c r="AD57" s="2350"/>
      <c r="AE57" s="2350"/>
      <c r="AF57" s="2351"/>
    </row>
    <row r="58" spans="1:76" ht="12.95" customHeight="1">
      <c r="D58" s="404"/>
      <c r="AB58" s="423"/>
      <c r="AC58" s="423"/>
      <c r="AD58" s="423"/>
      <c r="AE58" s="423"/>
      <c r="AF58" s="423"/>
    </row>
    <row r="59" spans="1:76" ht="12.95" customHeight="1">
      <c r="D59" s="404" t="s">
        <v>755</v>
      </c>
      <c r="AB59" s="2372">
        <f>AB49-AB57</f>
        <v>0</v>
      </c>
      <c r="AC59" s="2372"/>
      <c r="AD59" s="2372"/>
      <c r="AE59" s="2372"/>
      <c r="AF59" s="2372"/>
    </row>
    <row r="60" spans="1:76" ht="12.95" customHeight="1">
      <c r="D60" s="404"/>
      <c r="AB60" s="423"/>
      <c r="AC60" s="423"/>
      <c r="AD60" s="423"/>
      <c r="AE60" s="423"/>
      <c r="AF60" s="423"/>
    </row>
    <row r="61" spans="1:76" s="204" customFormat="1" ht="12.95"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4" customFormat="1" ht="12.95" customHeight="1" thickTop="1"/>
    <row r="63" spans="1:76" ht="12.95" customHeight="1">
      <c r="A63" s="404" t="s">
        <v>590</v>
      </c>
      <c r="C63" s="205" t="s">
        <v>1249</v>
      </c>
      <c r="Y63" s="2373" t="s">
        <v>985</v>
      </c>
      <c r="Z63" s="2373"/>
      <c r="AA63" s="2373"/>
      <c r="AB63" s="2373"/>
      <c r="AC63" s="2373"/>
      <c r="AD63" s="2373" t="s">
        <v>369</v>
      </c>
      <c r="AE63" s="2373"/>
      <c r="AF63" s="2373"/>
      <c r="AG63" s="2373"/>
      <c r="AH63" s="2373"/>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4">
        <f>IF(Application!$Z$205="(select)",0,((T23*T27)+Y28))</f>
        <v>0</v>
      </c>
      <c r="Z64" s="2374"/>
      <c r="AA64" s="2374"/>
      <c r="AB64" s="2374"/>
      <c r="AC64" s="2375"/>
      <c r="AD64" s="2334">
        <f>IF(AND(OR(Application!D211="At-Risk",Application!D211="At-Risk and Special Needs"),Application!M358="yes"),AD28+AI28,0)</f>
        <v>0</v>
      </c>
      <c r="AE64" s="2374"/>
      <c r="AF64" s="2374"/>
      <c r="AG64" s="2374"/>
      <c r="AH64" s="2375"/>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7">
        <f>IF(OR(Application!Z205="State Farmworker Credit",Application!Z205="$500M (Farmworker Housing)"),0.75,IF(Application!Z205="15% set-aside",0.13,IF(Application!Z205="15% set-aside with qualifying low value rehab",0.95,IF(Application!Z205="$500M",0.3,0))))</f>
        <v>0</v>
      </c>
      <c r="Z67" s="2387"/>
      <c r="AA67" s="2387"/>
      <c r="AB67" s="2387"/>
      <c r="AC67" s="2387"/>
      <c r="AD67" s="2387">
        <f>IF(Application!Z205="15% set-aside with qualifying low value rehab", 0.95,IF(OR(Application!D211="At-Risk",'Points System'!B13="Yes"),0.13,0))</f>
        <v>0</v>
      </c>
      <c r="AE67" s="2387"/>
      <c r="AF67" s="2387"/>
      <c r="AG67" s="2387"/>
      <c r="AH67" s="2387"/>
    </row>
    <row r="68" spans="1:36" ht="12.95" customHeight="1">
      <c r="C68" s="404"/>
      <c r="D68" s="205" t="s">
        <v>2225</v>
      </c>
      <c r="Y68" s="2333">
        <f>ROUND(Y64*Y67,0)</f>
        <v>0</v>
      </c>
      <c r="Z68" s="2388"/>
      <c r="AA68" s="2388"/>
      <c r="AB68" s="2388"/>
      <c r="AC68" s="2388"/>
      <c r="AD68" s="2333">
        <f>ROUND(AD64*AD67,0)</f>
        <v>0</v>
      </c>
      <c r="AE68" s="2388"/>
      <c r="AF68" s="2388"/>
      <c r="AG68" s="2388"/>
      <c r="AH68" s="2388"/>
    </row>
    <row r="69" spans="1:36" ht="12.95" customHeight="1">
      <c r="C69" s="404"/>
      <c r="D69" s="205" t="s">
        <v>2226</v>
      </c>
      <c r="Y69" s="2333">
        <f>IF(OR(Application!Z205="State Farmworker Credit",Application!Z205="$500M (Farmworker Housing)"),Y68+AD68,MIN(Y68+AD68,200000*(Application!G753+Application!O777)))</f>
        <v>0</v>
      </c>
      <c r="Z69" s="2333"/>
      <c r="AA69" s="2333"/>
      <c r="AB69" s="2333"/>
      <c r="AC69" s="2333"/>
      <c r="AD69" s="2333"/>
      <c r="AE69" s="2333"/>
      <c r="AF69" s="2333"/>
      <c r="AG69" s="2333"/>
      <c r="AH69" s="2333"/>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6"/>
      <c r="AC72" s="2377"/>
      <c r="AD72" s="2377"/>
      <c r="AE72" s="2377"/>
      <c r="AF72" s="2378"/>
    </row>
    <row r="73" spans="1:36" ht="12.95" customHeight="1">
      <c r="A73" s="404"/>
      <c r="C73" s="404"/>
      <c r="D73" s="404"/>
      <c r="E73" s="2389" t="s">
        <v>1252</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8"/>
      <c r="AC73" s="438"/>
    </row>
    <row r="74" spans="1:36" ht="12.95" customHeight="1">
      <c r="A74" s="404"/>
      <c r="C74" s="404"/>
      <c r="D74" s="404"/>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8"/>
      <c r="AC74" s="438"/>
    </row>
    <row r="75" spans="1:36" ht="12.95" customHeight="1">
      <c r="A75" s="404"/>
      <c r="C75" s="404"/>
      <c r="D75" s="404"/>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82">
        <f>ROUND(IF(ISERROR((AB59/AB72)),0,(AB59/AB72)),0)</f>
        <v>0</v>
      </c>
      <c r="AC77" s="2382"/>
      <c r="AD77" s="2382"/>
      <c r="AE77" s="2382"/>
      <c r="AF77" s="2382"/>
    </row>
    <row r="78" spans="1:36" ht="12.95" customHeight="1">
      <c r="C78" s="404"/>
      <c r="D78" s="205" t="s">
        <v>1254</v>
      </c>
      <c r="AB78" s="2383">
        <f>ROUNDUP(MIN(Y69,AB77),0)</f>
        <v>0</v>
      </c>
      <c r="AC78" s="2384"/>
      <c r="AD78" s="2384"/>
      <c r="AE78" s="2384"/>
      <c r="AF78" s="2385"/>
    </row>
    <row r="79" spans="1:36" ht="12.95" customHeight="1">
      <c r="C79" s="404"/>
      <c r="D79" s="205" t="s">
        <v>1255</v>
      </c>
      <c r="AB79" s="2386">
        <f>AB78*AB72</f>
        <v>0</v>
      </c>
      <c r="AC79" s="2386"/>
      <c r="AD79" s="2386"/>
      <c r="AE79" s="2386"/>
      <c r="AF79" s="2386"/>
    </row>
    <row r="80" spans="1:36" ht="12.95" customHeight="1">
      <c r="C80" s="404"/>
      <c r="D80" s="404"/>
      <c r="AB80" s="425"/>
      <c r="AC80" s="425"/>
      <c r="AD80" s="425"/>
      <c r="AE80" s="425"/>
      <c r="AF80" s="425"/>
    </row>
    <row r="81" spans="1:78" ht="12.95" customHeight="1">
      <c r="D81" s="404" t="s">
        <v>755</v>
      </c>
      <c r="AB81" s="2372">
        <f>AB49-(AB57+AB79)</f>
        <v>0</v>
      </c>
      <c r="AC81" s="2372"/>
      <c r="AD81" s="2372"/>
      <c r="AE81" s="2372"/>
      <c r="AF81" s="2372"/>
    </row>
    <row r="82" spans="1:78" ht="12.95" customHeight="1">
      <c r="F82" s="522"/>
      <c r="J82" s="522" t="str">
        <f>IF(AB81&gt;0,"FUNDING GAP MUST NOT EXCEED ZERO","")</f>
        <v/>
      </c>
    </row>
    <row r="83" spans="1:78" ht="12.95" customHeight="1">
      <c r="D83" s="523"/>
    </row>
    <row r="84" spans="1:78" ht="12.95"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2.95" customHeight="1" thickTop="1"/>
    <row r="86" spans="1:78" ht="12.95" customHeight="1">
      <c r="A86" s="404"/>
      <c r="C86" s="205"/>
    </row>
    <row r="87" spans="1:78" ht="12.95" customHeight="1">
      <c r="D87" s="205"/>
      <c r="AB87" s="2338"/>
      <c r="AC87" s="2338"/>
      <c r="AD87" s="2338"/>
      <c r="AE87" s="2338"/>
      <c r="AF87" s="2338"/>
    </row>
    <row r="88" spans="1:78" ht="12.95" customHeight="1" thickBot="1">
      <c r="D88" s="205"/>
      <c r="AB88" s="2336"/>
      <c r="AC88" s="2336"/>
      <c r="AD88" s="2336"/>
      <c r="AE88" s="2336"/>
      <c r="AF88" s="233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90" zoomScaleNormal="90" workbookViewId="0">
      <selection activeCell="E127" sqref="E127:H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0" t="s">
        <v>1301</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2"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1" t="s">
        <v>1306</v>
      </c>
      <c r="AF7" s="2461"/>
      <c r="AG7" s="2461"/>
      <c r="AH7" s="2461"/>
      <c r="AI7" s="2461"/>
      <c r="AJ7" s="2461"/>
      <c r="AK7" s="2461"/>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4" t="s">
        <v>592</v>
      </c>
      <c r="C13" s="2614"/>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2"/>
      <c r="AH13" s="2622"/>
      <c r="AI13" s="2622"/>
      <c r="AJ13" s="2623"/>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4" t="s">
        <v>592</v>
      </c>
      <c r="C16" s="2614"/>
      <c r="D16" s="547"/>
      <c r="E16" s="2606" t="s">
        <v>1308</v>
      </c>
      <c r="F16" s="2607"/>
      <c r="G16" s="2607"/>
      <c r="H16" s="2607"/>
      <c r="I16" s="2607"/>
      <c r="J16" s="2607"/>
      <c r="K16" s="2607"/>
      <c r="L16" s="2607"/>
      <c r="M16" s="2607"/>
      <c r="N16" s="2607"/>
      <c r="O16" s="2607"/>
      <c r="P16" s="2607"/>
      <c r="Q16" s="2607"/>
      <c r="R16" s="2607"/>
      <c r="S16" s="2607"/>
      <c r="T16" s="2607"/>
      <c r="U16" s="2607"/>
      <c r="V16" s="2607"/>
      <c r="W16" s="2607"/>
      <c r="X16" s="2607"/>
      <c r="Y16" s="2607"/>
      <c r="Z16" s="2607"/>
      <c r="AA16" s="2607"/>
      <c r="AB16" s="2607"/>
      <c r="AC16" s="2607"/>
      <c r="AD16" s="2607"/>
      <c r="AE16" s="2607"/>
      <c r="AF16" s="2607"/>
      <c r="AG16" s="2607"/>
      <c r="AH16" s="2607"/>
      <c r="AI16" s="2607"/>
      <c r="AJ16" s="2608"/>
      <c r="AK16" s="540"/>
      <c r="AL16" s="540"/>
      <c r="AM16" s="540"/>
      <c r="AN16" s="535"/>
      <c r="AO16" s="550">
        <f>IF($B25="yes",20,0)</f>
        <v>0</v>
      </c>
      <c r="AP16" s="14"/>
    </row>
    <row r="17" spans="1:42" s="536" customFormat="1" ht="12.75" customHeight="1">
      <c r="A17" s="540"/>
      <c r="B17" s="540"/>
      <c r="C17" s="540"/>
      <c r="D17" s="551"/>
      <c r="E17" s="2609"/>
      <c r="F17" s="2610"/>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1"/>
      <c r="AK17" s="540"/>
      <c r="AL17" s="540"/>
      <c r="AM17" s="540"/>
      <c r="AN17" s="535"/>
      <c r="AO17" s="550">
        <f>IF($B28="yes",20,0)</f>
        <v>0</v>
      </c>
    </row>
    <row r="18" spans="1:42" s="536" customFormat="1" ht="12.75" customHeight="1">
      <c r="A18" s="540"/>
      <c r="B18" s="540"/>
      <c r="C18" s="540"/>
      <c r="D18" s="551"/>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0"/>
      <c r="F20" s="2631"/>
      <c r="G20" s="2631"/>
      <c r="H20" s="2631"/>
      <c r="I20" s="2631"/>
      <c r="J20" s="2631"/>
      <c r="K20" s="2631"/>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4" t="s">
        <v>592</v>
      </c>
      <c r="C22" s="2614"/>
      <c r="D22" s="547"/>
      <c r="E22" s="2624" t="s">
        <v>1311</v>
      </c>
      <c r="F22" s="2625"/>
      <c r="G22" s="2625"/>
      <c r="H22" s="2625"/>
      <c r="I22" s="2625"/>
      <c r="J22" s="2625"/>
      <c r="K22" s="2625"/>
      <c r="L22" s="2625"/>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6"/>
      <c r="AK22" s="540"/>
      <c r="AL22" s="540"/>
      <c r="AM22" s="540"/>
      <c r="AN22" s="535"/>
      <c r="AO22" s="550">
        <f>IF($B40="yes",14,0)</f>
        <v>0</v>
      </c>
    </row>
    <row r="23" spans="1:42" s="536" customFormat="1" ht="12.75" customHeight="1">
      <c r="A23" s="540"/>
      <c r="B23" s="540"/>
      <c r="C23" s="540"/>
      <c r="D23" s="550"/>
      <c r="E23" s="2627"/>
      <c r="F23" s="2628"/>
      <c r="G23" s="2628"/>
      <c r="H23" s="2628"/>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9"/>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4" t="s">
        <v>592</v>
      </c>
      <c r="C25" s="2614"/>
      <c r="D25" s="547"/>
      <c r="E25" s="2541" t="s">
        <v>2034</v>
      </c>
      <c r="F25" s="2542"/>
      <c r="G25" s="2542"/>
      <c r="H25" s="2542"/>
      <c r="I25" s="2542"/>
      <c r="J25" s="2542"/>
      <c r="K25" s="2542"/>
      <c r="L25" s="2542"/>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3"/>
      <c r="AK25" s="540"/>
      <c r="AL25" s="540"/>
      <c r="AM25" s="540"/>
      <c r="AN25" s="535"/>
      <c r="AO25" s="550">
        <f>IF($B45="yes",6,0)</f>
        <v>0</v>
      </c>
    </row>
    <row r="26" spans="1:42" s="536" customFormat="1" ht="12.75" customHeight="1">
      <c r="A26" s="540"/>
      <c r="B26" s="540"/>
      <c r="C26" s="540"/>
      <c r="D26" s="550"/>
      <c r="E26" s="2566"/>
      <c r="F26" s="2567"/>
      <c r="G26" s="2567"/>
      <c r="H26" s="2567"/>
      <c r="I26" s="2567"/>
      <c r="J26" s="2567"/>
      <c r="K26" s="2567"/>
      <c r="L26" s="2567"/>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8"/>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4" t="s">
        <v>592</v>
      </c>
      <c r="C28" s="2614"/>
      <c r="D28" s="547"/>
      <c r="E28" s="2643" t="s">
        <v>2249</v>
      </c>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4" t="s">
        <v>592</v>
      </c>
      <c r="C33" s="2614"/>
      <c r="D33" s="547"/>
      <c r="E33" s="2624" t="s">
        <v>2251</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50"/>
    </row>
    <row r="34" spans="1:41" s="536" customFormat="1" ht="12.75" customHeight="1">
      <c r="A34" s="540"/>
      <c r="B34" s="540"/>
      <c r="C34" s="540"/>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4" t="s">
        <v>592</v>
      </c>
      <c r="C36" s="2614"/>
      <c r="D36" s="547"/>
      <c r="E36" s="2541" t="s">
        <v>2252</v>
      </c>
      <c r="F36" s="2542"/>
      <c r="G36" s="2542"/>
      <c r="H36" s="2542"/>
      <c r="I36" s="2542"/>
      <c r="J36" s="2542"/>
      <c r="K36" s="2542"/>
      <c r="L36" s="2542"/>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3"/>
      <c r="AK36" s="540"/>
      <c r="AL36" s="540"/>
      <c r="AM36" s="540"/>
      <c r="AN36" s="535"/>
    </row>
    <row r="37" spans="1:41" s="536" customFormat="1" ht="12.75" customHeight="1">
      <c r="A37" s="540"/>
      <c r="B37" s="540"/>
      <c r="C37" s="540"/>
      <c r="E37" s="2544"/>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540"/>
      <c r="AL37" s="540"/>
      <c r="AM37" s="540"/>
      <c r="AN37" s="535"/>
    </row>
    <row r="38" spans="1:41" s="536" customFormat="1" ht="12.75" customHeight="1">
      <c r="A38" s="540"/>
      <c r="B38" s="540"/>
      <c r="C38" s="540"/>
      <c r="E38" s="2566"/>
      <c r="F38" s="2567"/>
      <c r="G38" s="2567"/>
      <c r="H38" s="2567"/>
      <c r="I38" s="2567"/>
      <c r="J38" s="2567"/>
      <c r="K38" s="2567"/>
      <c r="L38" s="2567"/>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4" t="s">
        <v>592</v>
      </c>
      <c r="C40" s="2614"/>
      <c r="D40" s="547"/>
      <c r="E40" s="2541" t="s">
        <v>2250</v>
      </c>
      <c r="F40" s="2542"/>
      <c r="G40" s="2542"/>
      <c r="H40" s="2542"/>
      <c r="I40" s="2542"/>
      <c r="J40" s="2542"/>
      <c r="K40" s="2542"/>
      <c r="L40" s="2542"/>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3"/>
      <c r="AK40" s="540"/>
      <c r="AL40" s="540"/>
      <c r="AM40" s="540"/>
      <c r="AN40" s="535"/>
    </row>
    <row r="41" spans="1:41" s="536" customFormat="1" ht="12.75" customHeight="1">
      <c r="A41" s="540"/>
      <c r="B41" s="540"/>
      <c r="C41" s="540"/>
      <c r="E41" s="2566"/>
      <c r="F41" s="2567"/>
      <c r="G41" s="2567"/>
      <c r="H41" s="2567"/>
      <c r="I41" s="2567"/>
      <c r="J41" s="2567"/>
      <c r="K41" s="2567"/>
      <c r="L41" s="2567"/>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4" t="s">
        <v>592</v>
      </c>
      <c r="C45" s="2614"/>
      <c r="D45" s="1142"/>
      <c r="E45" s="2541" t="s">
        <v>2009</v>
      </c>
      <c r="F45" s="2542"/>
      <c r="G45" s="2542"/>
      <c r="H45" s="2542"/>
      <c r="I45" s="2542"/>
      <c r="J45" s="2542"/>
      <c r="K45" s="2542"/>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3"/>
      <c r="AK45" s="1142"/>
      <c r="AL45" s="540"/>
      <c r="AM45" s="540"/>
      <c r="AN45" s="535"/>
    </row>
    <row r="46" spans="1:41" s="536" customFormat="1" ht="12.75" customHeight="1">
      <c r="A46" s="540"/>
      <c r="B46" s="540"/>
      <c r="C46" s="540"/>
      <c r="E46" s="2544"/>
      <c r="F46" s="2545"/>
      <c r="G46" s="2545"/>
      <c r="H46" s="2545"/>
      <c r="I46" s="2545"/>
      <c r="J46" s="2545"/>
      <c r="K46" s="2545"/>
      <c r="L46" s="2545"/>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6"/>
      <c r="AK46" s="540"/>
      <c r="AL46" s="540"/>
      <c r="AM46" s="540"/>
      <c r="AN46" s="535"/>
    </row>
    <row r="47" spans="1:41" s="536" customFormat="1" ht="12.75" customHeight="1">
      <c r="A47" s="540"/>
      <c r="D47" s="547"/>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4" t="s">
        <v>592</v>
      </c>
      <c r="C52" s="2614"/>
      <c r="D52" s="540"/>
      <c r="E52" s="2541" t="s">
        <v>2014</v>
      </c>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3"/>
      <c r="AK52" s="540"/>
      <c r="AL52" s="540"/>
      <c r="AM52" s="540"/>
      <c r="AN52" s="535"/>
      <c r="AO52" s="559"/>
    </row>
    <row r="53" spans="1:50" s="536" customFormat="1" ht="12.75" customHeight="1">
      <c r="A53" s="540"/>
      <c r="D53" s="547"/>
      <c r="E53" s="2544"/>
      <c r="F53" s="2545"/>
      <c r="G53" s="2545"/>
      <c r="H53" s="2545"/>
      <c r="I53" s="2545"/>
      <c r="J53" s="2545"/>
      <c r="K53" s="2545"/>
      <c r="L53" s="2545"/>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6"/>
      <c r="AK53" s="540"/>
      <c r="AL53" s="540"/>
      <c r="AM53" s="540"/>
      <c r="AN53" s="535"/>
      <c r="AO53" s="559"/>
    </row>
    <row r="54" spans="1:50" s="536" customFormat="1" ht="12.75" customHeight="1">
      <c r="A54" s="540"/>
      <c r="D54" s="540"/>
      <c r="E54" s="2566"/>
      <c r="F54" s="2567"/>
      <c r="G54" s="2567"/>
      <c r="H54" s="2567"/>
      <c r="I54" s="2567"/>
      <c r="J54" s="2567"/>
      <c r="K54" s="2567"/>
      <c r="L54" s="2567"/>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4" t="s">
        <v>592</v>
      </c>
      <c r="C56" s="2614"/>
      <c r="D56" s="540"/>
      <c r="E56" s="2640" t="s">
        <v>2015</v>
      </c>
      <c r="F56" s="2641"/>
      <c r="G56" s="2641"/>
      <c r="H56" s="2641"/>
      <c r="I56" s="2641"/>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4" t="s">
        <v>592</v>
      </c>
      <c r="C58" s="2614"/>
      <c r="D58" s="540"/>
      <c r="E58" s="2541" t="s">
        <v>2016</v>
      </c>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3"/>
      <c r="AK58" s="540"/>
      <c r="AL58" s="540"/>
      <c r="AM58" s="540"/>
      <c r="AN58" s="535"/>
    </row>
    <row r="59" spans="1:50" s="536" customFormat="1" ht="12.75" customHeight="1">
      <c r="A59" s="540"/>
      <c r="B59" s="547"/>
      <c r="C59" s="547"/>
      <c r="D59" s="547"/>
      <c r="E59" s="2566"/>
      <c r="F59" s="2567"/>
      <c r="G59" s="2567"/>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7">
        <f>AO39</f>
        <v>0</v>
      </c>
      <c r="AL62" s="2588"/>
      <c r="AM62" s="258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1" t="s">
        <v>1315</v>
      </c>
      <c r="AF65" s="2461"/>
      <c r="AG65" s="2461"/>
      <c r="AH65" s="2461"/>
      <c r="AI65" s="2461"/>
      <c r="AJ65" s="2461"/>
      <c r="AK65" s="2461"/>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4" t="s">
        <v>592</v>
      </c>
      <c r="C68" s="2614"/>
      <c r="D68" s="547" t="s">
        <v>1316</v>
      </c>
      <c r="E68" s="2606" t="s">
        <v>2017</v>
      </c>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8"/>
      <c r="AK68" s="543"/>
      <c r="AL68" s="540"/>
      <c r="AM68" s="540"/>
      <c r="AN68" s="535"/>
      <c r="AO68" s="550">
        <f>IF($B68="yes",10,0)</f>
        <v>0</v>
      </c>
    </row>
    <row r="69" spans="1:42" s="536" customFormat="1" ht="12.75" customHeight="1">
      <c r="A69" s="538"/>
      <c r="B69" s="540"/>
      <c r="C69" s="540"/>
      <c r="D69" s="551"/>
      <c r="E69" s="2609"/>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1"/>
      <c r="AK69" s="543"/>
      <c r="AL69" s="540"/>
      <c r="AM69" s="540"/>
      <c r="AN69" s="535"/>
      <c r="AO69" s="550">
        <f>IF($B74="yes",10,0)</f>
        <v>0</v>
      </c>
    </row>
    <row r="70" spans="1:42" s="536" customFormat="1" ht="12.75" customHeight="1">
      <c r="A70" s="538"/>
      <c r="B70" s="540"/>
      <c r="C70" s="540"/>
      <c r="D70" s="551"/>
      <c r="E70" s="2609"/>
      <c r="F70" s="2610"/>
      <c r="G70" s="2610"/>
      <c r="H70" s="2610"/>
      <c r="I70" s="2610"/>
      <c r="J70" s="2610"/>
      <c r="K70" s="2610"/>
      <c r="L70" s="2610"/>
      <c r="M70" s="2610"/>
      <c r="N70" s="2610"/>
      <c r="O70" s="2610"/>
      <c r="P70" s="2610"/>
      <c r="Q70" s="2610"/>
      <c r="R70" s="2610"/>
      <c r="S70" s="2610"/>
      <c r="T70" s="2610"/>
      <c r="U70" s="2610"/>
      <c r="V70" s="2610"/>
      <c r="W70" s="2610"/>
      <c r="X70" s="2610"/>
      <c r="Y70" s="2610"/>
      <c r="Z70" s="2610"/>
      <c r="AA70" s="2610"/>
      <c r="AB70" s="2610"/>
      <c r="AC70" s="2610"/>
      <c r="AD70" s="2610"/>
      <c r="AE70" s="2610"/>
      <c r="AF70" s="2610"/>
      <c r="AG70" s="2610"/>
      <c r="AH70" s="2610"/>
      <c r="AI70" s="2610"/>
      <c r="AJ70" s="2611"/>
      <c r="AK70" s="543"/>
      <c r="AL70" s="540"/>
      <c r="AM70" s="540"/>
      <c r="AN70" s="535"/>
      <c r="AO70" s="550">
        <f>IF($B81="yes",10,0)</f>
        <v>10</v>
      </c>
    </row>
    <row r="71" spans="1:42" s="536" customFormat="1" ht="12.75" customHeight="1">
      <c r="A71" s="538"/>
      <c r="B71" s="540"/>
      <c r="C71" s="540"/>
      <c r="D71" s="551"/>
      <c r="E71" s="2609"/>
      <c r="F71" s="2610"/>
      <c r="G71" s="2610"/>
      <c r="H71" s="2610"/>
      <c r="I71" s="2610"/>
      <c r="J71" s="2610"/>
      <c r="K71" s="2610"/>
      <c r="L71" s="2610"/>
      <c r="M71" s="2610"/>
      <c r="N71" s="2610"/>
      <c r="O71" s="2610"/>
      <c r="P71" s="2610"/>
      <c r="Q71" s="2610"/>
      <c r="R71" s="2610"/>
      <c r="S71" s="2610"/>
      <c r="T71" s="2610"/>
      <c r="U71" s="2610"/>
      <c r="V71" s="2610"/>
      <c r="W71" s="2610"/>
      <c r="X71" s="2610"/>
      <c r="Y71" s="2610"/>
      <c r="Z71" s="2610"/>
      <c r="AA71" s="2610"/>
      <c r="AB71" s="2610"/>
      <c r="AC71" s="2610"/>
      <c r="AD71" s="2610"/>
      <c r="AE71" s="2610"/>
      <c r="AF71" s="2610"/>
      <c r="AG71" s="2610"/>
      <c r="AH71" s="2610"/>
      <c r="AI71" s="2610"/>
      <c r="AJ71" s="2611"/>
      <c r="AK71" s="543"/>
      <c r="AL71" s="540"/>
      <c r="AM71" s="540"/>
      <c r="AN71" s="535"/>
      <c r="AO71" s="536">
        <f>IF(SUM(AO68:AO70)&gt;10,10,(SUM(AO68:AO70)))</f>
        <v>10</v>
      </c>
      <c r="AP71" s="574" t="s">
        <v>1317</v>
      </c>
    </row>
    <row r="72" spans="1:42" s="536" customFormat="1" ht="12.75" customHeight="1">
      <c r="A72" s="538"/>
      <c r="B72" s="540"/>
      <c r="C72" s="540"/>
      <c r="D72" s="551"/>
      <c r="E72" s="2636"/>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2637"/>
      <c r="AC72" s="2637"/>
      <c r="AD72" s="2637"/>
      <c r="AE72" s="2637"/>
      <c r="AF72" s="2637"/>
      <c r="AG72" s="2637"/>
      <c r="AH72" s="2637"/>
      <c r="AI72" s="2637"/>
      <c r="AJ72" s="263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4" t="s">
        <v>592</v>
      </c>
      <c r="C74" s="2614"/>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9" t="s">
        <v>592</v>
      </c>
      <c r="F75" s="2614"/>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4" t="s">
        <v>592</v>
      </c>
      <c r="F76" s="2635"/>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4" t="s">
        <v>592</v>
      </c>
      <c r="F77" s="2635"/>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9" t="s">
        <v>592</v>
      </c>
      <c r="F79" s="2614"/>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4" t="s">
        <v>546</v>
      </c>
      <c r="C81" s="2614"/>
      <c r="D81" s="547" t="s">
        <v>1321</v>
      </c>
      <c r="E81" s="2541" t="s">
        <v>1741</v>
      </c>
      <c r="F81" s="2542"/>
      <c r="G81" s="2542"/>
      <c r="H81" s="2542"/>
      <c r="I81" s="2542"/>
      <c r="J81" s="2542"/>
      <c r="K81" s="2542"/>
      <c r="L81" s="2542"/>
      <c r="M81" s="2542"/>
      <c r="N81" s="2542"/>
      <c r="O81" s="2542"/>
      <c r="P81" s="2542"/>
      <c r="Q81" s="2542"/>
      <c r="R81" s="2542"/>
      <c r="S81" s="2542"/>
      <c r="T81" s="2542"/>
      <c r="U81" s="2542"/>
      <c r="V81" s="2542"/>
      <c r="W81" s="2542"/>
      <c r="X81" s="2542"/>
      <c r="Y81" s="2542"/>
      <c r="Z81" s="2542"/>
      <c r="AA81" s="2542"/>
      <c r="AB81" s="2542"/>
      <c r="AC81" s="2542"/>
      <c r="AD81" s="2542"/>
      <c r="AE81" s="2542"/>
      <c r="AF81" s="2542"/>
      <c r="AG81" s="2542"/>
      <c r="AH81" s="2542"/>
      <c r="AI81" s="2542"/>
      <c r="AJ81" s="2543"/>
      <c r="AK81" s="543"/>
      <c r="AL81" s="540"/>
      <c r="AM81" s="540"/>
      <c r="AN81" s="535"/>
    </row>
    <row r="82" spans="1:43" s="536" customFormat="1" ht="12.75" customHeight="1">
      <c r="A82" s="538"/>
      <c r="B82" s="540"/>
      <c r="C82" s="540"/>
      <c r="D82" s="550"/>
      <c r="E82" s="2566"/>
      <c r="F82" s="2567"/>
      <c r="G82" s="2567"/>
      <c r="H82" s="2567"/>
      <c r="I82" s="2567"/>
      <c r="J82" s="2567"/>
      <c r="K82" s="2567"/>
      <c r="L82" s="2567"/>
      <c r="M82" s="2567"/>
      <c r="N82" s="2567"/>
      <c r="O82" s="2567"/>
      <c r="P82" s="2567"/>
      <c r="Q82" s="2567"/>
      <c r="R82" s="2567"/>
      <c r="S82" s="2567"/>
      <c r="T82" s="2567"/>
      <c r="U82" s="2567"/>
      <c r="V82" s="2567"/>
      <c r="W82" s="2567"/>
      <c r="X82" s="2567"/>
      <c r="Y82" s="2567"/>
      <c r="Z82" s="2567"/>
      <c r="AA82" s="2567"/>
      <c r="AB82" s="2567"/>
      <c r="AC82" s="2567"/>
      <c r="AD82" s="2567"/>
      <c r="AE82" s="2567"/>
      <c r="AF82" s="2567"/>
      <c r="AG82" s="2567"/>
      <c r="AH82" s="2567"/>
      <c r="AI82" s="2567"/>
      <c r="AJ82" s="256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7">
        <f>IF(AK62&gt;0,0,AO71)</f>
        <v>10</v>
      </c>
      <c r="AL84" s="2588"/>
      <c r="AM84" s="258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1" t="s">
        <v>1306</v>
      </c>
      <c r="AF87" s="2461"/>
      <c r="AG87" s="2461"/>
      <c r="AH87" s="2461"/>
      <c r="AI87" s="2461"/>
      <c r="AJ87" s="2461"/>
      <c r="AK87" s="2461"/>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4" t="s">
        <v>592</v>
      </c>
      <c r="C90" s="2614"/>
      <c r="D90" s="547" t="s">
        <v>1316</v>
      </c>
      <c r="E90" s="2606" t="s">
        <v>1326</v>
      </c>
      <c r="F90" s="2607"/>
      <c r="G90" s="2607"/>
      <c r="H90" s="2607"/>
      <c r="I90" s="2607"/>
      <c r="J90" s="2607"/>
      <c r="K90" s="2607"/>
      <c r="L90" s="2607"/>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8"/>
      <c r="AK90" s="543"/>
      <c r="AL90" s="540"/>
      <c r="AM90" s="540"/>
      <c r="AN90" s="535"/>
    </row>
    <row r="91" spans="1:43" s="536" customFormat="1" ht="12.75" customHeight="1">
      <c r="A91" s="538"/>
      <c r="B91" s="539"/>
      <c r="C91" s="539"/>
      <c r="D91" s="539"/>
      <c r="E91" s="2609"/>
      <c r="F91" s="2610"/>
      <c r="G91" s="2610"/>
      <c r="H91" s="2610"/>
      <c r="I91" s="2610"/>
      <c r="J91" s="2610"/>
      <c r="K91" s="2610"/>
      <c r="L91" s="2610"/>
      <c r="M91" s="2610"/>
      <c r="N91" s="2610"/>
      <c r="O91" s="2610"/>
      <c r="P91" s="2610"/>
      <c r="Q91" s="2610"/>
      <c r="R91" s="2610"/>
      <c r="S91" s="2610"/>
      <c r="T91" s="2610"/>
      <c r="U91" s="2610"/>
      <c r="V91" s="2610"/>
      <c r="W91" s="2610"/>
      <c r="X91" s="2610"/>
      <c r="Y91" s="2610"/>
      <c r="Z91" s="2610"/>
      <c r="AA91" s="2610"/>
      <c r="AB91" s="2610"/>
      <c r="AC91" s="2610"/>
      <c r="AD91" s="2610"/>
      <c r="AE91" s="2610"/>
      <c r="AF91" s="2610"/>
      <c r="AG91" s="2610"/>
      <c r="AH91" s="2610"/>
      <c r="AI91" s="2610"/>
      <c r="AJ91" s="26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2">
        <f>Application!AC753</f>
        <v>0.57014925373134329</v>
      </c>
      <c r="F93" s="2603"/>
      <c r="G93" s="2603"/>
      <c r="H93" s="2603"/>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3">
        <f>0.6-ROUNDUP(E93,2)</f>
        <v>2.0000000000000018E-2</v>
      </c>
      <c r="F94" s="2408"/>
      <c r="G94" s="2408"/>
      <c r="H94" s="2408"/>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8">
        <f>IF(E94*200&gt;20,20,E94*200)</f>
        <v>4.0000000000000036</v>
      </c>
      <c r="F95" s="2619"/>
      <c r="G95" s="2619"/>
      <c r="H95" s="2619"/>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4" t="s">
        <v>546</v>
      </c>
      <c r="C98" s="2614"/>
      <c r="D98" s="547" t="s">
        <v>1318</v>
      </c>
      <c r="E98" s="2606" t="s">
        <v>1726</v>
      </c>
      <c r="F98" s="2607"/>
      <c r="G98" s="2607"/>
      <c r="H98" s="2607"/>
      <c r="I98" s="2607"/>
      <c r="J98" s="2607"/>
      <c r="K98" s="2607"/>
      <c r="L98" s="2607"/>
      <c r="M98" s="2607"/>
      <c r="N98" s="2607"/>
      <c r="O98" s="2607"/>
      <c r="P98" s="2607"/>
      <c r="Q98" s="2607"/>
      <c r="R98" s="2607"/>
      <c r="S98" s="2607"/>
      <c r="T98" s="2607"/>
      <c r="U98" s="2607"/>
      <c r="V98" s="2607"/>
      <c r="W98" s="2607"/>
      <c r="X98" s="2607"/>
      <c r="Y98" s="2607"/>
      <c r="Z98" s="2607"/>
      <c r="AA98" s="2607"/>
      <c r="AB98" s="2607"/>
      <c r="AC98" s="2607"/>
      <c r="AD98" s="2607"/>
      <c r="AE98" s="2607"/>
      <c r="AF98" s="2607"/>
      <c r="AG98" s="2607"/>
      <c r="AH98" s="2607"/>
      <c r="AI98" s="2607"/>
      <c r="AJ98" s="2608"/>
      <c r="AK98" s="543"/>
      <c r="AL98" s="540"/>
      <c r="AM98" s="540"/>
      <c r="AN98" s="535"/>
    </row>
    <row r="99" spans="1:47" s="536" customFormat="1" ht="12.75" customHeight="1">
      <c r="A99" s="538"/>
      <c r="B99" s="539"/>
      <c r="C99" s="539"/>
      <c r="D99" s="539"/>
      <c r="E99" s="2609"/>
      <c r="F99" s="2610"/>
      <c r="G99" s="2610"/>
      <c r="H99" s="2610"/>
      <c r="I99" s="2610"/>
      <c r="J99" s="2610"/>
      <c r="K99" s="2610"/>
      <c r="L99" s="2610"/>
      <c r="M99" s="2610"/>
      <c r="N99" s="2610"/>
      <c r="O99" s="2610"/>
      <c r="P99" s="2610"/>
      <c r="Q99" s="2610"/>
      <c r="R99" s="2610"/>
      <c r="S99" s="2610"/>
      <c r="T99" s="2610"/>
      <c r="U99" s="2610"/>
      <c r="V99" s="2610"/>
      <c r="W99" s="2610"/>
      <c r="X99" s="2610"/>
      <c r="Y99" s="2610"/>
      <c r="Z99" s="2610"/>
      <c r="AA99" s="2610"/>
      <c r="AB99" s="2610"/>
      <c r="AC99" s="2610"/>
      <c r="AD99" s="2610"/>
      <c r="AE99" s="2610"/>
      <c r="AF99" s="2610"/>
      <c r="AG99" s="2610"/>
      <c r="AH99" s="2610"/>
      <c r="AI99" s="2610"/>
      <c r="AJ99" s="2611"/>
      <c r="AK99" s="543"/>
      <c r="AL99" s="540"/>
      <c r="AM99" s="540"/>
      <c r="AN99" s="535"/>
    </row>
    <row r="100" spans="1:47" s="536" customFormat="1" ht="12.75" customHeight="1">
      <c r="A100" s="538"/>
      <c r="B100" s="539"/>
      <c r="C100" s="539"/>
      <c r="D100" s="539"/>
      <c r="E100" s="2609"/>
      <c r="F100" s="2610"/>
      <c r="G100" s="2610"/>
      <c r="H100" s="2610"/>
      <c r="I100" s="2610"/>
      <c r="J100" s="2610"/>
      <c r="K100" s="2610"/>
      <c r="L100" s="2610"/>
      <c r="M100" s="2610"/>
      <c r="N100" s="2610"/>
      <c r="O100" s="2610"/>
      <c r="P100" s="2610"/>
      <c r="Q100" s="2610"/>
      <c r="R100" s="2610"/>
      <c r="S100" s="2610"/>
      <c r="T100" s="2610"/>
      <c r="U100" s="2610"/>
      <c r="V100" s="2610"/>
      <c r="W100" s="2610"/>
      <c r="X100" s="2610"/>
      <c r="Y100" s="2610"/>
      <c r="Z100" s="2610"/>
      <c r="AA100" s="2610"/>
      <c r="AB100" s="2610"/>
      <c r="AC100" s="2610"/>
      <c r="AD100" s="2610"/>
      <c r="AE100" s="2610"/>
      <c r="AF100" s="2610"/>
      <c r="AG100" s="2610"/>
      <c r="AH100" s="2610"/>
      <c r="AI100" s="2610"/>
      <c r="AJ100" s="2611"/>
      <c r="AK100" s="543"/>
      <c r="AL100" s="540"/>
      <c r="AM100" s="540"/>
      <c r="AN100" s="535"/>
    </row>
    <row r="101" spans="1:47" s="536" customFormat="1" ht="12.75" customHeight="1">
      <c r="A101" s="538"/>
      <c r="B101" s="539"/>
      <c r="C101" s="539"/>
      <c r="D101" s="539"/>
      <c r="E101" s="2609"/>
      <c r="F101" s="2610"/>
      <c r="G101" s="2610"/>
      <c r="H101" s="2610"/>
      <c r="I101" s="2610"/>
      <c r="J101" s="2610"/>
      <c r="K101" s="2610"/>
      <c r="L101" s="2610"/>
      <c r="M101" s="2610"/>
      <c r="N101" s="2610"/>
      <c r="O101" s="2610"/>
      <c r="P101" s="2610"/>
      <c r="Q101" s="2610"/>
      <c r="R101" s="2610"/>
      <c r="S101" s="2610"/>
      <c r="T101" s="2610"/>
      <c r="U101" s="2610"/>
      <c r="V101" s="2610"/>
      <c r="W101" s="2610"/>
      <c r="X101" s="2610"/>
      <c r="Y101" s="2610"/>
      <c r="Z101" s="2610"/>
      <c r="AA101" s="2610"/>
      <c r="AB101" s="2610"/>
      <c r="AC101" s="2610"/>
      <c r="AD101" s="2610"/>
      <c r="AE101" s="2610"/>
      <c r="AF101" s="2610"/>
      <c r="AG101" s="2610"/>
      <c r="AH101" s="2610"/>
      <c r="AI101" s="2610"/>
      <c r="AJ101" s="26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2">
        <f>Application!AC753</f>
        <v>0.57014925373134329</v>
      </c>
      <c r="F103" s="2603"/>
      <c r="G103" s="2603"/>
      <c r="H103" s="2603"/>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2">
        <f ca="1">SUMIF(Application!AC718:AG752,0.2,Application!G718:J752)/Application!G753+SUMIF(Application!AC718:AG752,0.25,Application!G718:J752)/Application!G753+SUMIF(Application!AC718:AG752,0.3,Application!G718:J752)/Application!G753</f>
        <v>0.31343283582089554</v>
      </c>
      <c r="F104" s="2603"/>
      <c r="G104" s="2603"/>
      <c r="H104" s="2603"/>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2">
        <f ca="1">SUMIF(Application!AC718:AG752,0.35,Application!G718:J752)/Application!G753+SUMIF(Application!AC718:AG752,0.4,Application!G718:J752)/Application!G753+SUMIF(Application!AC718:AG752,0.45,Application!G718:J752)/Application!G753+SUMIF(Application!AC718:AG752,0.5,Application!G718:J752)/Application!G753</f>
        <v>0.16044776119402984</v>
      </c>
      <c r="F105" s="2603"/>
      <c r="G105" s="2603"/>
      <c r="H105" s="2603"/>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0">
        <f ca="1">IF(AND(E103&lt;=0.6,OR(AND(E104&gt;=0.1,E105&gt;=0.1),AND(E104&gt;0.1,(E104+E105)&gt;=0.2))),20,0)</f>
        <v>20</v>
      </c>
      <c r="F106" s="2601"/>
      <c r="G106" s="2601"/>
      <c r="H106" s="2601"/>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7">
        <f ca="1">MAX(AP95,AP106)</f>
        <v>20</v>
      </c>
      <c r="AL109" s="2588"/>
      <c r="AM109" s="258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1" t="s">
        <v>1315</v>
      </c>
      <c r="AF112" s="2461"/>
      <c r="AG112" s="2461"/>
      <c r="AH112" s="2461"/>
      <c r="AI112" s="2461"/>
      <c r="AJ112" s="2461"/>
      <c r="AK112" s="2461"/>
      <c r="AL112" s="540"/>
      <c r="AM112" s="540"/>
      <c r="AN112" s="535"/>
      <c r="AO112" s="536" t="str">
        <f>Application!B718</f>
        <v>SRO/Studio</v>
      </c>
      <c r="AQ112" s="536">
        <f>Application!O718</f>
        <v>764</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1029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1294</v>
      </c>
    </row>
    <row r="115" spans="1:52" s="536" customFormat="1" ht="12.75" customHeight="1">
      <c r="A115" s="540"/>
      <c r="B115" s="2614" t="s">
        <v>546</v>
      </c>
      <c r="C115" s="2614"/>
      <c r="D115" s="547" t="s">
        <v>1316</v>
      </c>
      <c r="E115" s="2606" t="s">
        <v>1858</v>
      </c>
      <c r="F115" s="2607"/>
      <c r="G115" s="2607"/>
      <c r="H115" s="2607"/>
      <c r="I115" s="2607"/>
      <c r="J115" s="2607"/>
      <c r="K115" s="2607"/>
      <c r="L115" s="2607"/>
      <c r="M115" s="2607"/>
      <c r="N115" s="2607"/>
      <c r="O115" s="2607"/>
      <c r="P115" s="2607"/>
      <c r="Q115" s="2607"/>
      <c r="R115" s="2607"/>
      <c r="S115" s="2607"/>
      <c r="T115" s="2607"/>
      <c r="U115" s="2607"/>
      <c r="V115" s="2607"/>
      <c r="W115" s="2607"/>
      <c r="X115" s="2607"/>
      <c r="Y115" s="2607"/>
      <c r="Z115" s="2607"/>
      <c r="AA115" s="2607"/>
      <c r="AB115" s="2607"/>
      <c r="AC115" s="2607"/>
      <c r="AD115" s="2607"/>
      <c r="AE115" s="2607"/>
      <c r="AF115" s="2607"/>
      <c r="AG115" s="2607"/>
      <c r="AH115" s="2607"/>
      <c r="AI115" s="2607"/>
      <c r="AJ115" s="2608"/>
      <c r="AK115" s="540"/>
      <c r="AL115" s="540"/>
      <c r="AM115" s="540"/>
      <c r="AN115" s="535"/>
      <c r="AO115" s="536" t="str">
        <f>Application!B721</f>
        <v>1 Bedroom</v>
      </c>
      <c r="AQ115" s="536">
        <f>Application!O721</f>
        <v>809</v>
      </c>
      <c r="AU115" s="536" t="s">
        <v>1841</v>
      </c>
      <c r="AV115" s="595" t="s">
        <v>1842</v>
      </c>
      <c r="AW115" s="536" t="s">
        <v>1843</v>
      </c>
    </row>
    <row r="116" spans="1:52" s="536" customFormat="1" ht="12.75" customHeight="1">
      <c r="A116" s="540"/>
      <c r="B116" s="539"/>
      <c r="C116" s="539"/>
      <c r="D116" s="539"/>
      <c r="E116" s="2609"/>
      <c r="F116" s="2610"/>
      <c r="G116" s="2610"/>
      <c r="H116" s="2610"/>
      <c r="I116" s="2610"/>
      <c r="J116" s="2610"/>
      <c r="K116" s="2610"/>
      <c r="L116" s="2610"/>
      <c r="M116" s="2610"/>
      <c r="N116" s="2610"/>
      <c r="O116" s="2610"/>
      <c r="P116" s="2610"/>
      <c r="Q116" s="2610"/>
      <c r="R116" s="2610"/>
      <c r="S116" s="2610"/>
      <c r="T116" s="2610"/>
      <c r="U116" s="2610"/>
      <c r="V116" s="2610"/>
      <c r="W116" s="2610"/>
      <c r="X116" s="2610"/>
      <c r="Y116" s="2610"/>
      <c r="Z116" s="2610"/>
      <c r="AA116" s="2610"/>
      <c r="AB116" s="2610"/>
      <c r="AC116" s="2610"/>
      <c r="AD116" s="2610"/>
      <c r="AE116" s="2610"/>
      <c r="AF116" s="2610"/>
      <c r="AG116" s="2610"/>
      <c r="AH116" s="2610"/>
      <c r="AI116" s="2610"/>
      <c r="AJ116" s="2611"/>
      <c r="AK116" s="540"/>
      <c r="AL116" s="540"/>
      <c r="AM116" s="540"/>
      <c r="AN116" s="535"/>
      <c r="AO116" s="536" t="str">
        <f>Application!B722</f>
        <v>1 Bedroom</v>
      </c>
      <c r="AQ116" s="536">
        <f>Application!O722</f>
        <v>1377</v>
      </c>
      <c r="AU116" s="856" t="str">
        <f>E124</f>
        <v>Studio/SRO</v>
      </c>
      <c r="AV116" s="536">
        <f t="array" ref="AV116">SUM(IF(Application!B718:F752="SRO/Studio",Application!G718:J752))</f>
        <v>48</v>
      </c>
      <c r="AW116" s="1011">
        <f>AV116/AV122</f>
        <v>0.17910447761194029</v>
      </c>
    </row>
    <row r="117" spans="1:52" s="536" customFormat="1" ht="12.75" customHeight="1">
      <c r="A117" s="540"/>
      <c r="B117" s="539"/>
      <c r="C117" s="539"/>
      <c r="D117" s="539"/>
      <c r="E117" s="2609"/>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1"/>
      <c r="AK117" s="540"/>
      <c r="AL117" s="540"/>
      <c r="AM117" s="540"/>
      <c r="AN117" s="535"/>
      <c r="AO117" s="536" t="str">
        <f>Application!B723</f>
        <v>1 Bedroom</v>
      </c>
      <c r="AQ117" s="536">
        <f>Application!O723</f>
        <v>1661</v>
      </c>
      <c r="AU117" s="856" t="str">
        <f>J124</f>
        <v>1-bedroom</v>
      </c>
      <c r="AV117" s="536">
        <f t="array" ref="AV117">SUM(IF(Application!B718:F752="1 Bedroom",Application!G718:J752))</f>
        <v>173</v>
      </c>
      <c r="AW117" s="1011">
        <f>AV117/AV122</f>
        <v>0.64552238805970152</v>
      </c>
    </row>
    <row r="118" spans="1:52" s="536" customFormat="1" ht="12.75" customHeight="1">
      <c r="A118" s="540"/>
      <c r="B118" s="539"/>
      <c r="C118" s="539"/>
      <c r="D118" s="539"/>
      <c r="E118" s="2609"/>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1"/>
      <c r="AK118" s="540"/>
      <c r="AL118" s="540"/>
      <c r="AM118" s="540"/>
      <c r="AN118" s="535"/>
      <c r="AO118" s="536" t="str">
        <f>Application!B724</f>
        <v>1 Bedroom</v>
      </c>
      <c r="AQ118" s="536">
        <f>Application!O724</f>
        <v>1945</v>
      </c>
      <c r="AU118" s="856" t="str">
        <f>O124</f>
        <v>2-bedroom</v>
      </c>
      <c r="AV118" s="536">
        <f t="array" ref="AV118">SUM(IF(Application!B718:F752="2 Bedrooms",Application!G718:J752))</f>
        <v>47</v>
      </c>
      <c r="AW118" s="1011">
        <f>AV118/AV122</f>
        <v>0.17537313432835822</v>
      </c>
    </row>
    <row r="119" spans="1:52" s="536" customFormat="1" ht="12.75" customHeight="1">
      <c r="A119" s="540"/>
      <c r="B119" s="539"/>
      <c r="C119" s="539"/>
      <c r="D119" s="539"/>
      <c r="E119" s="2609"/>
      <c r="F119" s="2610"/>
      <c r="G119" s="2610"/>
      <c r="H119" s="2610"/>
      <c r="I119" s="2610"/>
      <c r="J119" s="2610"/>
      <c r="K119" s="2610"/>
      <c r="L119" s="2610"/>
      <c r="M119" s="2610"/>
      <c r="N119" s="2610"/>
      <c r="O119" s="2610"/>
      <c r="P119" s="2610"/>
      <c r="Q119" s="2610"/>
      <c r="R119" s="2610"/>
      <c r="S119" s="2610"/>
      <c r="T119" s="2610"/>
      <c r="U119" s="2610"/>
      <c r="V119" s="2610"/>
      <c r="W119" s="2610"/>
      <c r="X119" s="2610"/>
      <c r="Y119" s="2610"/>
      <c r="Z119" s="2610"/>
      <c r="AA119" s="2610"/>
      <c r="AB119" s="2610"/>
      <c r="AC119" s="2610"/>
      <c r="AD119" s="2610"/>
      <c r="AE119" s="2610"/>
      <c r="AF119" s="2610"/>
      <c r="AG119" s="2610"/>
      <c r="AH119" s="2610"/>
      <c r="AI119" s="2610"/>
      <c r="AJ119" s="2611"/>
      <c r="AK119" s="540"/>
      <c r="AL119" s="540"/>
      <c r="AM119" s="540"/>
      <c r="AN119" s="535"/>
      <c r="AO119" s="536" t="str">
        <f>Application!B725</f>
        <v>1 Bedroom</v>
      </c>
      <c r="AQ119" s="536">
        <f>Application!O725</f>
        <v>2229</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09"/>
      <c r="F120" s="2610"/>
      <c r="G120" s="2610"/>
      <c r="H120" s="2610"/>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1"/>
      <c r="AK120" s="540"/>
      <c r="AL120" s="540"/>
      <c r="AM120" s="540"/>
      <c r="AN120" s="535"/>
      <c r="AO120" s="536" t="str">
        <f>Application!B726</f>
        <v>2 Bedrooms</v>
      </c>
      <c r="AQ120" s="536">
        <f>Application!O726</f>
        <v>965.8</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9"/>
      <c r="F121" s="2610"/>
      <c r="G121" s="2610"/>
      <c r="H121" s="2610"/>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1"/>
      <c r="AK121" s="540"/>
      <c r="AL121" s="540"/>
      <c r="AM121" s="540"/>
      <c r="AN121" s="535"/>
      <c r="AO121" s="536" t="str">
        <f>Application!B727</f>
        <v>2 Bedrooms</v>
      </c>
      <c r="AQ121" s="536">
        <f>Application!O727</f>
        <v>2328.5</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9"/>
      <c r="F122" s="2610"/>
      <c r="G122" s="2610"/>
      <c r="H122" s="2610"/>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1"/>
      <c r="AK122" s="540"/>
      <c r="AL122" s="540"/>
      <c r="AM122" s="540"/>
      <c r="AN122" s="535"/>
      <c r="AO122" s="536" t="str">
        <f>Application!B728</f>
        <v>2 Bedrooms</v>
      </c>
      <c r="AQ122" s="536">
        <f>Application!O728</f>
        <v>2669.5</v>
      </c>
      <c r="AV122" s="536">
        <f>SUM(AV116:AV121)</f>
        <v>268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2" t="s">
        <v>1589</v>
      </c>
      <c r="F124" s="2603"/>
      <c r="G124" s="2603"/>
      <c r="H124" s="2603"/>
      <c r="I124" s="577"/>
      <c r="J124" s="2603" t="s">
        <v>1632</v>
      </c>
      <c r="K124" s="2603"/>
      <c r="L124" s="2603"/>
      <c r="M124" s="2603"/>
      <c r="N124" s="577"/>
      <c r="O124" s="2603" t="s">
        <v>1633</v>
      </c>
      <c r="P124" s="2603"/>
      <c r="Q124" s="2603"/>
      <c r="R124" s="2603"/>
      <c r="S124" s="577"/>
      <c r="T124" s="2603" t="s">
        <v>1335</v>
      </c>
      <c r="U124" s="2603"/>
      <c r="V124" s="2603"/>
      <c r="W124" s="2603"/>
      <c r="X124" s="577"/>
      <c r="Y124" s="2603" t="s">
        <v>1634</v>
      </c>
      <c r="Z124" s="2603"/>
      <c r="AA124" s="2603"/>
      <c r="AB124" s="2603"/>
      <c r="AC124" s="577"/>
      <c r="AD124" s="2603" t="s">
        <v>1635</v>
      </c>
      <c r="AE124" s="2603"/>
      <c r="AF124" s="2603"/>
      <c r="AG124" s="260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4">
        <v>2731</v>
      </c>
      <c r="F127" s="2605"/>
      <c r="G127" s="2605"/>
      <c r="H127" s="2605"/>
      <c r="I127" s="864"/>
      <c r="J127" s="2605">
        <v>3133</v>
      </c>
      <c r="K127" s="2605"/>
      <c r="L127" s="2605"/>
      <c r="M127" s="2605"/>
      <c r="N127" s="864"/>
      <c r="O127" s="2605">
        <v>4149</v>
      </c>
      <c r="P127" s="2605"/>
      <c r="Q127" s="2605"/>
      <c r="R127" s="2605"/>
      <c r="S127" s="864"/>
      <c r="T127" s="2605"/>
      <c r="U127" s="2605"/>
      <c r="V127" s="2605"/>
      <c r="W127" s="2605"/>
      <c r="X127" s="864"/>
      <c r="Y127" s="2605"/>
      <c r="Z127" s="2605"/>
      <c r="AA127" s="2605"/>
      <c r="AB127" s="2605"/>
      <c r="AC127" s="864"/>
      <c r="AD127" s="2605"/>
      <c r="AE127" s="2605"/>
      <c r="AF127" s="2605"/>
      <c r="AG127" s="260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2">
        <f>Application!DX670</f>
        <v>830.25000000000011</v>
      </c>
      <c r="F130" s="2613"/>
      <c r="G130" s="2613"/>
      <c r="H130" s="2613"/>
      <c r="I130" s="864"/>
      <c r="J130" s="2613">
        <f>Application!EC670</f>
        <v>1636.3757225433528</v>
      </c>
      <c r="K130" s="2613"/>
      <c r="L130" s="2613"/>
      <c r="M130" s="2613"/>
      <c r="N130" s="864"/>
      <c r="O130" s="2613">
        <f>Application!EH670</f>
        <v>2473.744680851064</v>
      </c>
      <c r="P130" s="2613"/>
      <c r="Q130" s="2613"/>
      <c r="R130" s="2613"/>
      <c r="S130" s="868"/>
      <c r="T130" s="2613">
        <f>Application!EM670</f>
        <v>0</v>
      </c>
      <c r="U130" s="2613"/>
      <c r="V130" s="2613"/>
      <c r="W130" s="2613"/>
      <c r="X130" s="868"/>
      <c r="Y130" s="2613">
        <f>Application!ER670</f>
        <v>0</v>
      </c>
      <c r="Z130" s="2613"/>
      <c r="AA130" s="2613"/>
      <c r="AB130" s="2613"/>
      <c r="AC130" s="868"/>
      <c r="AD130" s="2613">
        <f>Application!EW670</f>
        <v>0</v>
      </c>
      <c r="AE130" s="2613"/>
      <c r="AF130" s="2613"/>
      <c r="AG130" s="261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7">
        <f>(E127-E130)/E127</f>
        <v>0.69599047967777372</v>
      </c>
      <c r="F133" s="2408"/>
      <c r="G133" s="2408"/>
      <c r="H133" s="2409"/>
      <c r="I133" s="577"/>
      <c r="J133" s="2407">
        <f>(J127-J130)/J127</f>
        <v>0.47769686481220786</v>
      </c>
      <c r="K133" s="2408"/>
      <c r="L133" s="2408"/>
      <c r="M133" s="2409"/>
      <c r="N133" s="577"/>
      <c r="O133" s="2407">
        <f>(O127-O130)/O127</f>
        <v>0.40377327528294432</v>
      </c>
      <c r="P133" s="2408"/>
      <c r="Q133" s="2408"/>
      <c r="R133" s="2409"/>
      <c r="S133" s="577"/>
      <c r="T133" s="2407" t="e">
        <f>(T127-T130)/T127</f>
        <v>#DIV/0!</v>
      </c>
      <c r="U133" s="2408"/>
      <c r="V133" s="2408"/>
      <c r="W133" s="2409"/>
      <c r="X133" s="577"/>
      <c r="Y133" s="2407" t="e">
        <f>(Y127-Y130)/Y127</f>
        <v>#DIV/0!</v>
      </c>
      <c r="Z133" s="2408"/>
      <c r="AA133" s="2408"/>
      <c r="AB133" s="2409"/>
      <c r="AC133" s="577"/>
      <c r="AD133" s="2407" t="e">
        <f>(AD127-AD130)/AD127</f>
        <v>#DIV/0!</v>
      </c>
      <c r="AE133" s="2408"/>
      <c r="AF133" s="2408"/>
      <c r="AG133" s="240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5">
        <f>IF(((E133-0.1)*AW116)&gt;0,((E133-0.1)*AW116),0)</f>
        <v>0.10674456352437738</v>
      </c>
      <c r="F136" s="2616"/>
      <c r="G136" s="2616"/>
      <c r="H136" s="2617"/>
      <c r="I136" s="577"/>
      <c r="J136" s="2615">
        <f>IF(((J133-0.1)*AW117)&gt;0,((J133-0.1)*AW117),0)</f>
        <v>0.24381178213623869</v>
      </c>
      <c r="K136" s="2616"/>
      <c r="L136" s="2616"/>
      <c r="M136" s="2617"/>
      <c r="N136" s="577"/>
      <c r="O136" s="2615">
        <f>IF(((O133-0.1)*AW118)&gt;0,((O133-0.1)*AW118),0)</f>
        <v>5.3273671411561127E-2</v>
      </c>
      <c r="P136" s="2616"/>
      <c r="Q136" s="2616"/>
      <c r="R136" s="2617"/>
      <c r="S136" s="577"/>
      <c r="T136" s="2615" t="e">
        <f>IF(((T133-0.1)*AW119)&gt;0,((T133-0.1)*AW119),0)</f>
        <v>#DIV/0!</v>
      </c>
      <c r="U136" s="2616"/>
      <c r="V136" s="2616"/>
      <c r="W136" s="2617"/>
      <c r="X136" s="577"/>
      <c r="Y136" s="2615" t="e">
        <f>IF(((Y133-0.1)*AW120)&gt;0,((Y133-0.1)*AW120),0)</f>
        <v>#DIV/0!</v>
      </c>
      <c r="Z136" s="2616"/>
      <c r="AA136" s="2616"/>
      <c r="AB136" s="2617"/>
      <c r="AC136" s="577"/>
      <c r="AD136" s="2615" t="e">
        <f>IF(((AD133-0.1)*AW121)&gt;0,((AD133-0.1)*AW121),0)</f>
        <v>#DIV/0!</v>
      </c>
      <c r="AE136" s="2616"/>
      <c r="AF136" s="2616"/>
      <c r="AG136" s="261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7">
        <f>ROUNDDOWN(SUMIF(E136:AG136,"&gt;0"),2)</f>
        <v>0.4</v>
      </c>
      <c r="F138" s="2408"/>
      <c r="G138" s="2408"/>
      <c r="H138" s="2409"/>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7">
        <f>IF((E138*100)&gt;10,10,E138*100)</f>
        <v>10</v>
      </c>
      <c r="F139" s="2588"/>
      <c r="G139" s="2588"/>
      <c r="H139" s="2589"/>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7">
        <f>E139</f>
        <v>10</v>
      </c>
      <c r="AL143" s="2588"/>
      <c r="AM143" s="258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1" t="s">
        <v>1315</v>
      </c>
      <c r="AF146" s="2461"/>
      <c r="AG146" s="2461"/>
      <c r="AH146" s="2461"/>
      <c r="AI146" s="2461"/>
      <c r="AJ146" s="2461"/>
      <c r="AK146" s="2461"/>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1" t="s">
        <v>1339</v>
      </c>
      <c r="AG148" s="2521"/>
      <c r="AH148" s="2521"/>
      <c r="AI148" s="2521"/>
      <c r="AJ148" s="2521"/>
      <c r="AK148" s="2521"/>
      <c r="AL148" s="2521"/>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1" t="s">
        <v>2638</v>
      </c>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2" t="s">
        <v>2253</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3" t="s">
        <v>592</v>
      </c>
      <c r="AC155" s="239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2" t="s">
        <v>1344</v>
      </c>
      <c r="C158" s="2592"/>
      <c r="D158" s="2592"/>
      <c r="E158" s="2592"/>
      <c r="F158" s="2592"/>
      <c r="G158" s="2592"/>
      <c r="H158" s="2592"/>
      <c r="I158" s="2592"/>
      <c r="J158" s="2592"/>
      <c r="K158" s="2592"/>
      <c r="L158" s="2592"/>
      <c r="M158" s="2592"/>
      <c r="N158" s="2592"/>
      <c r="O158" s="2592"/>
      <c r="P158" s="2592"/>
      <c r="Q158" s="2592"/>
      <c r="R158" s="2592"/>
      <c r="S158" s="2592"/>
      <c r="T158" s="2592"/>
      <c r="U158" s="2592"/>
      <c r="V158" s="2592"/>
      <c r="W158" s="2592"/>
      <c r="X158" s="2592"/>
      <c r="Y158" s="2592"/>
      <c r="Z158" s="2592"/>
      <c r="AA158" s="2592"/>
      <c r="AB158" s="2592"/>
      <c r="AC158" s="2592"/>
      <c r="AD158" s="2592"/>
      <c r="AE158" s="2592"/>
      <c r="AF158" s="2592"/>
      <c r="AG158" s="2592"/>
      <c r="AH158" s="2592"/>
      <c r="AI158" s="2592"/>
      <c r="AJ158" s="2592"/>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0" t="s">
        <v>2476</v>
      </c>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80"/>
      <c r="AM161" s="539"/>
      <c r="AN161" s="535"/>
      <c r="AO161" s="476"/>
      <c r="AP161" s="489"/>
    </row>
    <row r="162" spans="1:42" s="536" customFormat="1" ht="12.75" customHeight="1">
      <c r="B162" s="2390"/>
      <c r="C162" s="2390"/>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80"/>
      <c r="AM162" s="539"/>
      <c r="AN162" s="535"/>
      <c r="AO162" s="476"/>
      <c r="AP162" s="489"/>
    </row>
    <row r="163" spans="1:42" s="536" customFormat="1" ht="12.75" customHeight="1">
      <c r="C163" s="2391" t="s">
        <v>2477</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2391"/>
      <c r="AB163" s="2391"/>
      <c r="AC163" s="2391"/>
      <c r="AD163" s="2391"/>
      <c r="AE163" s="2391"/>
      <c r="AF163" s="2391"/>
      <c r="AG163" s="2391"/>
      <c r="AH163" s="2391"/>
      <c r="AI163" s="2391"/>
      <c r="AJ163" s="2391"/>
      <c r="AK163" s="1180"/>
      <c r="AM163" s="539"/>
      <c r="AN163" s="535"/>
      <c r="AO163" s="476"/>
      <c r="AP163" s="489"/>
    </row>
    <row r="164" spans="1:42" s="536" customFormat="1" ht="12.75" customHeight="1">
      <c r="B164" s="1180"/>
      <c r="C164" s="2392" t="s">
        <v>2475</v>
      </c>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c r="AA164" s="1170"/>
      <c r="AB164" s="1170"/>
      <c r="AC164" s="1170"/>
      <c r="AD164" s="1170"/>
      <c r="AE164" s="1170"/>
      <c r="AF164" s="1170"/>
      <c r="AG164" s="1170"/>
      <c r="AH164" s="1170"/>
      <c r="AJ164" s="2393" t="s">
        <v>546</v>
      </c>
      <c r="AK164" s="239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1">
        <f>IF($AB$155="N/A",VLOOKUP($B$153,$AO$151:$AP$154,2,FALSE),VLOOKUP($B$158,$AO$156:$AP$158,2,FALSE))</f>
        <v>7</v>
      </c>
      <c r="AK166" s="248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1" t="s">
        <v>1353</v>
      </c>
      <c r="AG168" s="2521"/>
      <c r="AH168" s="2521"/>
      <c r="AI168" s="2521"/>
      <c r="AJ168" s="2521"/>
      <c r="AK168" s="2521"/>
      <c r="AL168" s="2521"/>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2" t="s">
        <v>1351</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3" t="s">
        <v>592</v>
      </c>
      <c r="AG172" s="2393"/>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2" t="s">
        <v>1344</v>
      </c>
      <c r="D174" s="2592"/>
      <c r="E174" s="2592"/>
      <c r="F174" s="2592"/>
      <c r="G174" s="2592"/>
      <c r="H174" s="2592"/>
      <c r="I174" s="2592"/>
      <c r="J174" s="2592"/>
      <c r="K174" s="2592"/>
      <c r="L174" s="2592"/>
      <c r="M174" s="2592"/>
      <c r="N174" s="2592"/>
      <c r="O174" s="2592"/>
      <c r="P174" s="2592"/>
      <c r="Q174" s="2592"/>
      <c r="R174" s="2592"/>
      <c r="S174" s="2592"/>
      <c r="T174" s="2592"/>
      <c r="U174" s="2592"/>
      <c r="V174" s="2592"/>
      <c r="W174" s="2592"/>
      <c r="X174" s="2592"/>
      <c r="Y174" s="2592"/>
      <c r="Z174" s="2592"/>
      <c r="AA174" s="2592"/>
      <c r="AB174" s="2592"/>
      <c r="AC174" s="2592"/>
      <c r="AD174" s="2592"/>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3" t="str">
        <f>Application!AA335</f>
        <v>Aperto Property Management, Inc.</v>
      </c>
      <c r="D178" s="2593"/>
      <c r="E178" s="2593"/>
      <c r="F178" s="2593"/>
      <c r="G178" s="2593"/>
      <c r="H178" s="2593"/>
      <c r="I178" s="2593"/>
      <c r="J178" s="2593"/>
      <c r="K178" s="2593"/>
      <c r="L178" s="2593"/>
      <c r="M178" s="2593"/>
      <c r="N178" s="2593"/>
      <c r="O178" s="2593"/>
      <c r="P178" s="2593"/>
      <c r="Q178" s="2593"/>
      <c r="R178" s="2593"/>
      <c r="S178" s="2593"/>
      <c r="T178" s="2593"/>
      <c r="U178" s="2593"/>
      <c r="V178" s="2593"/>
      <c r="W178" s="2593"/>
      <c r="X178" s="2593"/>
      <c r="Y178" s="2593"/>
      <c r="Z178" s="2593"/>
      <c r="AA178" s="2593"/>
      <c r="AB178" s="2593"/>
      <c r="AC178" s="2593"/>
      <c r="AD178" s="2593"/>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0">
        <f>IF($AF$172="N/A",VLOOKUP($C$170,$AO$170:$AP$173,2,FALSE),VLOOKUP($C$174,$AO$177:$AP$179,2,FALSE))</f>
        <v>3</v>
      </c>
      <c r="AK180" s="248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7">
        <f>$AJ$166+$AJ$180</f>
        <v>10</v>
      </c>
      <c r="AL183" s="2588"/>
      <c r="AM183" s="258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1" t="s">
        <v>1315</v>
      </c>
      <c r="AF186" s="2461"/>
      <c r="AG186" s="2461"/>
      <c r="AH186" s="2461"/>
      <c r="AI186" s="2461"/>
      <c r="AJ186" s="2461"/>
      <c r="AK186" s="2461"/>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0" t="s">
        <v>1368</v>
      </c>
      <c r="C188" s="2590"/>
      <c r="D188" s="2590"/>
      <c r="E188" s="2590"/>
      <c r="F188" s="2590"/>
      <c r="G188" s="2590"/>
      <c r="H188" s="2590"/>
      <c r="I188" s="2590"/>
      <c r="J188" s="2590"/>
      <c r="K188" s="2590"/>
      <c r="L188" s="2590"/>
      <c r="M188" s="2590"/>
      <c r="N188" s="2590"/>
      <c r="O188" s="2590"/>
      <c r="P188" s="2590"/>
      <c r="Q188" s="2590"/>
      <c r="R188" s="2590"/>
      <c r="S188" s="2590"/>
      <c r="T188" s="2590"/>
      <c r="U188" s="2590"/>
      <c r="V188" s="2590"/>
      <c r="W188" s="2590"/>
      <c r="X188" s="2590"/>
      <c r="Y188" s="2590"/>
      <c r="Z188" s="2590"/>
      <c r="AA188" s="2590"/>
      <c r="AB188" s="2590"/>
      <c r="AC188" s="2590"/>
      <c r="AD188" s="536"/>
      <c r="AE188" s="536"/>
      <c r="AF188" s="2521" t="s">
        <v>1364</v>
      </c>
      <c r="AG188" s="2521"/>
      <c r="AH188" s="2521"/>
      <c r="AI188" s="2521"/>
      <c r="AJ188" s="2521"/>
      <c r="AK188" s="2521"/>
      <c r="AL188" s="2521"/>
      <c r="AN188" s="597"/>
      <c r="AP188" s="550" t="s">
        <v>1044</v>
      </c>
      <c r="AQ188" s="550">
        <v>10</v>
      </c>
    </row>
    <row r="189" spans="1:73" s="550" customFormat="1" ht="12.75" customHeight="1">
      <c r="A189" s="536"/>
      <c r="B189" s="2392" t="s">
        <v>1727</v>
      </c>
      <c r="C189" s="2392"/>
      <c r="D189" s="2392"/>
      <c r="E189" s="2392"/>
      <c r="F189" s="2392"/>
      <c r="G189" s="2392"/>
      <c r="H189" s="2392"/>
      <c r="I189" s="2392"/>
      <c r="J189" s="2392"/>
      <c r="K189" s="2392"/>
      <c r="L189" s="2392"/>
      <c r="M189" s="2392"/>
      <c r="N189" s="2392"/>
      <c r="O189" s="2392"/>
      <c r="P189" s="2392"/>
      <c r="Q189" s="2392"/>
      <c r="R189" s="2392"/>
      <c r="S189" s="2392"/>
      <c r="T189" s="2591" t="s">
        <v>592</v>
      </c>
      <c r="U189" s="2591"/>
      <c r="V189" s="2591"/>
      <c r="W189" s="2591"/>
      <c r="X189" s="2591"/>
      <c r="Y189" s="2591"/>
      <c r="Z189" s="2591"/>
      <c r="AA189" s="2591"/>
      <c r="AB189" s="2591"/>
      <c r="AC189" s="2591"/>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8">
        <f>IF(AK84&gt;0,VLOOKUP($B$188,AP185:AQ191,2,FALSE),0)</f>
        <v>10</v>
      </c>
      <c r="AL191" s="2429"/>
      <c r="AM191" s="2430"/>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1" t="s">
        <v>1373</v>
      </c>
      <c r="AF194" s="2461"/>
      <c r="AG194" s="2461"/>
      <c r="AH194" s="2461"/>
      <c r="AI194" s="2461"/>
      <c r="AJ194" s="2461"/>
      <c r="AK194" s="2461"/>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4" t="s">
        <v>2715</v>
      </c>
      <c r="C199" s="2584"/>
      <c r="D199" s="2584"/>
      <c r="E199" s="2584"/>
      <c r="F199" s="2584"/>
      <c r="G199" s="2584"/>
      <c r="H199" s="2584"/>
      <c r="I199" s="2584"/>
      <c r="J199" s="2584"/>
      <c r="K199" s="2584"/>
      <c r="L199" s="2584"/>
      <c r="M199" s="2584"/>
      <c r="N199" s="2584"/>
      <c r="O199" s="2584"/>
      <c r="P199" s="2584"/>
      <c r="Q199" s="2584"/>
      <c r="R199" s="2584"/>
      <c r="S199" s="2584"/>
      <c r="T199" s="2584"/>
      <c r="U199" s="2584"/>
      <c r="V199" s="2584"/>
      <c r="W199" s="2584"/>
      <c r="X199" s="2584"/>
      <c r="Y199" s="2584"/>
      <c r="Z199" s="2584"/>
      <c r="AA199" s="2584"/>
      <c r="AB199" s="2584"/>
      <c r="AC199" s="846"/>
      <c r="AD199" s="2574">
        <v>10000000</v>
      </c>
      <c r="AE199" s="2574"/>
      <c r="AF199" s="2574"/>
      <c r="AG199" s="2574"/>
      <c r="AH199" s="2574"/>
      <c r="AI199" s="2574"/>
      <c r="AJ199" s="2574"/>
      <c r="AK199" s="610"/>
    </row>
    <row r="200" spans="1:40">
      <c r="A200" s="605"/>
      <c r="B200" s="2584"/>
      <c r="C200" s="2584"/>
      <c r="D200" s="2584"/>
      <c r="E200" s="2584"/>
      <c r="F200" s="2584"/>
      <c r="G200" s="2584"/>
      <c r="H200" s="2584"/>
      <c r="I200" s="2584"/>
      <c r="J200" s="2584"/>
      <c r="K200" s="2584"/>
      <c r="L200" s="2584"/>
      <c r="M200" s="2584"/>
      <c r="N200" s="2584"/>
      <c r="O200" s="2584"/>
      <c r="P200" s="2584"/>
      <c r="Q200" s="2584"/>
      <c r="R200" s="2584"/>
      <c r="S200" s="2584"/>
      <c r="T200" s="2584"/>
      <c r="U200" s="2584"/>
      <c r="V200" s="2584"/>
      <c r="W200" s="2584"/>
      <c r="X200" s="2584"/>
      <c r="Y200" s="2584"/>
      <c r="Z200" s="2584"/>
      <c r="AA200" s="2584"/>
      <c r="AB200" s="2584"/>
      <c r="AC200" s="846"/>
      <c r="AD200" s="2574"/>
      <c r="AE200" s="2574"/>
      <c r="AF200" s="2574"/>
      <c r="AG200" s="2574"/>
      <c r="AH200" s="2574"/>
      <c r="AI200" s="2574"/>
      <c r="AJ200" s="2574"/>
      <c r="AK200" s="610"/>
    </row>
    <row r="201" spans="1:40">
      <c r="A201" s="605"/>
      <c r="B201" s="2584"/>
      <c r="C201" s="2584"/>
      <c r="D201" s="2584"/>
      <c r="E201" s="2584"/>
      <c r="F201" s="2584"/>
      <c r="G201" s="2584"/>
      <c r="H201" s="2584"/>
      <c r="I201" s="2584"/>
      <c r="J201" s="2584"/>
      <c r="K201" s="2584"/>
      <c r="L201" s="2584"/>
      <c r="M201" s="2584"/>
      <c r="N201" s="2584"/>
      <c r="O201" s="2584"/>
      <c r="P201" s="2584"/>
      <c r="Q201" s="2584"/>
      <c r="R201" s="2584"/>
      <c r="S201" s="2584"/>
      <c r="T201" s="2584"/>
      <c r="U201" s="2584"/>
      <c r="V201" s="2584"/>
      <c r="W201" s="2584"/>
      <c r="X201" s="2584"/>
      <c r="Y201" s="2584"/>
      <c r="Z201" s="2584"/>
      <c r="AA201" s="2584"/>
      <c r="AB201" s="2584"/>
      <c r="AC201" s="846"/>
      <c r="AD201" s="2574"/>
      <c r="AE201" s="2574"/>
      <c r="AF201" s="2574"/>
      <c r="AG201" s="2574"/>
      <c r="AH201" s="2574"/>
      <c r="AI201" s="2574"/>
      <c r="AJ201" s="2574"/>
      <c r="AK201" s="610"/>
    </row>
    <row r="202" spans="1:40">
      <c r="A202" s="605"/>
      <c r="B202" s="2584"/>
      <c r="C202" s="2584"/>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846"/>
      <c r="AD202" s="2574"/>
      <c r="AE202" s="2574"/>
      <c r="AF202" s="2574"/>
      <c r="AG202" s="2574"/>
      <c r="AH202" s="2574"/>
      <c r="AI202" s="2574"/>
      <c r="AJ202" s="2574"/>
      <c r="AK202" s="610"/>
    </row>
    <row r="203" spans="1:40">
      <c r="A203" s="605"/>
      <c r="B203" s="2584"/>
      <c r="C203" s="2584"/>
      <c r="D203" s="2584"/>
      <c r="E203" s="2584"/>
      <c r="F203" s="2584"/>
      <c r="G203" s="2584"/>
      <c r="H203" s="2584"/>
      <c r="I203" s="2584"/>
      <c r="J203" s="2584"/>
      <c r="K203" s="2584"/>
      <c r="L203" s="2584"/>
      <c r="M203" s="2584"/>
      <c r="N203" s="2584"/>
      <c r="O203" s="2584"/>
      <c r="P203" s="2584"/>
      <c r="Q203" s="2584"/>
      <c r="R203" s="2584"/>
      <c r="S203" s="2584"/>
      <c r="T203" s="2584"/>
      <c r="U203" s="2584"/>
      <c r="V203" s="2584"/>
      <c r="W203" s="2584"/>
      <c r="X203" s="2584"/>
      <c r="Y203" s="2584"/>
      <c r="Z203" s="2584"/>
      <c r="AA203" s="2584"/>
      <c r="AB203" s="2584"/>
      <c r="AC203" s="846"/>
      <c r="AD203" s="2574"/>
      <c r="AE203" s="2574"/>
      <c r="AF203" s="2574"/>
      <c r="AG203" s="2574"/>
      <c r="AH203" s="2574"/>
      <c r="AI203" s="2574"/>
      <c r="AJ203" s="2574"/>
      <c r="AK203" s="610"/>
    </row>
    <row r="204" spans="1:40">
      <c r="A204" s="605"/>
      <c r="B204" s="2584"/>
      <c r="C204" s="2584"/>
      <c r="D204" s="2584"/>
      <c r="E204" s="2584"/>
      <c r="F204" s="2584"/>
      <c r="G204" s="2584"/>
      <c r="H204" s="2584"/>
      <c r="I204" s="2584"/>
      <c r="J204" s="2584"/>
      <c r="K204" s="2584"/>
      <c r="L204" s="2584"/>
      <c r="M204" s="2584"/>
      <c r="N204" s="2584"/>
      <c r="O204" s="2584"/>
      <c r="P204" s="2584"/>
      <c r="Q204" s="2584"/>
      <c r="R204" s="2584"/>
      <c r="S204" s="2584"/>
      <c r="T204" s="2584"/>
      <c r="U204" s="2584"/>
      <c r="V204" s="2584"/>
      <c r="W204" s="2584"/>
      <c r="X204" s="2584"/>
      <c r="Y204" s="2584"/>
      <c r="Z204" s="2584"/>
      <c r="AA204" s="2584"/>
      <c r="AB204" s="2584"/>
      <c r="AC204" s="846"/>
      <c r="AD204" s="2574"/>
      <c r="AE204" s="2574"/>
      <c r="AF204" s="2574"/>
      <c r="AG204" s="2574"/>
      <c r="AH204" s="2574"/>
      <c r="AI204" s="2574"/>
      <c r="AJ204" s="2574"/>
      <c r="AK204" s="610"/>
    </row>
    <row r="205" spans="1:40">
      <c r="A205" s="605"/>
      <c r="B205" s="2584"/>
      <c r="C205" s="2584"/>
      <c r="D205" s="2584"/>
      <c r="E205" s="2584"/>
      <c r="F205" s="2584"/>
      <c r="G205" s="2584"/>
      <c r="H205" s="2584"/>
      <c r="I205" s="2584"/>
      <c r="J205" s="2584"/>
      <c r="K205" s="2584"/>
      <c r="L205" s="2584"/>
      <c r="M205" s="2584"/>
      <c r="N205" s="2584"/>
      <c r="O205" s="2584"/>
      <c r="P205" s="2584"/>
      <c r="Q205" s="2584"/>
      <c r="R205" s="2584"/>
      <c r="S205" s="2584"/>
      <c r="T205" s="2584"/>
      <c r="U205" s="2584"/>
      <c r="V205" s="2584"/>
      <c r="W205" s="2584"/>
      <c r="X205" s="2584"/>
      <c r="Y205" s="2584"/>
      <c r="Z205" s="2584"/>
      <c r="AA205" s="2584"/>
      <c r="AB205" s="2584"/>
      <c r="AC205" s="846"/>
      <c r="AD205" s="2574"/>
      <c r="AE205" s="2574"/>
      <c r="AF205" s="2574"/>
      <c r="AG205" s="2574"/>
      <c r="AH205" s="2574"/>
      <c r="AI205" s="2574"/>
      <c r="AJ205" s="2574"/>
      <c r="AK205" s="610"/>
    </row>
    <row r="206" spans="1:40">
      <c r="A206" s="605"/>
      <c r="B206" s="2584"/>
      <c r="C206" s="2584"/>
      <c r="D206" s="2584"/>
      <c r="E206" s="2584"/>
      <c r="F206" s="2584"/>
      <c r="G206" s="2584"/>
      <c r="H206" s="2584"/>
      <c r="I206" s="2584"/>
      <c r="J206" s="2584"/>
      <c r="K206" s="2584"/>
      <c r="L206" s="2584"/>
      <c r="M206" s="2584"/>
      <c r="N206" s="2584"/>
      <c r="O206" s="2584"/>
      <c r="P206" s="2584"/>
      <c r="Q206" s="2584"/>
      <c r="R206" s="2584"/>
      <c r="S206" s="2584"/>
      <c r="T206" s="2584"/>
      <c r="U206" s="2584"/>
      <c r="V206" s="2584"/>
      <c r="W206" s="2584"/>
      <c r="X206" s="2584"/>
      <c r="Y206" s="2584"/>
      <c r="Z206" s="2584"/>
      <c r="AA206" s="2584"/>
      <c r="AB206" s="2584"/>
      <c r="AC206" s="846"/>
      <c r="AD206" s="2574"/>
      <c r="AE206" s="2574"/>
      <c r="AF206" s="2574"/>
      <c r="AG206" s="2574"/>
      <c r="AH206" s="2574"/>
      <c r="AI206" s="2574"/>
      <c r="AJ206" s="2574"/>
      <c r="AK206" s="610"/>
    </row>
    <row r="207" spans="1:40">
      <c r="A207" s="605"/>
      <c r="B207" s="2584"/>
      <c r="C207" s="2584"/>
      <c r="D207" s="2584"/>
      <c r="E207" s="2584"/>
      <c r="F207" s="2584"/>
      <c r="G207" s="2584"/>
      <c r="H207" s="2584"/>
      <c r="I207" s="2584"/>
      <c r="J207" s="2584"/>
      <c r="K207" s="2584"/>
      <c r="L207" s="2584"/>
      <c r="M207" s="2584"/>
      <c r="N207" s="2584"/>
      <c r="O207" s="2584"/>
      <c r="P207" s="2584"/>
      <c r="Q207" s="2584"/>
      <c r="R207" s="2584"/>
      <c r="S207" s="2584"/>
      <c r="T207" s="2584"/>
      <c r="U207" s="2584"/>
      <c r="V207" s="2584"/>
      <c r="W207" s="2584"/>
      <c r="X207" s="2584"/>
      <c r="Y207" s="2584"/>
      <c r="Z207" s="2584"/>
      <c r="AA207" s="2584"/>
      <c r="AB207" s="2584"/>
      <c r="AC207" s="846"/>
      <c r="AD207" s="2574"/>
      <c r="AE207" s="2574"/>
      <c r="AF207" s="2574"/>
      <c r="AG207" s="2574"/>
      <c r="AH207" s="2574"/>
      <c r="AI207" s="2574"/>
      <c r="AJ207" s="2574"/>
      <c r="AK207" s="610"/>
    </row>
    <row r="208" spans="1:40">
      <c r="A208" s="605"/>
      <c r="B208" s="2584"/>
      <c r="C208" s="2584"/>
      <c r="D208" s="2584"/>
      <c r="E208" s="2584"/>
      <c r="F208" s="2584"/>
      <c r="G208" s="2584"/>
      <c r="H208" s="2584"/>
      <c r="I208" s="2584"/>
      <c r="J208" s="2584"/>
      <c r="K208" s="2584"/>
      <c r="L208" s="2584"/>
      <c r="M208" s="2584"/>
      <c r="N208" s="2584"/>
      <c r="O208" s="2584"/>
      <c r="P208" s="2584"/>
      <c r="Q208" s="2584"/>
      <c r="R208" s="2584"/>
      <c r="S208" s="2584"/>
      <c r="T208" s="2584"/>
      <c r="U208" s="2584"/>
      <c r="V208" s="2584"/>
      <c r="W208" s="2584"/>
      <c r="X208" s="2584"/>
      <c r="Y208" s="2584"/>
      <c r="Z208" s="2584"/>
      <c r="AA208" s="2584"/>
      <c r="AB208" s="2584"/>
      <c r="AC208" s="846"/>
      <c r="AD208" s="2574"/>
      <c r="AE208" s="2574"/>
      <c r="AF208" s="2574"/>
      <c r="AG208" s="2574"/>
      <c r="AH208" s="2574"/>
      <c r="AI208" s="2574"/>
      <c r="AJ208" s="2574"/>
      <c r="AK208" s="610"/>
    </row>
    <row r="209" spans="1:37">
      <c r="A209" s="605"/>
      <c r="B209" s="2599" t="s">
        <v>1628</v>
      </c>
      <c r="C209" s="2599"/>
      <c r="D209" s="2599"/>
      <c r="E209" s="2599"/>
      <c r="F209" s="2599"/>
      <c r="G209" s="2599"/>
      <c r="H209" s="2599"/>
      <c r="I209" s="2599"/>
      <c r="J209" s="2599"/>
      <c r="K209" s="2599"/>
      <c r="L209" s="2599"/>
      <c r="M209" s="2599"/>
      <c r="N209" s="2599"/>
      <c r="O209" s="2599"/>
      <c r="P209" s="2599"/>
      <c r="Q209" s="2599"/>
      <c r="R209" s="2599"/>
      <c r="S209" s="2599"/>
      <c r="T209" s="2599"/>
      <c r="U209" s="2599"/>
      <c r="V209" s="2599"/>
      <c r="W209" s="2599"/>
      <c r="X209" s="2599"/>
      <c r="Y209" s="2599"/>
      <c r="Z209" s="2599"/>
      <c r="AA209" s="2599"/>
      <c r="AB209" s="2599"/>
      <c r="AC209" s="536"/>
      <c r="AD209" s="2572">
        <f>AB260</f>
        <v>0</v>
      </c>
      <c r="AE209" s="2572"/>
      <c r="AF209" s="2572"/>
      <c r="AG209" s="2572"/>
      <c r="AH209" s="2572"/>
      <c r="AI209" s="2572"/>
      <c r="AJ209" s="2572"/>
      <c r="AK209" s="610"/>
    </row>
    <row r="210" spans="1:37">
      <c r="A210" s="605"/>
      <c r="B210" s="2446" t="s">
        <v>1591</v>
      </c>
      <c r="C210" s="2446"/>
      <c r="D210" s="2446"/>
      <c r="E210" s="2446"/>
      <c r="F210" s="2446"/>
      <c r="G210" s="2446"/>
      <c r="H210" s="2446"/>
      <c r="I210" s="2446"/>
      <c r="J210" s="2446"/>
      <c r="K210" s="2446"/>
      <c r="L210" s="2446"/>
      <c r="M210" s="2446"/>
      <c r="N210" s="2446"/>
      <c r="O210" s="2446"/>
      <c r="P210" s="2446"/>
      <c r="Q210" s="2446"/>
      <c r="R210" s="2446"/>
      <c r="S210" s="2446"/>
      <c r="T210" s="2446"/>
      <c r="U210" s="2446"/>
      <c r="V210" s="2446"/>
      <c r="W210" s="2446"/>
      <c r="X210" s="2446"/>
      <c r="Y210" s="2446"/>
      <c r="Z210" s="2446"/>
      <c r="AA210" s="2446"/>
      <c r="AB210" s="2446"/>
      <c r="AC210" s="846"/>
      <c r="AD210" s="2573">
        <f>'Sources and Uses Budget'!B15</f>
        <v>0</v>
      </c>
      <c r="AE210" s="2573"/>
      <c r="AF210" s="2573"/>
      <c r="AG210" s="2573"/>
      <c r="AH210" s="2573"/>
      <c r="AI210" s="2573"/>
      <c r="AJ210" s="257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8">
        <f>SUM(AD199:AJ209)-AD210</f>
        <v>10000000</v>
      </c>
      <c r="AE211" s="2578"/>
      <c r="AF211" s="2578"/>
      <c r="AG211" s="2578"/>
      <c r="AH211" s="2578"/>
      <c r="AI211" s="2578"/>
      <c r="AJ211" s="257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7" t="s">
        <v>1608</v>
      </c>
      <c r="J222" s="2597"/>
      <c r="K222" s="2597"/>
      <c r="L222" s="536"/>
      <c r="M222" s="536"/>
      <c r="N222" s="536"/>
      <c r="O222" s="536"/>
      <c r="P222" s="536"/>
      <c r="Q222" s="536"/>
      <c r="R222" s="536"/>
      <c r="S222" s="536"/>
      <c r="T222" s="2412" t="s">
        <v>1602</v>
      </c>
      <c r="U222" s="2412"/>
      <c r="V222" s="2412"/>
      <c r="W222" s="2412"/>
      <c r="X222" s="2412"/>
      <c r="Y222" s="2412"/>
      <c r="Z222" s="849"/>
      <c r="AA222" s="489"/>
      <c r="AB222" s="2594" t="s">
        <v>1603</v>
      </c>
      <c r="AC222" s="2594"/>
      <c r="AD222" s="2594"/>
      <c r="AE222" s="2594"/>
      <c r="AF222" s="2594"/>
      <c r="AG222" s="2594"/>
      <c r="AH222" s="827"/>
      <c r="AI222" s="827"/>
      <c r="AJ222" s="827"/>
      <c r="AK222" s="610"/>
    </row>
    <row r="223" spans="1:37">
      <c r="A223" s="605"/>
      <c r="B223" s="2595" t="s">
        <v>1588</v>
      </c>
      <c r="C223" s="2595"/>
      <c r="D223" s="2595"/>
      <c r="E223" s="2595"/>
      <c r="F223" s="2595"/>
      <c r="G223" s="2595"/>
      <c r="I223" s="2596" t="s">
        <v>1609</v>
      </c>
      <c r="J223" s="2596"/>
      <c r="K223" s="2596"/>
      <c r="L223" s="1008"/>
      <c r="N223" s="2447" t="s">
        <v>1604</v>
      </c>
      <c r="O223" s="2447"/>
      <c r="P223" s="2447"/>
      <c r="Q223" s="2447"/>
      <c r="R223" s="2447"/>
      <c r="T223" s="2447" t="s">
        <v>1605</v>
      </c>
      <c r="U223" s="2447"/>
      <c r="V223" s="2447"/>
      <c r="W223" s="2447"/>
      <c r="X223" s="2447"/>
      <c r="Y223" s="2447"/>
      <c r="Z223" s="850"/>
      <c r="AA223" s="489"/>
      <c r="AB223" s="2462" t="s">
        <v>1606</v>
      </c>
      <c r="AC223" s="2462"/>
      <c r="AD223" s="2462"/>
      <c r="AE223" s="2462"/>
      <c r="AF223" s="2462"/>
      <c r="AG223" s="2462"/>
      <c r="AH223" s="827"/>
      <c r="AI223" s="827"/>
      <c r="AJ223" s="827"/>
      <c r="AK223" s="610"/>
    </row>
    <row r="224" spans="1:37">
      <c r="A224" s="605"/>
      <c r="B224" s="2463" t="s">
        <v>1185</v>
      </c>
      <c r="C224" s="2463"/>
      <c r="D224" s="2463"/>
      <c r="E224" s="2463"/>
      <c r="F224" s="2463"/>
      <c r="G224" s="2463"/>
      <c r="H224" s="852"/>
      <c r="I224" s="2416"/>
      <c r="J224" s="2416"/>
      <c r="K224" s="2416"/>
      <c r="L224" s="1008"/>
      <c r="N224" s="2414"/>
      <c r="O224" s="2414"/>
      <c r="P224" s="2414"/>
      <c r="Q224" s="2414"/>
      <c r="R224" s="2414"/>
      <c r="T224" s="2413"/>
      <c r="U224" s="2413"/>
      <c r="V224" s="2413"/>
      <c r="W224" s="2413"/>
      <c r="X224" s="2413"/>
      <c r="Y224" s="2413"/>
      <c r="Z224" s="851"/>
      <c r="AA224" s="851"/>
      <c r="AB224" s="2411">
        <f t="shared" ref="AB224:AB233" si="0">MAX(($T224-$N224)*$I224*12,0)</f>
        <v>0</v>
      </c>
      <c r="AC224" s="2411"/>
      <c r="AD224" s="2411"/>
      <c r="AE224" s="2411"/>
      <c r="AF224" s="2411"/>
      <c r="AG224" s="2411"/>
      <c r="AH224" s="827"/>
      <c r="AI224" s="827"/>
      <c r="AJ224" s="827"/>
      <c r="AK224" s="610"/>
    </row>
    <row r="225" spans="1:37">
      <c r="A225" s="605"/>
      <c r="B225" s="2463" t="s">
        <v>1185</v>
      </c>
      <c r="C225" s="2463"/>
      <c r="D225" s="2463"/>
      <c r="E225" s="2463"/>
      <c r="F225" s="2463"/>
      <c r="G225" s="2463"/>
      <c r="I225" s="2416"/>
      <c r="J225" s="2416"/>
      <c r="K225" s="2416"/>
      <c r="L225" s="1008"/>
      <c r="N225" s="2414"/>
      <c r="O225" s="2414"/>
      <c r="P225" s="2414"/>
      <c r="Q225" s="2414"/>
      <c r="R225" s="2414"/>
      <c r="T225" s="2413"/>
      <c r="U225" s="2413"/>
      <c r="V225" s="2413"/>
      <c r="W225" s="2413"/>
      <c r="X225" s="2413"/>
      <c r="Y225" s="2413"/>
      <c r="Z225" s="851"/>
      <c r="AA225" s="851"/>
      <c r="AB225" s="2411">
        <f t="shared" si="0"/>
        <v>0</v>
      </c>
      <c r="AC225" s="2411"/>
      <c r="AD225" s="2411"/>
      <c r="AE225" s="2411"/>
      <c r="AF225" s="2411"/>
      <c r="AG225" s="2411"/>
      <c r="AH225" s="827"/>
      <c r="AI225" s="827"/>
      <c r="AJ225" s="827"/>
      <c r="AK225" s="610"/>
    </row>
    <row r="226" spans="1:37">
      <c r="A226" s="605"/>
      <c r="B226" s="2463" t="s">
        <v>1185</v>
      </c>
      <c r="C226" s="2463"/>
      <c r="D226" s="2463"/>
      <c r="E226" s="2463"/>
      <c r="F226" s="2463"/>
      <c r="G226" s="2463"/>
      <c r="I226" s="2416"/>
      <c r="J226" s="2416"/>
      <c r="K226" s="2416"/>
      <c r="L226" s="1008"/>
      <c r="N226" s="2414"/>
      <c r="O226" s="2414"/>
      <c r="P226" s="2414"/>
      <c r="Q226" s="2414"/>
      <c r="R226" s="2414"/>
      <c r="T226" s="2413"/>
      <c r="U226" s="2413"/>
      <c r="V226" s="2413"/>
      <c r="W226" s="2413"/>
      <c r="X226" s="2413"/>
      <c r="Y226" s="2413"/>
      <c r="Z226" s="851"/>
      <c r="AA226" s="851"/>
      <c r="AB226" s="2411">
        <f t="shared" si="0"/>
        <v>0</v>
      </c>
      <c r="AC226" s="2411"/>
      <c r="AD226" s="2411"/>
      <c r="AE226" s="2411"/>
      <c r="AF226" s="2411"/>
      <c r="AG226" s="2411"/>
      <c r="AH226" s="827"/>
      <c r="AI226" s="827"/>
      <c r="AJ226" s="827"/>
      <c r="AK226" s="610"/>
    </row>
    <row r="227" spans="1:37">
      <c r="A227" s="605"/>
      <c r="B227" s="2463" t="s">
        <v>1185</v>
      </c>
      <c r="C227" s="2463"/>
      <c r="D227" s="2463"/>
      <c r="E227" s="2463"/>
      <c r="F227" s="2463"/>
      <c r="G227" s="2463"/>
      <c r="I227" s="2416"/>
      <c r="J227" s="2416"/>
      <c r="K227" s="2416"/>
      <c r="L227" s="1008"/>
      <c r="N227" s="2414"/>
      <c r="O227" s="2414"/>
      <c r="P227" s="2414"/>
      <c r="Q227" s="2414"/>
      <c r="R227" s="2414"/>
      <c r="T227" s="2413"/>
      <c r="U227" s="2413"/>
      <c r="V227" s="2413"/>
      <c r="W227" s="2413"/>
      <c r="X227" s="2413"/>
      <c r="Y227" s="2413"/>
      <c r="Z227" s="851"/>
      <c r="AA227" s="851"/>
      <c r="AB227" s="2411">
        <f t="shared" si="0"/>
        <v>0</v>
      </c>
      <c r="AC227" s="2411"/>
      <c r="AD227" s="2411"/>
      <c r="AE227" s="2411"/>
      <c r="AF227" s="2411"/>
      <c r="AG227" s="2411"/>
      <c r="AH227" s="827"/>
      <c r="AI227" s="827"/>
      <c r="AJ227" s="827"/>
      <c r="AK227" s="610"/>
    </row>
    <row r="228" spans="1:37">
      <c r="A228" s="605"/>
      <c r="B228" s="2463" t="s">
        <v>1185</v>
      </c>
      <c r="C228" s="2463"/>
      <c r="D228" s="2463"/>
      <c r="E228" s="2463"/>
      <c r="F228" s="2463"/>
      <c r="G228" s="2463"/>
      <c r="I228" s="2416"/>
      <c r="J228" s="2416"/>
      <c r="K228" s="2416"/>
      <c r="L228" s="1015"/>
      <c r="N228" s="2414"/>
      <c r="O228" s="2414"/>
      <c r="P228" s="2414"/>
      <c r="Q228" s="2414"/>
      <c r="R228" s="2414"/>
      <c r="T228" s="2413"/>
      <c r="U228" s="2413"/>
      <c r="V228" s="2413"/>
      <c r="W228" s="2413"/>
      <c r="X228" s="2413"/>
      <c r="Y228" s="2413"/>
      <c r="Z228" s="851"/>
      <c r="AA228" s="851"/>
      <c r="AB228" s="2411">
        <f t="shared" si="0"/>
        <v>0</v>
      </c>
      <c r="AC228" s="2411"/>
      <c r="AD228" s="2411"/>
      <c r="AE228" s="2411"/>
      <c r="AF228" s="2411"/>
      <c r="AG228" s="2411"/>
      <c r="AH228" s="827"/>
      <c r="AI228" s="827"/>
      <c r="AJ228" s="827"/>
      <c r="AK228" s="610"/>
    </row>
    <row r="229" spans="1:37">
      <c r="A229" s="605"/>
      <c r="B229" s="2463" t="s">
        <v>1185</v>
      </c>
      <c r="C229" s="2463"/>
      <c r="D229" s="2463"/>
      <c r="E229" s="2463"/>
      <c r="F229" s="2463"/>
      <c r="G229" s="2463"/>
      <c r="I229" s="2416"/>
      <c r="J229" s="2416"/>
      <c r="K229" s="2416"/>
      <c r="L229" s="1015"/>
      <c r="N229" s="2414"/>
      <c r="O229" s="2414"/>
      <c r="P229" s="2414"/>
      <c r="Q229" s="2414"/>
      <c r="R229" s="2414"/>
      <c r="T229" s="2413"/>
      <c r="U229" s="2413"/>
      <c r="V229" s="2413"/>
      <c r="W229" s="2413"/>
      <c r="X229" s="2413"/>
      <c r="Y229" s="2413"/>
      <c r="Z229" s="851"/>
      <c r="AA229" s="851"/>
      <c r="AB229" s="2411">
        <f t="shared" si="0"/>
        <v>0</v>
      </c>
      <c r="AC229" s="2411"/>
      <c r="AD229" s="2411"/>
      <c r="AE229" s="2411"/>
      <c r="AF229" s="2411"/>
      <c r="AG229" s="2411"/>
      <c r="AH229" s="827"/>
      <c r="AI229" s="827"/>
      <c r="AJ229" s="827"/>
      <c r="AK229" s="610"/>
    </row>
    <row r="230" spans="1:37">
      <c r="A230" s="605"/>
      <c r="B230" s="2463" t="s">
        <v>1185</v>
      </c>
      <c r="C230" s="2463"/>
      <c r="D230" s="2463"/>
      <c r="E230" s="2463"/>
      <c r="F230" s="2463"/>
      <c r="G230" s="2463"/>
      <c r="I230" s="2416"/>
      <c r="J230" s="2416"/>
      <c r="K230" s="2416"/>
      <c r="L230" s="1015"/>
      <c r="N230" s="2414"/>
      <c r="O230" s="2414"/>
      <c r="P230" s="2414"/>
      <c r="Q230" s="2414"/>
      <c r="R230" s="2414"/>
      <c r="T230" s="2413"/>
      <c r="U230" s="2413"/>
      <c r="V230" s="2413"/>
      <c r="W230" s="2413"/>
      <c r="X230" s="2413"/>
      <c r="Y230" s="2413"/>
      <c r="Z230" s="851"/>
      <c r="AA230" s="851"/>
      <c r="AB230" s="2411">
        <f t="shared" si="0"/>
        <v>0</v>
      </c>
      <c r="AC230" s="2411"/>
      <c r="AD230" s="2411"/>
      <c r="AE230" s="2411"/>
      <c r="AF230" s="2411"/>
      <c r="AG230" s="2411"/>
      <c r="AH230" s="827"/>
      <c r="AI230" s="827"/>
      <c r="AJ230" s="827"/>
      <c r="AK230" s="610"/>
    </row>
    <row r="231" spans="1:37">
      <c r="A231" s="605"/>
      <c r="B231" s="2463" t="s">
        <v>1185</v>
      </c>
      <c r="C231" s="2463"/>
      <c r="D231" s="2463"/>
      <c r="E231" s="2463"/>
      <c r="F231" s="2463"/>
      <c r="G231" s="2463"/>
      <c r="I231" s="2416"/>
      <c r="J231" s="2416"/>
      <c r="K231" s="2416"/>
      <c r="L231" s="1015"/>
      <c r="N231" s="2414"/>
      <c r="O231" s="2414"/>
      <c r="P231" s="2414"/>
      <c r="Q231" s="2414"/>
      <c r="R231" s="2414"/>
      <c r="T231" s="2413"/>
      <c r="U231" s="2413"/>
      <c r="V231" s="2413"/>
      <c r="W231" s="2413"/>
      <c r="X231" s="2413"/>
      <c r="Y231" s="2413"/>
      <c r="Z231" s="851"/>
      <c r="AA231" s="851"/>
      <c r="AB231" s="2411">
        <f t="shared" si="0"/>
        <v>0</v>
      </c>
      <c r="AC231" s="2411"/>
      <c r="AD231" s="2411"/>
      <c r="AE231" s="2411"/>
      <c r="AF231" s="2411"/>
      <c r="AG231" s="2411"/>
      <c r="AH231" s="827"/>
      <c r="AI231" s="827"/>
      <c r="AJ231" s="827"/>
      <c r="AK231" s="610"/>
    </row>
    <row r="232" spans="1:37">
      <c r="A232" s="605"/>
      <c r="B232" s="2463" t="s">
        <v>1185</v>
      </c>
      <c r="C232" s="2463"/>
      <c r="D232" s="2463"/>
      <c r="E232" s="2463"/>
      <c r="F232" s="2463"/>
      <c r="G232" s="2463"/>
      <c r="I232" s="2416"/>
      <c r="J232" s="2416"/>
      <c r="K232" s="2416"/>
      <c r="L232" s="1015"/>
      <c r="N232" s="2414"/>
      <c r="O232" s="2414"/>
      <c r="P232" s="2414"/>
      <c r="Q232" s="2414"/>
      <c r="R232" s="2414"/>
      <c r="T232" s="2413"/>
      <c r="U232" s="2413"/>
      <c r="V232" s="2413"/>
      <c r="W232" s="2413"/>
      <c r="X232" s="2413"/>
      <c r="Y232" s="2413"/>
      <c r="Z232" s="851"/>
      <c r="AA232" s="851"/>
      <c r="AB232" s="2411">
        <f t="shared" si="0"/>
        <v>0</v>
      </c>
      <c r="AC232" s="2411"/>
      <c r="AD232" s="2411"/>
      <c r="AE232" s="2411"/>
      <c r="AF232" s="2411"/>
      <c r="AG232" s="2411"/>
      <c r="AH232" s="827"/>
      <c r="AI232" s="827"/>
      <c r="AJ232" s="827"/>
      <c r="AK232" s="610"/>
    </row>
    <row r="233" spans="1:37">
      <c r="A233" s="605"/>
      <c r="B233" s="2463" t="s">
        <v>1185</v>
      </c>
      <c r="C233" s="2463"/>
      <c r="D233" s="2463"/>
      <c r="E233" s="2463"/>
      <c r="F233" s="2463"/>
      <c r="G233" s="2463"/>
      <c r="I233" s="2598"/>
      <c r="J233" s="2598"/>
      <c r="K233" s="2598"/>
      <c r="L233" s="1015"/>
      <c r="N233" s="2414"/>
      <c r="O233" s="2414"/>
      <c r="P233" s="2414"/>
      <c r="Q233" s="2414"/>
      <c r="R233" s="2414"/>
      <c r="T233" s="2413"/>
      <c r="U233" s="2413"/>
      <c r="V233" s="2413"/>
      <c r="W233" s="2413"/>
      <c r="X233" s="2413"/>
      <c r="Y233" s="2413"/>
      <c r="Z233" s="851"/>
      <c r="AA233" s="851"/>
      <c r="AB233" s="2417">
        <f t="shared" si="0"/>
        <v>0</v>
      </c>
      <c r="AC233" s="2417"/>
      <c r="AD233" s="2417"/>
      <c r="AE233" s="2417"/>
      <c r="AF233" s="2417"/>
      <c r="AG233" s="241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1">
        <f>SUM(AB224:AB233)</f>
        <v>0</v>
      </c>
      <c r="AC234" s="2411"/>
      <c r="AD234" s="2411"/>
      <c r="AE234" s="2411"/>
      <c r="AF234" s="2411"/>
      <c r="AG234" s="241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8"/>
      <c r="AC240" s="2448"/>
      <c r="AD240" s="2448"/>
      <c r="AE240" s="2448"/>
      <c r="AF240" s="2448"/>
      <c r="AG240" s="2448"/>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8"/>
      <c r="AC243" s="2448"/>
      <c r="AD243" s="2448"/>
      <c r="AE243" s="2448"/>
      <c r="AF243" s="2448"/>
      <c r="AG243" s="2448"/>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0"/>
      <c r="AC244" s="2410"/>
      <c r="AD244" s="2410"/>
      <c r="AE244" s="2410"/>
      <c r="AF244" s="2410"/>
      <c r="AG244" s="2410"/>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8">
        <f>IFERROR(AB243/AB244,0)</f>
        <v>0</v>
      </c>
      <c r="AC245" s="2418"/>
      <c r="AD245" s="2418"/>
      <c r="AE245" s="2418"/>
      <c r="AF245" s="2418"/>
      <c r="AG245" s="241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7">
        <f>MAX(AB240,AB245)</f>
        <v>0</v>
      </c>
      <c r="AC247" s="2417"/>
      <c r="AD247" s="2417"/>
      <c r="AE247" s="2417"/>
      <c r="AF247" s="2417"/>
      <c r="AG247" s="241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1">
        <f>AB234+AB247</f>
        <v>0</v>
      </c>
      <c r="AC250" s="2411"/>
      <c r="AD250" s="2411"/>
      <c r="AE250" s="2411"/>
      <c r="AF250" s="2411"/>
      <c r="AG250" s="2411"/>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2">
        <v>0.05</v>
      </c>
      <c r="AC251" s="2582"/>
      <c r="AD251" s="2582"/>
      <c r="AE251" s="2582"/>
      <c r="AF251" s="2582"/>
      <c r="AG251" s="2582"/>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3">
        <f>AB250-(AB250*AB251)</f>
        <v>0</v>
      </c>
      <c r="AC252" s="2583"/>
      <c r="AD252" s="2583"/>
      <c r="AE252" s="2583"/>
      <c r="AF252" s="2583"/>
      <c r="AG252" s="2583"/>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1">
        <f>AB252/AB258</f>
        <v>0</v>
      </c>
      <c r="AC254" s="2411"/>
      <c r="AD254" s="2411"/>
      <c r="AE254" s="2411"/>
      <c r="AF254" s="2411"/>
      <c r="AG254" s="241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4">
        <v>15</v>
      </c>
      <c r="AC256" s="2594"/>
      <c r="AD256" s="2594"/>
      <c r="AE256" s="2594"/>
      <c r="AF256" s="2594"/>
      <c r="AG256" s="2594"/>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5">
        <v>0.04</v>
      </c>
      <c r="AC257" s="2585"/>
      <c r="AD257" s="2585"/>
      <c r="AE257" s="2585"/>
      <c r="AF257" s="2585"/>
      <c r="AG257" s="2585"/>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6">
        <v>1.1499999999999999</v>
      </c>
      <c r="AC258" s="2586"/>
      <c r="AD258" s="2586"/>
      <c r="AE258" s="2586"/>
      <c r="AF258" s="2586"/>
      <c r="AG258" s="258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5">
        <f>PV(AB257/12,AB256*12,-AB254/12, ,0)</f>
        <v>0</v>
      </c>
      <c r="AC260" s="2576"/>
      <c r="AD260" s="2576"/>
      <c r="AE260" s="2576"/>
      <c r="AF260" s="2576"/>
      <c r="AG260" s="257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9">
        <f>IFERROR(('Sources and Uses Budget'!D105/'Sources and Uses Budget'!B105),0)</f>
        <v>0</v>
      </c>
      <c r="AC266" s="2580"/>
      <c r="AD266" s="2580"/>
      <c r="AE266" s="2580"/>
      <c r="AF266" s="2580"/>
      <c r="AG266" s="258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5">
        <f>AD211*(1-AB266)</f>
        <v>10000000</v>
      </c>
      <c r="AH268" s="2425"/>
      <c r="AI268" s="2425"/>
      <c r="AJ268" s="2425"/>
      <c r="AK268" s="2425"/>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5">
        <f>'Sources and Uses Budget'!C105</f>
        <v>103796270</v>
      </c>
      <c r="AH269" s="2425"/>
      <c r="AI269" s="2425"/>
      <c r="AJ269" s="2425"/>
      <c r="AK269" s="242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1">
        <f>ROUNDDOWN(IF(AND(C292="Yes",AK84=10),((AG268*2)/AG269),AG268/AG269),2)</f>
        <v>0.09</v>
      </c>
      <c r="AH270" s="2571"/>
      <c r="AI270" s="2571"/>
      <c r="AJ270" s="2571"/>
      <c r="AK270" s="2571"/>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0">
        <f>IFERROR(IF(AG270=0,0,IF((AG270*100)&gt;8,8,(AG270*100))),0)</f>
        <v>8</v>
      </c>
      <c r="AL273" s="2560"/>
      <c r="AM273" s="2561"/>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2" t="s">
        <v>546</v>
      </c>
      <c r="D278" s="2442"/>
      <c r="E278" s="547"/>
      <c r="F278" s="2394" t="s">
        <v>2025</v>
      </c>
      <c r="G278" s="2395"/>
      <c r="H278" s="2395"/>
      <c r="I278" s="2395"/>
      <c r="J278" s="2395"/>
      <c r="K278" s="2395"/>
      <c r="L278" s="2395"/>
      <c r="M278" s="2395"/>
      <c r="N278" s="2395"/>
      <c r="O278" s="2395"/>
      <c r="P278" s="2395"/>
      <c r="Q278" s="2395"/>
      <c r="R278" s="2395"/>
      <c r="S278" s="2395"/>
      <c r="T278" s="2395"/>
      <c r="U278" s="2395"/>
      <c r="V278" s="2395"/>
      <c r="W278" s="2395"/>
      <c r="X278" s="2395"/>
      <c r="Y278" s="2395"/>
      <c r="Z278" s="2395"/>
      <c r="AA278" s="2395"/>
      <c r="AB278" s="2395"/>
      <c r="AC278" s="2395"/>
      <c r="AD278" s="2396"/>
      <c r="AE278" s="550"/>
      <c r="AF278" s="635"/>
      <c r="AG278" s="2569" t="s">
        <v>1364</v>
      </c>
      <c r="AH278" s="2569"/>
      <c r="AI278" s="2569"/>
      <c r="AJ278" s="2569"/>
      <c r="AK278" s="550"/>
      <c r="AL278" s="550"/>
      <c r="AM278" s="550"/>
      <c r="AO278" s="550"/>
    </row>
    <row r="279" spans="1:52" ht="13.7" customHeight="1">
      <c r="A279" s="550"/>
      <c r="B279" s="596"/>
      <c r="C279" s="636"/>
      <c r="D279" s="550"/>
      <c r="E279" s="547"/>
      <c r="F279" s="2397"/>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50"/>
      <c r="AF279" s="635"/>
      <c r="AG279" s="635"/>
      <c r="AH279" s="635"/>
      <c r="AI279" s="635"/>
      <c r="AJ279" s="550"/>
      <c r="AK279" s="550"/>
      <c r="AL279" s="550"/>
      <c r="AM279" s="550"/>
      <c r="AO279" s="550"/>
    </row>
    <row r="280" spans="1:52">
      <c r="A280" s="550"/>
      <c r="B280" s="596"/>
      <c r="C280" s="636"/>
      <c r="D280" s="550"/>
      <c r="E280" s="547"/>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50"/>
      <c r="AF280" s="635"/>
      <c r="AG280" s="635"/>
      <c r="AH280" s="635"/>
      <c r="AI280" s="635"/>
      <c r="AJ280" s="550"/>
      <c r="AK280" s="550"/>
      <c r="AL280" s="550"/>
      <c r="AM280" s="550"/>
      <c r="AO280" s="550"/>
      <c r="AP280" s="637"/>
    </row>
    <row r="281" spans="1:52">
      <c r="A281" s="550"/>
      <c r="B281" s="596"/>
      <c r="C281" s="636"/>
      <c r="D281" s="550"/>
      <c r="E281" s="547"/>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50"/>
      <c r="AF281" s="635"/>
      <c r="AG281" s="635"/>
      <c r="AH281" s="635"/>
      <c r="AI281" s="635"/>
      <c r="AJ281" s="550"/>
      <c r="AK281" s="550"/>
      <c r="AL281" s="550"/>
      <c r="AM281" s="550"/>
      <c r="AO281" s="550"/>
      <c r="AP281" s="637"/>
    </row>
    <row r="282" spans="1:52" ht="13.7" customHeight="1">
      <c r="A282" s="550"/>
      <c r="B282" s="596"/>
      <c r="C282" s="2570"/>
      <c r="D282" s="2570"/>
      <c r="E282" s="547"/>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50"/>
      <c r="AF282" s="635"/>
      <c r="AG282" s="2569"/>
      <c r="AH282" s="2569"/>
      <c r="AI282" s="2569"/>
      <c r="AJ282" s="2569"/>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0">
        <f>IF($C$278="yes",10,0)</f>
        <v>10</v>
      </c>
      <c r="AL285" s="2560"/>
      <c r="AM285" s="2561"/>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5" t="s">
        <v>1383</v>
      </c>
      <c r="B292" s="1635"/>
      <c r="C292" s="2393" t="s">
        <v>592</v>
      </c>
      <c r="D292" s="2442"/>
      <c r="E292" s="547"/>
      <c r="F292" s="2562" t="s">
        <v>1384</v>
      </c>
      <c r="G292" s="2563"/>
      <c r="H292" s="2563"/>
      <c r="I292" s="2563"/>
      <c r="J292" s="2563"/>
      <c r="K292" s="2563"/>
      <c r="L292" s="2563"/>
      <c r="M292" s="2563"/>
      <c r="N292" s="2563"/>
      <c r="O292" s="2563"/>
      <c r="P292" s="2563"/>
      <c r="Q292" s="2563"/>
      <c r="R292" s="2563"/>
      <c r="S292" s="2563"/>
      <c r="T292" s="2563"/>
      <c r="U292" s="2563"/>
      <c r="V292" s="2563"/>
      <c r="W292" s="2563"/>
      <c r="X292" s="2563"/>
      <c r="Y292" s="2563"/>
      <c r="Z292" s="2563"/>
      <c r="AA292" s="2563"/>
      <c r="AB292" s="2563"/>
      <c r="AC292" s="2563"/>
      <c r="AD292" s="2564"/>
      <c r="AE292" s="642"/>
      <c r="AF292" s="550"/>
      <c r="AG292" s="2565" t="s">
        <v>2018</v>
      </c>
      <c r="AH292" s="2565"/>
      <c r="AI292" s="2565"/>
      <c r="AJ292" s="2565"/>
      <c r="AK292" s="2565"/>
      <c r="AL292" s="550"/>
      <c r="AM292" s="550"/>
      <c r="AN292" s="73"/>
      <c r="AO292" s="14"/>
      <c r="AP292" s="30"/>
      <c r="AS292" s="570"/>
      <c r="AT292" s="570"/>
      <c r="AU292" s="570"/>
      <c r="AV292" s="32"/>
      <c r="AW292" s="32"/>
    </row>
    <row r="293" spans="1:49">
      <c r="A293" s="640"/>
      <c r="B293" s="596"/>
      <c r="F293" s="2420"/>
      <c r="G293" s="2421"/>
      <c r="H293" s="2421"/>
      <c r="I293" s="2421"/>
      <c r="J293" s="2421"/>
      <c r="K293" s="2421"/>
      <c r="L293" s="2421"/>
      <c r="M293" s="2421"/>
      <c r="N293" s="2421"/>
      <c r="O293" s="2421"/>
      <c r="P293" s="2421"/>
      <c r="Q293" s="2421"/>
      <c r="R293" s="2421"/>
      <c r="S293" s="2421"/>
      <c r="T293" s="2421"/>
      <c r="U293" s="2421"/>
      <c r="V293" s="2421"/>
      <c r="W293" s="2421"/>
      <c r="X293" s="2421"/>
      <c r="Y293" s="2421"/>
      <c r="Z293" s="2421"/>
      <c r="AA293" s="2421"/>
      <c r="AB293" s="2421"/>
      <c r="AC293" s="2421"/>
      <c r="AD293" s="2422"/>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0"/>
      <c r="G294" s="2421"/>
      <c r="H294" s="2421"/>
      <c r="I294" s="2421"/>
      <c r="J294" s="2421"/>
      <c r="K294" s="2421"/>
      <c r="L294" s="2421"/>
      <c r="M294" s="2421"/>
      <c r="N294" s="2421"/>
      <c r="O294" s="2421"/>
      <c r="P294" s="2421"/>
      <c r="Q294" s="2421"/>
      <c r="R294" s="2421"/>
      <c r="S294" s="2421"/>
      <c r="T294" s="2421"/>
      <c r="U294" s="2421"/>
      <c r="V294" s="2421"/>
      <c r="W294" s="2421"/>
      <c r="X294" s="2421"/>
      <c r="Y294" s="2421"/>
      <c r="Z294" s="2421"/>
      <c r="AA294" s="2421"/>
      <c r="AB294" s="2421"/>
      <c r="AC294" s="2421"/>
      <c r="AD294" s="2422"/>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0" t="s">
        <v>2026</v>
      </c>
      <c r="G295" s="2421"/>
      <c r="H295" s="2421"/>
      <c r="I295" s="2421"/>
      <c r="J295" s="2421"/>
      <c r="K295" s="2421"/>
      <c r="L295" s="2421"/>
      <c r="M295" s="2421"/>
      <c r="N295" s="2421"/>
      <c r="O295" s="2421"/>
      <c r="P295" s="2421"/>
      <c r="Q295" s="2421"/>
      <c r="R295" s="2421"/>
      <c r="S295" s="2421"/>
      <c r="T295" s="2421"/>
      <c r="U295" s="2421"/>
      <c r="V295" s="2421"/>
      <c r="W295" s="2421"/>
      <c r="X295" s="2421"/>
      <c r="Y295" s="2421"/>
      <c r="Z295" s="2421"/>
      <c r="AA295" s="2421"/>
      <c r="AB295" s="2421"/>
      <c r="AC295" s="2421"/>
      <c r="AD295" s="2422"/>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20"/>
      <c r="G296" s="2421"/>
      <c r="H296" s="2421"/>
      <c r="I296" s="2421"/>
      <c r="J296" s="2421"/>
      <c r="K296" s="2421"/>
      <c r="L296" s="2421"/>
      <c r="M296" s="2421"/>
      <c r="N296" s="2421"/>
      <c r="O296" s="2421"/>
      <c r="P296" s="2421"/>
      <c r="Q296" s="2421"/>
      <c r="R296" s="2421"/>
      <c r="S296" s="2421"/>
      <c r="T296" s="2421"/>
      <c r="U296" s="2421"/>
      <c r="V296" s="2421"/>
      <c r="W296" s="2421"/>
      <c r="X296" s="2421"/>
      <c r="Y296" s="2421"/>
      <c r="Z296" s="2421"/>
      <c r="AA296" s="2421"/>
      <c r="AB296" s="2421"/>
      <c r="AC296" s="2421"/>
      <c r="AD296" s="242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0" t="s">
        <v>1385</v>
      </c>
      <c r="G297" s="2421"/>
      <c r="H297" s="2421"/>
      <c r="I297" s="2421"/>
      <c r="J297" s="2421"/>
      <c r="K297" s="2421"/>
      <c r="L297" s="2421"/>
      <c r="M297" s="2421"/>
      <c r="N297" s="2421"/>
      <c r="O297" s="2421"/>
      <c r="P297" s="2421"/>
      <c r="Q297" s="2421"/>
      <c r="R297" s="2421"/>
      <c r="S297" s="2421"/>
      <c r="T297" s="2421"/>
      <c r="U297" s="2421"/>
      <c r="V297" s="2421"/>
      <c r="W297" s="2421"/>
      <c r="X297" s="2421"/>
      <c r="Y297" s="2421"/>
      <c r="Z297" s="2421"/>
      <c r="AA297" s="2421"/>
      <c r="AB297" s="2421"/>
      <c r="AC297" s="2421"/>
      <c r="AD297" s="242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0"/>
      <c r="G298" s="2421"/>
      <c r="H298" s="2421"/>
      <c r="I298" s="2421"/>
      <c r="J298" s="2421"/>
      <c r="K298" s="2421"/>
      <c r="L298" s="2421"/>
      <c r="M298" s="2421"/>
      <c r="N298" s="2421"/>
      <c r="O298" s="2421"/>
      <c r="P298" s="2421"/>
      <c r="Q298" s="2421"/>
      <c r="R298" s="2421"/>
      <c r="S298" s="2421"/>
      <c r="T298" s="2421"/>
      <c r="U298" s="2421"/>
      <c r="V298" s="2421"/>
      <c r="W298" s="2421"/>
      <c r="X298" s="2421"/>
      <c r="Y298" s="2421"/>
      <c r="Z298" s="2421"/>
      <c r="AA298" s="2421"/>
      <c r="AB298" s="2421"/>
      <c r="AC298" s="2421"/>
      <c r="AD298" s="242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0" t="s">
        <v>1386</v>
      </c>
      <c r="G299" s="2421"/>
      <c r="H299" s="2421"/>
      <c r="I299" s="2421"/>
      <c r="J299" s="2421"/>
      <c r="K299" s="2421"/>
      <c r="L299" s="2421"/>
      <c r="M299" s="2421"/>
      <c r="N299" s="2421"/>
      <c r="O299" s="2421"/>
      <c r="P299" s="2421"/>
      <c r="Q299" s="2421"/>
      <c r="R299" s="2421"/>
      <c r="S299" s="2421"/>
      <c r="T299" s="2421"/>
      <c r="U299" s="2421"/>
      <c r="V299" s="2421"/>
      <c r="W299" s="2421"/>
      <c r="X299" s="2421"/>
      <c r="Y299" s="2421"/>
      <c r="Z299" s="2421"/>
      <c r="AA299" s="2421"/>
      <c r="AB299" s="2421"/>
      <c r="AC299" s="2421"/>
      <c r="AD299" s="242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3"/>
      <c r="G300" s="2424"/>
      <c r="H300" s="2424"/>
      <c r="I300" s="2424"/>
      <c r="J300" s="2424"/>
      <c r="K300" s="2424"/>
      <c r="L300" s="2424"/>
      <c r="M300" s="2424"/>
      <c r="N300" s="2424"/>
      <c r="O300" s="2424"/>
      <c r="P300" s="2424"/>
      <c r="Q300" s="2424"/>
      <c r="R300" s="2424"/>
      <c r="S300" s="2424"/>
      <c r="T300" s="2424"/>
      <c r="U300" s="2424"/>
      <c r="V300" s="2424"/>
      <c r="W300" s="2424"/>
      <c r="X300" s="2424"/>
      <c r="Y300" s="2424"/>
      <c r="Z300" s="2424"/>
      <c r="AA300" s="2424"/>
      <c r="AB300" s="2424"/>
      <c r="AC300" s="2424"/>
      <c r="AD300" s="255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5" t="s">
        <v>1387</v>
      </c>
      <c r="B302" s="1635"/>
      <c r="C302" s="2442" t="s">
        <v>546</v>
      </c>
      <c r="D302" s="2442"/>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4" t="s">
        <v>2020</v>
      </c>
      <c r="G303" s="2545"/>
      <c r="H303" s="2545"/>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45"/>
      <c r="AD303" s="2546"/>
      <c r="AE303" s="551"/>
      <c r="AF303" s="551"/>
      <c r="AG303" s="551"/>
      <c r="AH303" s="551"/>
      <c r="AI303" s="551"/>
      <c r="AJ303" s="550"/>
      <c r="AK303" s="550"/>
      <c r="AL303" s="550"/>
      <c r="AM303" s="550"/>
      <c r="AR303" s="648"/>
    </row>
    <row r="304" spans="1:49" ht="15" customHeight="1">
      <c r="A304" s="550"/>
      <c r="B304" s="551"/>
      <c r="C304" s="550"/>
      <c r="D304" s="551"/>
      <c r="E304" s="550"/>
      <c r="F304" s="2544"/>
      <c r="G304" s="2545"/>
      <c r="H304" s="2545"/>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45"/>
      <c r="AD304" s="2546"/>
      <c r="AE304" s="551"/>
      <c r="AF304" s="551"/>
      <c r="AG304" s="551"/>
      <c r="AH304" s="551"/>
      <c r="AI304" s="551"/>
      <c r="AJ304" s="550"/>
      <c r="AK304" s="550"/>
      <c r="AL304" s="550"/>
      <c r="AM304" s="550"/>
      <c r="AR304" s="648"/>
    </row>
    <row r="305" spans="1:44">
      <c r="A305" s="550"/>
      <c r="B305" s="551"/>
      <c r="C305" s="550"/>
      <c r="D305" s="551"/>
      <c r="E305" s="550"/>
      <c r="F305" s="2544"/>
      <c r="G305" s="2545"/>
      <c r="H305" s="2545"/>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45"/>
      <c r="AD305" s="254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6"/>
      <c r="G306" s="2567"/>
      <c r="H306" s="2567"/>
      <c r="I306" s="2567"/>
      <c r="J306" s="2567"/>
      <c r="K306" s="2567"/>
      <c r="L306" s="2567"/>
      <c r="M306" s="2567"/>
      <c r="N306" s="2567"/>
      <c r="O306" s="2567"/>
      <c r="P306" s="2567"/>
      <c r="Q306" s="2567"/>
      <c r="R306" s="2567"/>
      <c r="S306" s="2567"/>
      <c r="T306" s="2567"/>
      <c r="U306" s="2567"/>
      <c r="V306" s="2567"/>
      <c r="W306" s="2567"/>
      <c r="X306" s="2567"/>
      <c r="Y306" s="2567"/>
      <c r="Z306" s="2567"/>
      <c r="AA306" s="2567"/>
      <c r="AB306" s="2567"/>
      <c r="AC306" s="2567"/>
      <c r="AD306" s="256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5" t="s">
        <v>1390</v>
      </c>
      <c r="B310" s="1635"/>
      <c r="C310" s="2442" t="s">
        <v>592</v>
      </c>
      <c r="D310" s="2442"/>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20" t="s">
        <v>2027</v>
      </c>
      <c r="G311" s="2421"/>
      <c r="H311" s="2421"/>
      <c r="I311" s="2421"/>
      <c r="J311" s="2421"/>
      <c r="K311" s="2421"/>
      <c r="L311" s="2421"/>
      <c r="M311" s="2421"/>
      <c r="N311" s="2421"/>
      <c r="O311" s="2421"/>
      <c r="P311" s="2421"/>
      <c r="Q311" s="2421"/>
      <c r="R311" s="2421"/>
      <c r="S311" s="2421"/>
      <c r="T311" s="2421"/>
      <c r="U311" s="2421"/>
      <c r="V311" s="2421"/>
      <c r="W311" s="2421"/>
      <c r="X311" s="2421"/>
      <c r="Y311" s="2421"/>
      <c r="Z311" s="2421"/>
      <c r="AA311" s="2421"/>
      <c r="AB311" s="2421"/>
      <c r="AC311" s="2421"/>
      <c r="AD311" s="2422"/>
      <c r="AE311" s="551"/>
      <c r="AF311" s="551"/>
      <c r="AG311" s="539"/>
      <c r="AH311" s="551"/>
      <c r="AI311" s="551"/>
      <c r="AJ311" s="550"/>
      <c r="AK311" s="550"/>
      <c r="AL311" s="550"/>
      <c r="AM311" s="550"/>
      <c r="AN311" s="73"/>
      <c r="AO311" s="14"/>
      <c r="AP311" s="557" t="s">
        <v>1185</v>
      </c>
    </row>
    <row r="312" spans="1:44" hidden="1">
      <c r="F312" s="2420"/>
      <c r="G312" s="2421"/>
      <c r="H312" s="2421"/>
      <c r="I312" s="2421"/>
      <c r="J312" s="2421"/>
      <c r="K312" s="2421"/>
      <c r="L312" s="2421"/>
      <c r="M312" s="2421"/>
      <c r="N312" s="2421"/>
      <c r="O312" s="2421"/>
      <c r="P312" s="2421"/>
      <c r="Q312" s="2421"/>
      <c r="R312" s="2421"/>
      <c r="S312" s="2421"/>
      <c r="T312" s="2421"/>
      <c r="U312" s="2421"/>
      <c r="V312" s="2421"/>
      <c r="W312" s="2421"/>
      <c r="X312" s="2421"/>
      <c r="Y312" s="2421"/>
      <c r="Z312" s="2421"/>
      <c r="AA312" s="2421"/>
      <c r="AB312" s="2421"/>
      <c r="AC312" s="2421"/>
      <c r="AD312" s="2422"/>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7" t="s">
        <v>1185</v>
      </c>
      <c r="G316" s="2548"/>
      <c r="H316" s="2548"/>
      <c r="I316" s="2548"/>
      <c r="J316" s="2548"/>
      <c r="K316" s="2548"/>
      <c r="L316" s="2548"/>
      <c r="M316" s="2548"/>
      <c r="N316" s="2548"/>
      <c r="O316" s="2548"/>
      <c r="P316" s="2548"/>
      <c r="Q316" s="2548"/>
      <c r="R316" s="2548"/>
      <c r="S316" s="2548"/>
      <c r="T316" s="2548"/>
      <c r="U316" s="2548"/>
      <c r="V316" s="2548"/>
      <c r="W316" s="2548"/>
      <c r="X316" s="2548"/>
      <c r="Y316" s="2548"/>
      <c r="Z316" s="2548"/>
      <c r="AA316" s="2548"/>
      <c r="AB316" s="2548"/>
      <c r="AC316" s="2548"/>
      <c r="AD316" s="2549"/>
      <c r="AE316" s="642"/>
      <c r="AF316" s="642"/>
      <c r="AG316" s="642"/>
      <c r="AH316" s="642"/>
      <c r="AI316" s="642"/>
      <c r="AJ316" s="642"/>
      <c r="AK316" s="642"/>
      <c r="AL316" s="550"/>
      <c r="AM316" s="550"/>
      <c r="AN316" s="73"/>
      <c r="AO316" s="14"/>
      <c r="AP316" s="30"/>
    </row>
    <row r="317" spans="1:44" hidden="1">
      <c r="A317" s="550"/>
      <c r="B317" s="551"/>
      <c r="C317" s="730"/>
      <c r="D317" s="730"/>
      <c r="E317" s="547"/>
      <c r="F317" s="2547"/>
      <c r="G317" s="2548"/>
      <c r="H317" s="2548"/>
      <c r="I317" s="2548"/>
      <c r="J317" s="2548"/>
      <c r="K317" s="2548"/>
      <c r="L317" s="2548"/>
      <c r="M317" s="2548"/>
      <c r="N317" s="2548"/>
      <c r="O317" s="2548"/>
      <c r="P317" s="2548"/>
      <c r="Q317" s="2548"/>
      <c r="R317" s="2548"/>
      <c r="S317" s="2548"/>
      <c r="T317" s="2548"/>
      <c r="U317" s="2548"/>
      <c r="V317" s="2548"/>
      <c r="W317" s="2548"/>
      <c r="X317" s="2548"/>
      <c r="Y317" s="2548"/>
      <c r="Z317" s="2548"/>
      <c r="AA317" s="2548"/>
      <c r="AB317" s="2548"/>
      <c r="AC317" s="2548"/>
      <c r="AD317" s="2549"/>
      <c r="AE317" s="551"/>
      <c r="AF317" s="551"/>
      <c r="AG317" s="539"/>
      <c r="AH317" s="551"/>
      <c r="AI317" s="551"/>
      <c r="AJ317" s="550"/>
      <c r="AK317" s="550"/>
      <c r="AL317" s="550"/>
      <c r="AM317" s="550"/>
      <c r="AN317" s="73"/>
      <c r="AO317" s="14"/>
      <c r="AP317" s="30"/>
    </row>
    <row r="318" spans="1:44" hidden="1">
      <c r="A318" s="550"/>
      <c r="B318" s="551"/>
      <c r="C318" s="730"/>
      <c r="D318" s="730"/>
      <c r="E318" s="547"/>
      <c r="F318" s="2547"/>
      <c r="G318" s="2548"/>
      <c r="H318" s="2548"/>
      <c r="I318" s="2548"/>
      <c r="J318" s="2548"/>
      <c r="K318" s="2548"/>
      <c r="L318" s="2548"/>
      <c r="M318" s="2548"/>
      <c r="N318" s="2548"/>
      <c r="O318" s="2548"/>
      <c r="P318" s="2548"/>
      <c r="Q318" s="2548"/>
      <c r="R318" s="2548"/>
      <c r="S318" s="2548"/>
      <c r="T318" s="2548"/>
      <c r="U318" s="2548"/>
      <c r="V318" s="2548"/>
      <c r="W318" s="2548"/>
      <c r="X318" s="2548"/>
      <c r="Y318" s="2548"/>
      <c r="Z318" s="2548"/>
      <c r="AA318" s="2548"/>
      <c r="AB318" s="2548"/>
      <c r="AC318" s="2548"/>
      <c r="AD318" s="2549"/>
      <c r="AE318" s="551"/>
      <c r="AF318" s="551"/>
      <c r="AG318" s="539"/>
      <c r="AH318" s="551"/>
      <c r="AI318" s="551"/>
      <c r="AJ318" s="550"/>
      <c r="AK318" s="550"/>
      <c r="AL318" s="550"/>
      <c r="AM318" s="550"/>
      <c r="AN318" s="73"/>
      <c r="AO318" s="14"/>
      <c r="AP318" s="30"/>
    </row>
    <row r="319" spans="1:44" hidden="1">
      <c r="A319" s="550"/>
      <c r="B319" s="551"/>
      <c r="C319" s="730"/>
      <c r="D319" s="730"/>
      <c r="E319" s="547"/>
      <c r="F319" s="2547"/>
      <c r="G319" s="2548"/>
      <c r="H319" s="2548"/>
      <c r="I319" s="2548"/>
      <c r="J319" s="2548"/>
      <c r="K319" s="2548"/>
      <c r="L319" s="2548"/>
      <c r="M319" s="2548"/>
      <c r="N319" s="2548"/>
      <c r="O319" s="2548"/>
      <c r="P319" s="2548"/>
      <c r="Q319" s="2548"/>
      <c r="R319" s="2548"/>
      <c r="S319" s="2548"/>
      <c r="T319" s="2548"/>
      <c r="U319" s="2548"/>
      <c r="V319" s="2548"/>
      <c r="W319" s="2548"/>
      <c r="X319" s="2548"/>
      <c r="Y319" s="2548"/>
      <c r="Z319" s="2548"/>
      <c r="AA319" s="2548"/>
      <c r="AB319" s="2548"/>
      <c r="AC319" s="2548"/>
      <c r="AD319" s="2549"/>
      <c r="AE319" s="551"/>
      <c r="AF319" s="551"/>
      <c r="AG319" s="539"/>
      <c r="AH319" s="551"/>
      <c r="AI319" s="551"/>
      <c r="AJ319" s="550"/>
      <c r="AK319" s="550"/>
      <c r="AL319" s="550"/>
      <c r="AM319" s="550"/>
      <c r="AN319" s="73"/>
      <c r="AO319" s="14"/>
      <c r="AP319" s="30"/>
    </row>
    <row r="320" spans="1:44" hidden="1">
      <c r="A320" s="550"/>
      <c r="B320" s="551"/>
      <c r="C320" s="730"/>
      <c r="D320" s="730"/>
      <c r="E320" s="547"/>
      <c r="F320" s="2550"/>
      <c r="G320" s="2551"/>
      <c r="H320" s="2551"/>
      <c r="I320" s="2551"/>
      <c r="J320" s="2551"/>
      <c r="K320" s="2551"/>
      <c r="L320" s="2551"/>
      <c r="M320" s="2551"/>
      <c r="N320" s="2551"/>
      <c r="O320" s="2551"/>
      <c r="P320" s="2551"/>
      <c r="Q320" s="2551"/>
      <c r="R320" s="2551"/>
      <c r="S320" s="2551"/>
      <c r="T320" s="2551"/>
      <c r="U320" s="2551"/>
      <c r="V320" s="2551"/>
      <c r="W320" s="2551"/>
      <c r="X320" s="2551"/>
      <c r="Y320" s="2551"/>
      <c r="Z320" s="2551"/>
      <c r="AA320" s="2551"/>
      <c r="AB320" s="2551"/>
      <c r="AC320" s="2551"/>
      <c r="AD320" s="255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3" t="s">
        <v>1185</v>
      </c>
      <c r="J324" s="2553"/>
      <c r="K324" s="2553"/>
      <c r="L324" s="2553"/>
      <c r="M324" s="2553"/>
      <c r="N324" s="2553"/>
      <c r="O324" s="2553"/>
      <c r="P324" s="2553"/>
      <c r="Q324" s="2553"/>
      <c r="R324" s="2553"/>
      <c r="S324" s="2553"/>
      <c r="T324" s="2553"/>
      <c r="U324" s="2553"/>
      <c r="V324" s="2553"/>
      <c r="W324" s="2553"/>
      <c r="X324" s="2553"/>
      <c r="Y324" s="2553"/>
      <c r="Z324" s="2553"/>
      <c r="AA324" s="2553"/>
      <c r="AB324" s="2553"/>
      <c r="AC324" s="2553"/>
      <c r="AD324" s="2554"/>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3"/>
      <c r="J325" s="2553"/>
      <c r="K325" s="2553"/>
      <c r="L325" s="2553"/>
      <c r="M325" s="2553"/>
      <c r="N325" s="2553"/>
      <c r="O325" s="2553"/>
      <c r="P325" s="2553"/>
      <c r="Q325" s="2553"/>
      <c r="R325" s="2553"/>
      <c r="S325" s="2553"/>
      <c r="T325" s="2553"/>
      <c r="U325" s="2553"/>
      <c r="V325" s="2553"/>
      <c r="W325" s="2553"/>
      <c r="X325" s="2553"/>
      <c r="Y325" s="2553"/>
      <c r="Z325" s="2553"/>
      <c r="AA325" s="2553"/>
      <c r="AB325" s="2553"/>
      <c r="AC325" s="2553"/>
      <c r="AD325" s="2554"/>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3"/>
      <c r="J326" s="2553"/>
      <c r="K326" s="2553"/>
      <c r="L326" s="2553"/>
      <c r="M326" s="2553"/>
      <c r="N326" s="2553"/>
      <c r="O326" s="2553"/>
      <c r="P326" s="2553"/>
      <c r="Q326" s="2553"/>
      <c r="R326" s="2553"/>
      <c r="S326" s="2553"/>
      <c r="T326" s="2553"/>
      <c r="U326" s="2553"/>
      <c r="V326" s="2553"/>
      <c r="W326" s="2553"/>
      <c r="X326" s="2553"/>
      <c r="Y326" s="2553"/>
      <c r="Z326" s="2553"/>
      <c r="AA326" s="2553"/>
      <c r="AB326" s="2553"/>
      <c r="AC326" s="2553"/>
      <c r="AD326" s="2554"/>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5"/>
      <c r="J327" s="2555"/>
      <c r="K327" s="2555"/>
      <c r="L327" s="2555"/>
      <c r="M327" s="2555"/>
      <c r="N327" s="2555"/>
      <c r="O327" s="2555"/>
      <c r="P327" s="2555"/>
      <c r="Q327" s="2555"/>
      <c r="R327" s="2555"/>
      <c r="S327" s="2555"/>
      <c r="T327" s="2555"/>
      <c r="U327" s="2555"/>
      <c r="V327" s="2555"/>
      <c r="W327" s="2555"/>
      <c r="X327" s="2555"/>
      <c r="Y327" s="2555"/>
      <c r="Z327" s="2555"/>
      <c r="AA327" s="2555"/>
      <c r="AB327" s="2555"/>
      <c r="AC327" s="2555"/>
      <c r="AD327" s="2556"/>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3" t="s">
        <v>1185</v>
      </c>
      <c r="J329" s="2553"/>
      <c r="K329" s="2553"/>
      <c r="L329" s="2553"/>
      <c r="M329" s="2553"/>
      <c r="N329" s="2553"/>
      <c r="O329" s="2553"/>
      <c r="P329" s="2553"/>
      <c r="Q329" s="2553"/>
      <c r="R329" s="2553"/>
      <c r="S329" s="2553"/>
      <c r="T329" s="2553"/>
      <c r="U329" s="2553"/>
      <c r="V329" s="2553"/>
      <c r="W329" s="2553"/>
      <c r="X329" s="2553"/>
      <c r="Y329" s="2553"/>
      <c r="Z329" s="2553"/>
      <c r="AA329" s="2553"/>
      <c r="AB329" s="2553"/>
      <c r="AC329" s="2553"/>
      <c r="AD329" s="255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3"/>
      <c r="J330" s="2553"/>
      <c r="K330" s="2553"/>
      <c r="L330" s="2553"/>
      <c r="M330" s="2553"/>
      <c r="N330" s="2553"/>
      <c r="O330" s="2553"/>
      <c r="P330" s="2553"/>
      <c r="Q330" s="2553"/>
      <c r="R330" s="2553"/>
      <c r="S330" s="2553"/>
      <c r="T330" s="2553"/>
      <c r="U330" s="2553"/>
      <c r="V330" s="2553"/>
      <c r="W330" s="2553"/>
      <c r="X330" s="2553"/>
      <c r="Y330" s="2553"/>
      <c r="Z330" s="2553"/>
      <c r="AA330" s="2553"/>
      <c r="AB330" s="2553"/>
      <c r="AC330" s="2553"/>
      <c r="AD330" s="2554"/>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5"/>
      <c r="J331" s="2555"/>
      <c r="K331" s="2555"/>
      <c r="L331" s="2555"/>
      <c r="M331" s="2555"/>
      <c r="N331" s="2555"/>
      <c r="O331" s="2555"/>
      <c r="P331" s="2555"/>
      <c r="Q331" s="2555"/>
      <c r="R331" s="2555"/>
      <c r="S331" s="2555"/>
      <c r="T331" s="2555"/>
      <c r="U331" s="2555"/>
      <c r="V331" s="2555"/>
      <c r="W331" s="2555"/>
      <c r="X331" s="2555"/>
      <c r="Y331" s="2555"/>
      <c r="Z331" s="2555"/>
      <c r="AA331" s="2555"/>
      <c r="AB331" s="2555"/>
      <c r="AC331" s="2555"/>
      <c r="AD331" s="2556"/>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5" t="s">
        <v>1393</v>
      </c>
      <c r="B333" s="1635"/>
      <c r="C333" s="2442" t="s">
        <v>592</v>
      </c>
      <c r="D333" s="2442"/>
      <c r="E333" s="547"/>
      <c r="F333" s="2541" t="s">
        <v>2028</v>
      </c>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4"/>
      <c r="G334" s="2545"/>
      <c r="H334" s="2545"/>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45"/>
      <c r="AD334" s="2546"/>
      <c r="AE334" s="551"/>
      <c r="AF334" s="551"/>
      <c r="AG334" s="551"/>
      <c r="AH334" s="551"/>
      <c r="AI334" s="551"/>
      <c r="AJ334" s="550"/>
      <c r="AK334" s="550"/>
      <c r="AL334" s="550"/>
      <c r="AM334" s="550"/>
      <c r="AN334" s="73"/>
      <c r="AO334" s="14"/>
    </row>
    <row r="335" spans="1:42" ht="15" hidden="1" customHeight="1">
      <c r="A335" s="550"/>
      <c r="B335" s="551"/>
      <c r="C335" s="551"/>
      <c r="D335" s="551"/>
      <c r="E335" s="551"/>
      <c r="F335" s="2544"/>
      <c r="G335" s="2545"/>
      <c r="H335" s="2545"/>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45"/>
      <c r="AD335" s="2546"/>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8">
        <f>IF(NOT(OR(Application!M355="Yes",Application!M356="Yes")),0,AP295)</f>
        <v>9</v>
      </c>
      <c r="AL338" s="2429"/>
      <c r="AM338" s="243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1" t="s">
        <v>1315</v>
      </c>
      <c r="AF341" s="2461"/>
      <c r="AG341" s="2461"/>
      <c r="AH341" s="2461"/>
      <c r="AI341" s="2461"/>
      <c r="AJ341" s="2461"/>
      <c r="AK341" s="2461"/>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7" t="s">
        <v>1455</v>
      </c>
      <c r="D343" s="2437"/>
      <c r="E343" s="2437"/>
      <c r="F343" s="2437"/>
      <c r="G343" s="2437"/>
      <c r="H343" s="2437"/>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7"/>
      <c r="AE343" s="2437"/>
      <c r="AF343" s="2437"/>
      <c r="AG343" s="2437"/>
      <c r="AH343" s="2437"/>
      <c r="AI343" s="2437"/>
      <c r="AJ343" s="2437"/>
      <c r="AK343" s="603"/>
      <c r="AL343" s="603"/>
      <c r="AM343" s="603"/>
      <c r="AN343" s="597"/>
    </row>
    <row r="344" spans="1:44" s="550" customFormat="1" ht="12.75" customHeight="1">
      <c r="A344" s="603"/>
      <c r="B344" s="611"/>
      <c r="C344" s="2437"/>
      <c r="D344" s="2437"/>
      <c r="E344" s="2437"/>
      <c r="F344" s="2437"/>
      <c r="G344" s="2437"/>
      <c r="H344" s="2437"/>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7"/>
      <c r="AE344" s="2437"/>
      <c r="AF344" s="2437"/>
      <c r="AG344" s="2437"/>
      <c r="AH344" s="2437"/>
      <c r="AI344" s="2437"/>
      <c r="AJ344" s="2437"/>
      <c r="AK344" s="603"/>
      <c r="AL344" s="603"/>
      <c r="AM344" s="603"/>
      <c r="AN344" s="597"/>
    </row>
    <row r="345" spans="1:44" s="550" customFormat="1" ht="12.75" customHeight="1">
      <c r="A345" s="603"/>
      <c r="B345" s="611"/>
      <c r="C345" s="2437"/>
      <c r="D345" s="2437"/>
      <c r="E345" s="2437"/>
      <c r="F345" s="2437"/>
      <c r="G345" s="2437"/>
      <c r="H345" s="2437"/>
      <c r="I345" s="2437"/>
      <c r="J345" s="2437"/>
      <c r="K345" s="2437"/>
      <c r="L345" s="2437"/>
      <c r="M345" s="2437"/>
      <c r="N345" s="2437"/>
      <c r="O345" s="2437"/>
      <c r="P345" s="2437"/>
      <c r="Q345" s="2437"/>
      <c r="R345" s="2437"/>
      <c r="S345" s="2437"/>
      <c r="T345" s="2437"/>
      <c r="U345" s="2437"/>
      <c r="V345" s="2437"/>
      <c r="W345" s="2437"/>
      <c r="X345" s="2437"/>
      <c r="Y345" s="2437"/>
      <c r="Z345" s="2437"/>
      <c r="AA345" s="2437"/>
      <c r="AB345" s="2437"/>
      <c r="AC345" s="2437"/>
      <c r="AD345" s="2437"/>
      <c r="AE345" s="2437"/>
      <c r="AF345" s="2437"/>
      <c r="AG345" s="2437"/>
      <c r="AH345" s="2437"/>
      <c r="AI345" s="2437"/>
      <c r="AJ345" s="2437"/>
      <c r="AK345" s="603"/>
      <c r="AL345" s="603"/>
      <c r="AM345" s="603"/>
      <c r="AN345" s="597"/>
      <c r="AQ345" s="570"/>
    </row>
    <row r="346" spans="1:44" s="550" customFormat="1" ht="12.75" customHeight="1">
      <c r="A346" s="603"/>
      <c r="B346" s="611"/>
      <c r="C346" s="2437"/>
      <c r="D346" s="2437"/>
      <c r="E346" s="2437"/>
      <c r="F346" s="2437"/>
      <c r="G346" s="2437"/>
      <c r="H346" s="2437"/>
      <c r="I346" s="2437"/>
      <c r="J346" s="2437"/>
      <c r="K346" s="2437"/>
      <c r="L346" s="2437"/>
      <c r="M346" s="2437"/>
      <c r="N346" s="2437"/>
      <c r="O346" s="2437"/>
      <c r="P346" s="2437"/>
      <c r="Q346" s="2437"/>
      <c r="R346" s="2437"/>
      <c r="S346" s="2437"/>
      <c r="T346" s="2437"/>
      <c r="U346" s="2437"/>
      <c r="V346" s="2437"/>
      <c r="W346" s="2437"/>
      <c r="X346" s="2437"/>
      <c r="Y346" s="2437"/>
      <c r="Z346" s="2437"/>
      <c r="AA346" s="2437"/>
      <c r="AB346" s="2437"/>
      <c r="AC346" s="2437"/>
      <c r="AD346" s="2437"/>
      <c r="AE346" s="2437"/>
      <c r="AF346" s="2437"/>
      <c r="AG346" s="2437"/>
      <c r="AH346" s="2437"/>
      <c r="AI346" s="2437"/>
      <c r="AJ346" s="2437"/>
      <c r="AK346" s="603"/>
      <c r="AL346" s="603"/>
      <c r="AM346" s="603"/>
      <c r="AN346" s="597"/>
      <c r="AQ346" s="570"/>
    </row>
    <row r="347" spans="1:44" s="550" customFormat="1" ht="12.4" customHeight="1">
      <c r="A347" s="603"/>
      <c r="B347" s="611"/>
      <c r="C347" s="2437"/>
      <c r="D347" s="2437"/>
      <c r="E347" s="2437"/>
      <c r="F347" s="2437"/>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7"/>
      <c r="AE347" s="2437"/>
      <c r="AF347" s="2437"/>
      <c r="AG347" s="2437"/>
      <c r="AH347" s="2437"/>
      <c r="AI347" s="2437"/>
      <c r="AJ347" s="2437"/>
      <c r="AK347" s="603"/>
      <c r="AL347" s="603"/>
      <c r="AM347" s="603"/>
      <c r="AN347" s="597"/>
      <c r="AQ347" s="570"/>
      <c r="AR347" s="570"/>
    </row>
    <row r="348" spans="1:44" s="550" customFormat="1" ht="45.75" customHeight="1">
      <c r="A348" s="603"/>
      <c r="B348" s="611"/>
      <c r="C348" s="2437" t="s">
        <v>2093</v>
      </c>
      <c r="D348" s="2437"/>
      <c r="E348" s="2437"/>
      <c r="F348" s="2437"/>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7"/>
      <c r="AE348" s="2437"/>
      <c r="AF348" s="2437"/>
      <c r="AG348" s="2437"/>
      <c r="AH348" s="2437"/>
      <c r="AI348" s="2437"/>
      <c r="AJ348" s="243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7" t="s">
        <v>2208</v>
      </c>
      <c r="D350" s="2437"/>
      <c r="E350" s="2437"/>
      <c r="F350" s="2437"/>
      <c r="G350" s="2437"/>
      <c r="H350" s="2437"/>
      <c r="I350" s="2437"/>
      <c r="J350" s="2437"/>
      <c r="K350" s="2437"/>
      <c r="L350" s="2437"/>
      <c r="M350" s="2437"/>
      <c r="N350" s="2437"/>
      <c r="O350" s="2437"/>
      <c r="P350" s="2437"/>
      <c r="Q350" s="2437"/>
      <c r="R350" s="2437"/>
      <c r="S350" s="2437"/>
      <c r="T350" s="2437"/>
      <c r="U350" s="2437"/>
      <c r="V350" s="2437"/>
      <c r="W350" s="2437"/>
      <c r="X350" s="2437"/>
      <c r="Y350" s="2437"/>
      <c r="Z350" s="2437"/>
      <c r="AA350" s="2437"/>
      <c r="AB350" s="2437"/>
      <c r="AC350" s="2437"/>
      <c r="AD350" s="2437"/>
      <c r="AE350" s="2437"/>
      <c r="AF350" s="2437"/>
      <c r="AG350" s="2437"/>
      <c r="AH350" s="2437"/>
      <c r="AI350" s="2437"/>
      <c r="AJ350" s="2437"/>
      <c r="AK350" s="603"/>
      <c r="AL350" s="603"/>
      <c r="AM350" s="603"/>
      <c r="AN350" s="597"/>
      <c r="AQ350" s="570"/>
      <c r="AR350" s="570"/>
    </row>
    <row r="351" spans="1:44" s="550" customFormat="1" ht="30" customHeight="1">
      <c r="A351" s="603"/>
      <c r="B351" s="611"/>
      <c r="C351" s="2437"/>
      <c r="D351" s="2437"/>
      <c r="E351" s="2437"/>
      <c r="F351" s="2437"/>
      <c r="G351" s="2437"/>
      <c r="H351" s="2437"/>
      <c r="I351" s="2437"/>
      <c r="J351" s="2437"/>
      <c r="K351" s="2437"/>
      <c r="L351" s="2437"/>
      <c r="M351" s="2437"/>
      <c r="N351" s="2437"/>
      <c r="O351" s="2437"/>
      <c r="P351" s="2437"/>
      <c r="Q351" s="2437"/>
      <c r="R351" s="2437"/>
      <c r="S351" s="2437"/>
      <c r="T351" s="2437"/>
      <c r="U351" s="2437"/>
      <c r="V351" s="2437"/>
      <c r="W351" s="2437"/>
      <c r="X351" s="2437"/>
      <c r="Y351" s="2437"/>
      <c r="Z351" s="2437"/>
      <c r="AA351" s="2437"/>
      <c r="AB351" s="2437"/>
      <c r="AC351" s="2437"/>
      <c r="AD351" s="2437"/>
      <c r="AE351" s="2437"/>
      <c r="AF351" s="2437"/>
      <c r="AG351" s="2437"/>
      <c r="AH351" s="2437"/>
      <c r="AI351" s="2437"/>
      <c r="AJ351" s="2437"/>
      <c r="AK351" s="603"/>
      <c r="AL351" s="603"/>
      <c r="AM351" s="603"/>
      <c r="AN351" s="597"/>
      <c r="AR351" s="570"/>
    </row>
    <row r="352" spans="1:44" s="550" customFormat="1" ht="12.75" customHeight="1">
      <c r="A352" s="603"/>
      <c r="B352" s="611"/>
      <c r="C352" s="2437"/>
      <c r="D352" s="2437"/>
      <c r="E352" s="2437"/>
      <c r="F352" s="2437"/>
      <c r="G352" s="2437"/>
      <c r="H352" s="2437"/>
      <c r="I352" s="2437"/>
      <c r="J352" s="2437"/>
      <c r="K352" s="2437"/>
      <c r="L352" s="2437"/>
      <c r="M352" s="2437"/>
      <c r="N352" s="2437"/>
      <c r="O352" s="2437"/>
      <c r="P352" s="2437"/>
      <c r="Q352" s="2437"/>
      <c r="R352" s="2437"/>
      <c r="S352" s="2437"/>
      <c r="T352" s="2437"/>
      <c r="U352" s="2437"/>
      <c r="V352" s="2437"/>
      <c r="W352" s="2437"/>
      <c r="X352" s="2437"/>
      <c r="Y352" s="2437"/>
      <c r="Z352" s="2437"/>
      <c r="AA352" s="2437"/>
      <c r="AB352" s="2437"/>
      <c r="AC352" s="2437"/>
      <c r="AD352" s="2437"/>
      <c r="AE352" s="2437"/>
      <c r="AF352" s="2437"/>
      <c r="AG352" s="2437"/>
      <c r="AH352" s="2437"/>
      <c r="AI352" s="2437"/>
      <c r="AJ352" s="2437"/>
      <c r="AK352" s="603"/>
      <c r="AL352" s="603"/>
      <c r="AM352" s="603"/>
      <c r="AN352" s="597"/>
      <c r="AR352" s="570"/>
    </row>
    <row r="353" spans="1:46" s="550" customFormat="1" ht="12.75" customHeight="1">
      <c r="A353" s="603"/>
      <c r="B353" s="611"/>
      <c r="C353" s="2437" t="s">
        <v>1456</v>
      </c>
      <c r="D353" s="2437"/>
      <c r="E353" s="2437"/>
      <c r="F353" s="2437"/>
      <c r="G353" s="2437"/>
      <c r="H353" s="2437"/>
      <c r="I353" s="2437"/>
      <c r="J353" s="2437"/>
      <c r="K353" s="2437"/>
      <c r="L353" s="2437"/>
      <c r="M353" s="2437"/>
      <c r="N353" s="2437"/>
      <c r="O353" s="2437"/>
      <c r="P353" s="2437"/>
      <c r="Q353" s="2437"/>
      <c r="R353" s="2437"/>
      <c r="S353" s="2437"/>
      <c r="T353" s="2437"/>
      <c r="U353" s="2437"/>
      <c r="V353" s="2437"/>
      <c r="W353" s="2437"/>
      <c r="X353" s="2437"/>
      <c r="Y353" s="2437"/>
      <c r="Z353" s="2437"/>
      <c r="AA353" s="2437"/>
      <c r="AB353" s="2437"/>
      <c r="AC353" s="2437"/>
      <c r="AD353" s="2437"/>
      <c r="AE353" s="2437"/>
      <c r="AF353" s="2437"/>
      <c r="AG353" s="2437"/>
      <c r="AH353" s="2437"/>
      <c r="AI353" s="2437"/>
      <c r="AJ353" s="2437"/>
      <c r="AK353" s="603"/>
      <c r="AL353" s="603"/>
      <c r="AM353" s="603"/>
      <c r="AN353" s="597"/>
      <c r="AQ353" s="570"/>
      <c r="AR353" s="570"/>
    </row>
    <row r="354" spans="1:46" s="550" customFormat="1" ht="12.75" customHeight="1">
      <c r="A354" s="603"/>
      <c r="B354" s="611"/>
      <c r="C354" s="2437"/>
      <c r="D354" s="2437"/>
      <c r="E354" s="2437"/>
      <c r="F354" s="2437"/>
      <c r="G354" s="2437"/>
      <c r="H354" s="2437"/>
      <c r="I354" s="2437"/>
      <c r="J354" s="2437"/>
      <c r="K354" s="2437"/>
      <c r="L354" s="2437"/>
      <c r="M354" s="2437"/>
      <c r="N354" s="2437"/>
      <c r="O354" s="2437"/>
      <c r="P354" s="2437"/>
      <c r="Q354" s="2437"/>
      <c r="R354" s="2437"/>
      <c r="S354" s="2437"/>
      <c r="T354" s="2437"/>
      <c r="U354" s="2437"/>
      <c r="V354" s="2437"/>
      <c r="W354" s="2437"/>
      <c r="X354" s="2437"/>
      <c r="Y354" s="2437"/>
      <c r="Z354" s="2437"/>
      <c r="AA354" s="2437"/>
      <c r="AB354" s="2437"/>
      <c r="AC354" s="2437"/>
      <c r="AD354" s="2437"/>
      <c r="AE354" s="2437"/>
      <c r="AF354" s="2437"/>
      <c r="AG354" s="2437"/>
      <c r="AH354" s="2437"/>
      <c r="AI354" s="2437"/>
      <c r="AJ354" s="2437"/>
      <c r="AK354" s="603"/>
      <c r="AL354" s="603"/>
      <c r="AM354" s="603"/>
      <c r="AN354" s="597"/>
      <c r="AQ354" s="570"/>
      <c r="AR354" s="570"/>
    </row>
    <row r="355" spans="1:46" s="550" customFormat="1" ht="13.15" customHeight="1">
      <c r="A355" s="603"/>
      <c r="B355" s="611"/>
      <c r="C355" s="2437"/>
      <c r="D355" s="2437"/>
      <c r="E355" s="2437"/>
      <c r="F355" s="2437"/>
      <c r="G355" s="2437"/>
      <c r="H355" s="2437"/>
      <c r="I355" s="2437"/>
      <c r="J355" s="2437"/>
      <c r="K355" s="2437"/>
      <c r="L355" s="2437"/>
      <c r="M355" s="2437"/>
      <c r="N355" s="2437"/>
      <c r="O355" s="2437"/>
      <c r="P355" s="2437"/>
      <c r="Q355" s="2437"/>
      <c r="R355" s="2437"/>
      <c r="S355" s="2437"/>
      <c r="T355" s="2437"/>
      <c r="U355" s="2437"/>
      <c r="V355" s="2437"/>
      <c r="W355" s="2437"/>
      <c r="X355" s="2437"/>
      <c r="Y355" s="2437"/>
      <c r="Z355" s="2437"/>
      <c r="AA355" s="2437"/>
      <c r="AB355" s="2437"/>
      <c r="AC355" s="2437"/>
      <c r="AD355" s="2437"/>
      <c r="AE355" s="2437"/>
      <c r="AF355" s="2437"/>
      <c r="AG355" s="2437"/>
      <c r="AH355" s="2437"/>
      <c r="AI355" s="2437"/>
      <c r="AJ355" s="2437"/>
      <c r="AK355" s="603"/>
      <c r="AL355" s="603"/>
      <c r="AM355" s="603"/>
      <c r="AN355" s="597"/>
      <c r="AQ355" s="570"/>
      <c r="AR355" s="570"/>
    </row>
    <row r="356" spans="1:46" s="550" customFormat="1" ht="12.75" customHeight="1">
      <c r="A356" s="603"/>
      <c r="B356" s="611"/>
      <c r="C356" s="2437"/>
      <c r="D356" s="2437"/>
      <c r="E356" s="2437"/>
      <c r="F356" s="2437"/>
      <c r="G356" s="2437"/>
      <c r="H356" s="2437"/>
      <c r="I356" s="2437"/>
      <c r="J356" s="2437"/>
      <c r="K356" s="2437"/>
      <c r="L356" s="2437"/>
      <c r="M356" s="2437"/>
      <c r="N356" s="2437"/>
      <c r="O356" s="2437"/>
      <c r="P356" s="2437"/>
      <c r="Q356" s="2437"/>
      <c r="R356" s="2437"/>
      <c r="S356" s="2437"/>
      <c r="T356" s="2437"/>
      <c r="U356" s="2437"/>
      <c r="V356" s="2437"/>
      <c r="W356" s="2437"/>
      <c r="X356" s="2437"/>
      <c r="Y356" s="2437"/>
      <c r="Z356" s="2437"/>
      <c r="AA356" s="2437"/>
      <c r="AB356" s="2437"/>
      <c r="AC356" s="2437"/>
      <c r="AD356" s="2437"/>
      <c r="AE356" s="2437"/>
      <c r="AF356" s="2437"/>
      <c r="AG356" s="2437"/>
      <c r="AH356" s="2437"/>
      <c r="AI356" s="2437"/>
      <c r="AJ356" s="2437"/>
      <c r="AK356" s="603"/>
      <c r="AL356" s="603"/>
      <c r="AM356" s="603"/>
      <c r="AN356" s="597"/>
      <c r="AO356" s="694"/>
      <c r="AP356" s="694"/>
      <c r="AQ356" s="570"/>
    </row>
    <row r="357" spans="1:46" s="550" customFormat="1" ht="11.85" customHeight="1">
      <c r="A357" s="603"/>
      <c r="B357" s="611"/>
      <c r="C357" s="2437"/>
      <c r="D357" s="2437"/>
      <c r="E357" s="2437"/>
      <c r="F357" s="2437"/>
      <c r="G357" s="2437"/>
      <c r="H357" s="2437"/>
      <c r="I357" s="2437"/>
      <c r="J357" s="2437"/>
      <c r="K357" s="2437"/>
      <c r="L357" s="2437"/>
      <c r="M357" s="2437"/>
      <c r="N357" s="2437"/>
      <c r="O357" s="2437"/>
      <c r="P357" s="2437"/>
      <c r="Q357" s="2437"/>
      <c r="R357" s="2437"/>
      <c r="S357" s="2437"/>
      <c r="T357" s="2437"/>
      <c r="U357" s="2437"/>
      <c r="V357" s="2437"/>
      <c r="W357" s="2437"/>
      <c r="X357" s="2437"/>
      <c r="Y357" s="2437"/>
      <c r="Z357" s="2437"/>
      <c r="AA357" s="2437"/>
      <c r="AB357" s="2437"/>
      <c r="AC357" s="2437"/>
      <c r="AD357" s="2437"/>
      <c r="AE357" s="2437"/>
      <c r="AF357" s="2437"/>
      <c r="AG357" s="2437"/>
      <c r="AH357" s="2437"/>
      <c r="AI357" s="2437"/>
      <c r="AJ357" s="2437"/>
      <c r="AK357" s="603"/>
      <c r="AL357" s="603"/>
      <c r="AM357" s="603"/>
      <c r="AN357" s="597"/>
      <c r="AO357" s="695" t="s">
        <v>112</v>
      </c>
      <c r="AP357" s="696">
        <f>IF(C381="Yes",5,0)</f>
        <v>0</v>
      </c>
      <c r="AS357" s="539" t="s">
        <v>1457</v>
      </c>
    </row>
    <row r="358" spans="1:46" s="550" customFormat="1" ht="12.75" customHeight="1">
      <c r="A358" s="603"/>
      <c r="B358" s="611"/>
      <c r="C358" s="2437"/>
      <c r="D358" s="2437"/>
      <c r="E358" s="2437"/>
      <c r="F358" s="2437"/>
      <c r="G358" s="2437"/>
      <c r="H358" s="2437"/>
      <c r="I358" s="2437"/>
      <c r="J358" s="2437"/>
      <c r="K358" s="2437"/>
      <c r="L358" s="2437"/>
      <c r="M358" s="2437"/>
      <c r="N358" s="2437"/>
      <c r="O358" s="2437"/>
      <c r="P358" s="2437"/>
      <c r="Q358" s="2437"/>
      <c r="R358" s="2437"/>
      <c r="S358" s="2437"/>
      <c r="T358" s="2437"/>
      <c r="U358" s="2437"/>
      <c r="V358" s="2437"/>
      <c r="W358" s="2437"/>
      <c r="X358" s="2437"/>
      <c r="Y358" s="2437"/>
      <c r="Z358" s="2437"/>
      <c r="AA358" s="2437"/>
      <c r="AB358" s="2437"/>
      <c r="AC358" s="2437"/>
      <c r="AD358" s="2437"/>
      <c r="AE358" s="2437"/>
      <c r="AF358" s="2437"/>
      <c r="AG358" s="2437"/>
      <c r="AH358" s="2437"/>
      <c r="AI358" s="2437"/>
      <c r="AJ358" s="2437"/>
      <c r="AK358" s="603"/>
      <c r="AL358" s="603"/>
      <c r="AM358" s="603"/>
      <c r="AN358" s="597"/>
      <c r="AO358" s="695" t="s">
        <v>113</v>
      </c>
      <c r="AP358" s="696">
        <f>IF(C389="Yes",5,0)</f>
        <v>0</v>
      </c>
      <c r="AS358" s="2403">
        <f>IF(Application!D211="Non-Targeted",(SUM(AQ366+AQ375)),AS362)</f>
        <v>10</v>
      </c>
      <c r="AT358" s="2403"/>
    </row>
    <row r="359" spans="1:46" s="550" customFormat="1" ht="12.75" customHeight="1">
      <c r="A359" s="603"/>
      <c r="B359" s="611"/>
      <c r="C359" s="2437"/>
      <c r="D359" s="2437"/>
      <c r="E359" s="2437"/>
      <c r="F359" s="2437"/>
      <c r="G359" s="2437"/>
      <c r="H359" s="2437"/>
      <c r="I359" s="2437"/>
      <c r="J359" s="2437"/>
      <c r="K359" s="2437"/>
      <c r="L359" s="2437"/>
      <c r="M359" s="2437"/>
      <c r="N359" s="2437"/>
      <c r="O359" s="2437"/>
      <c r="P359" s="2437"/>
      <c r="Q359" s="2437"/>
      <c r="R359" s="2437"/>
      <c r="S359" s="2437"/>
      <c r="T359" s="2437"/>
      <c r="U359" s="2437"/>
      <c r="V359" s="2437"/>
      <c r="W359" s="2437"/>
      <c r="X359" s="2437"/>
      <c r="Y359" s="2437"/>
      <c r="Z359" s="2437"/>
      <c r="AA359" s="2437"/>
      <c r="AB359" s="2437"/>
      <c r="AC359" s="2437"/>
      <c r="AD359" s="2437"/>
      <c r="AE359" s="2437"/>
      <c r="AF359" s="2437"/>
      <c r="AG359" s="2437"/>
      <c r="AH359" s="2437"/>
      <c r="AI359" s="2437"/>
      <c r="AJ359" s="2437"/>
      <c r="AK359" s="603"/>
      <c r="AL359" s="603"/>
      <c r="AM359" s="603"/>
      <c r="AN359" s="597"/>
      <c r="AO359" s="695" t="s">
        <v>119</v>
      </c>
      <c r="AP359" s="696">
        <f>IF(C397="Yes",7,0)</f>
        <v>7</v>
      </c>
      <c r="AS359" s="539" t="s">
        <v>1458</v>
      </c>
    </row>
    <row r="360" spans="1:46" s="550" customFormat="1" ht="12.75" customHeight="1">
      <c r="A360" s="603"/>
      <c r="B360" s="611"/>
      <c r="C360" s="2437"/>
      <c r="D360" s="2437"/>
      <c r="E360" s="2437"/>
      <c r="F360" s="2437"/>
      <c r="G360" s="2437"/>
      <c r="H360" s="2437"/>
      <c r="I360" s="2437"/>
      <c r="J360" s="2437"/>
      <c r="K360" s="2437"/>
      <c r="L360" s="2437"/>
      <c r="M360" s="2437"/>
      <c r="N360" s="2437"/>
      <c r="O360" s="2437"/>
      <c r="P360" s="2437"/>
      <c r="Q360" s="2437"/>
      <c r="R360" s="2437"/>
      <c r="S360" s="2437"/>
      <c r="T360" s="2437"/>
      <c r="U360" s="2437"/>
      <c r="V360" s="2437"/>
      <c r="W360" s="2437"/>
      <c r="X360" s="2437"/>
      <c r="Y360" s="2437"/>
      <c r="Z360" s="2437"/>
      <c r="AA360" s="2437"/>
      <c r="AB360" s="2437"/>
      <c r="AC360" s="2437"/>
      <c r="AD360" s="2437"/>
      <c r="AE360" s="2437"/>
      <c r="AF360" s="2437"/>
      <c r="AG360" s="2437"/>
      <c r="AH360" s="2437"/>
      <c r="AI360" s="2437"/>
      <c r="AJ360" s="2437"/>
      <c r="AK360" s="603"/>
      <c r="AL360" s="603"/>
      <c r="AM360" s="603"/>
      <c r="AN360" s="597"/>
      <c r="AO360" s="597"/>
      <c r="AP360" s="696">
        <f>IF(C399="Yes",5,0)</f>
        <v>0</v>
      </c>
      <c r="AS360" s="2403">
        <f>IF(AND(AQ366&gt;0,AQ375&gt;0),(AQ366+AQ375)/2,0)</f>
        <v>0</v>
      </c>
      <c r="AT360" s="2403"/>
    </row>
    <row r="361" spans="1:46" s="550" customFormat="1" ht="12.75" customHeight="1">
      <c r="A361" s="603"/>
      <c r="B361" s="611"/>
      <c r="C361" s="2437"/>
      <c r="D361" s="2437"/>
      <c r="E361" s="2437"/>
      <c r="F361" s="2437"/>
      <c r="G361" s="2437"/>
      <c r="H361" s="2437"/>
      <c r="I361" s="2437"/>
      <c r="J361" s="2437"/>
      <c r="K361" s="2437"/>
      <c r="L361" s="2437"/>
      <c r="M361" s="2437"/>
      <c r="N361" s="2437"/>
      <c r="O361" s="2437"/>
      <c r="P361" s="2437"/>
      <c r="Q361" s="2437"/>
      <c r="R361" s="2437"/>
      <c r="S361" s="2437"/>
      <c r="T361" s="2437"/>
      <c r="U361" s="2437"/>
      <c r="V361" s="2437"/>
      <c r="W361" s="2437"/>
      <c r="X361" s="2437"/>
      <c r="Y361" s="2437"/>
      <c r="Z361" s="2437"/>
      <c r="AA361" s="2437"/>
      <c r="AB361" s="2437"/>
      <c r="AC361" s="2437"/>
      <c r="AD361" s="2437"/>
      <c r="AE361" s="2437"/>
      <c r="AF361" s="2437"/>
      <c r="AG361" s="2437"/>
      <c r="AH361" s="2437"/>
      <c r="AI361" s="2437"/>
      <c r="AJ361" s="2437"/>
      <c r="AK361" s="603"/>
      <c r="AL361" s="603"/>
      <c r="AM361" s="603"/>
      <c r="AN361" s="597"/>
      <c r="AO361" s="695" t="s">
        <v>582</v>
      </c>
      <c r="AP361" s="696">
        <f>IF(C407="Yes",5,0)</f>
        <v>0</v>
      </c>
      <c r="AS361" s="539" t="s">
        <v>1879</v>
      </c>
    </row>
    <row r="362" spans="1:46" s="550" customFormat="1" ht="12.75" customHeight="1">
      <c r="A362" s="603"/>
      <c r="B362" s="611"/>
      <c r="C362" s="2531" t="s">
        <v>2232</v>
      </c>
      <c r="D362" s="2531"/>
      <c r="E362" s="2531"/>
      <c r="F362" s="2531"/>
      <c r="G362" s="2531"/>
      <c r="H362" s="2531"/>
      <c r="I362" s="2531"/>
      <c r="J362" s="2531"/>
      <c r="K362" s="2531"/>
      <c r="L362" s="2531"/>
      <c r="M362" s="2531"/>
      <c r="N362" s="2531"/>
      <c r="O362" s="2531"/>
      <c r="P362" s="2531"/>
      <c r="Q362" s="2531"/>
      <c r="R362" s="2531"/>
      <c r="S362" s="2531"/>
      <c r="T362" s="2531"/>
      <c r="U362" s="2531"/>
      <c r="V362" s="2531"/>
      <c r="W362" s="2531"/>
      <c r="X362" s="2531"/>
      <c r="Y362" s="2531"/>
      <c r="Z362" s="2531"/>
      <c r="AA362" s="2531"/>
      <c r="AB362" s="2531"/>
      <c r="AC362" s="2531"/>
      <c r="AD362" s="2531"/>
      <c r="AE362" s="2531"/>
      <c r="AF362" s="2531"/>
      <c r="AG362" s="2531"/>
      <c r="AH362" s="2531"/>
      <c r="AI362" s="2531"/>
      <c r="AJ362" s="2531"/>
      <c r="AK362" s="603"/>
      <c r="AL362" s="603"/>
      <c r="AM362" s="603"/>
      <c r="AN362" s="597"/>
      <c r="AO362" s="597"/>
      <c r="AP362" s="696">
        <f>IF(C409="Yes",3,0)</f>
        <v>3</v>
      </c>
      <c r="AS362" s="2403">
        <f>IF(AQ366=0,AQ375,AQ366)</f>
        <v>10</v>
      </c>
      <c r="AT362" s="2403"/>
    </row>
    <row r="363" spans="1:46" s="550" customFormat="1" ht="12.75" customHeight="1">
      <c r="A363" s="603"/>
      <c r="B363" s="611"/>
      <c r="C363" s="2531"/>
      <c r="D363" s="2531"/>
      <c r="E363" s="2531"/>
      <c r="F363" s="2531"/>
      <c r="G363" s="2531"/>
      <c r="H363" s="2531"/>
      <c r="I363" s="2531"/>
      <c r="J363" s="2531"/>
      <c r="K363" s="2531"/>
      <c r="L363" s="2531"/>
      <c r="M363" s="2531"/>
      <c r="N363" s="2531"/>
      <c r="O363" s="2531"/>
      <c r="P363" s="2531"/>
      <c r="Q363" s="2531"/>
      <c r="R363" s="2531"/>
      <c r="S363" s="2531"/>
      <c r="T363" s="2531"/>
      <c r="U363" s="2531"/>
      <c r="V363" s="2531"/>
      <c r="W363" s="2531"/>
      <c r="X363" s="2531"/>
      <c r="Y363" s="2531"/>
      <c r="Z363" s="2531"/>
      <c r="AA363" s="2531"/>
      <c r="AB363" s="2531"/>
      <c r="AC363" s="2531"/>
      <c r="AD363" s="2531"/>
      <c r="AE363" s="2531"/>
      <c r="AF363" s="2531"/>
      <c r="AG363" s="2531"/>
      <c r="AH363" s="2531"/>
      <c r="AI363" s="2531"/>
      <c r="AJ363" s="2531"/>
      <c r="AK363" s="603"/>
      <c r="AL363" s="603"/>
      <c r="AM363" s="603"/>
      <c r="AN363" s="597"/>
      <c r="AO363" s="695" t="s">
        <v>764</v>
      </c>
      <c r="AP363" s="696">
        <f>IF(C412="Yes",5,0)</f>
        <v>0</v>
      </c>
    </row>
    <row r="364" spans="1:46" s="550" customFormat="1" ht="12.75" customHeight="1">
      <c r="A364" s="603"/>
      <c r="B364" s="611"/>
      <c r="C364" s="2531"/>
      <c r="D364" s="2531"/>
      <c r="E364" s="2531"/>
      <c r="F364" s="2531"/>
      <c r="G364" s="2531"/>
      <c r="H364" s="2531"/>
      <c r="I364" s="2531"/>
      <c r="J364" s="2531"/>
      <c r="K364" s="2531"/>
      <c r="L364" s="2531"/>
      <c r="M364" s="2531"/>
      <c r="N364" s="2531"/>
      <c r="O364" s="2531"/>
      <c r="P364" s="2531"/>
      <c r="Q364" s="2531"/>
      <c r="R364" s="2531"/>
      <c r="S364" s="2531"/>
      <c r="T364" s="2531"/>
      <c r="U364" s="2531"/>
      <c r="V364" s="2531"/>
      <c r="W364" s="2531"/>
      <c r="X364" s="2531"/>
      <c r="Y364" s="2531"/>
      <c r="Z364" s="2531"/>
      <c r="AA364" s="2531"/>
      <c r="AB364" s="2531"/>
      <c r="AC364" s="2531"/>
      <c r="AD364" s="2531"/>
      <c r="AE364" s="2531"/>
      <c r="AF364" s="2531"/>
      <c r="AG364" s="2531"/>
      <c r="AH364" s="2531"/>
      <c r="AI364" s="2531"/>
      <c r="AJ364" s="2531"/>
      <c r="AK364" s="603"/>
      <c r="AL364" s="603"/>
      <c r="AM364" s="603"/>
      <c r="AN364" s="597"/>
      <c r="AO364" s="695" t="s">
        <v>585</v>
      </c>
      <c r="AP364" s="696">
        <f>IF(C421="Yes",5,0)</f>
        <v>0</v>
      </c>
    </row>
    <row r="365" spans="1:46" s="550" customFormat="1" ht="11.85" customHeight="1">
      <c r="A365" s="603"/>
      <c r="B365" s="611"/>
      <c r="C365" s="2531"/>
      <c r="D365" s="2531"/>
      <c r="E365" s="2531"/>
      <c r="F365" s="2531"/>
      <c r="G365" s="2531"/>
      <c r="H365" s="2531"/>
      <c r="I365" s="2531"/>
      <c r="J365" s="2531"/>
      <c r="K365" s="2531"/>
      <c r="L365" s="2531"/>
      <c r="M365" s="2531"/>
      <c r="N365" s="2531"/>
      <c r="O365" s="2531"/>
      <c r="P365" s="2531"/>
      <c r="Q365" s="2531"/>
      <c r="R365" s="2531"/>
      <c r="S365" s="2531"/>
      <c r="T365" s="2531"/>
      <c r="U365" s="2531"/>
      <c r="V365" s="2531"/>
      <c r="W365" s="2531"/>
      <c r="X365" s="2531"/>
      <c r="Y365" s="2531"/>
      <c r="Z365" s="2531"/>
      <c r="AA365" s="2531"/>
      <c r="AB365" s="2531"/>
      <c r="AC365" s="2531"/>
      <c r="AD365" s="2531"/>
      <c r="AE365" s="2531"/>
      <c r="AF365" s="2531"/>
      <c r="AG365" s="2531"/>
      <c r="AH365" s="2531"/>
      <c r="AI365" s="2531"/>
      <c r="AJ365" s="2531"/>
      <c r="AK365" s="603"/>
      <c r="AL365" s="603"/>
      <c r="AM365" s="603"/>
      <c r="AN365" s="597"/>
      <c r="AO365" s="697"/>
      <c r="AP365" s="698">
        <f>IF(C423="Yes",3,0)</f>
        <v>0</v>
      </c>
    </row>
    <row r="366" spans="1:46" s="550" customFormat="1" ht="12.4" customHeight="1">
      <c r="A366" s="603"/>
      <c r="B366" s="611"/>
      <c r="C366" s="2531"/>
      <c r="D366" s="2531"/>
      <c r="E366" s="2531"/>
      <c r="F366" s="2531"/>
      <c r="G366" s="2531"/>
      <c r="H366" s="2531"/>
      <c r="I366" s="2531"/>
      <c r="J366" s="2531"/>
      <c r="K366" s="2531"/>
      <c r="L366" s="2531"/>
      <c r="M366" s="2531"/>
      <c r="N366" s="2531"/>
      <c r="O366" s="2531"/>
      <c r="P366" s="2531"/>
      <c r="Q366" s="2531"/>
      <c r="R366" s="2531"/>
      <c r="S366" s="2531"/>
      <c r="T366" s="2531"/>
      <c r="U366" s="2531"/>
      <c r="V366" s="2531"/>
      <c r="W366" s="2531"/>
      <c r="X366" s="2531"/>
      <c r="Y366" s="2531"/>
      <c r="Z366" s="2531"/>
      <c r="AA366" s="2531"/>
      <c r="AB366" s="2531"/>
      <c r="AC366" s="2531"/>
      <c r="AD366" s="2531"/>
      <c r="AE366" s="2531"/>
      <c r="AF366" s="2531"/>
      <c r="AG366" s="2531"/>
      <c r="AH366" s="2531"/>
      <c r="AI366" s="2531"/>
      <c r="AJ366" s="2531"/>
      <c r="AK366" s="603"/>
      <c r="AL366" s="603"/>
      <c r="AM366" s="603"/>
      <c r="AN366" s="597"/>
      <c r="AO366" s="699" t="s">
        <v>227</v>
      </c>
      <c r="AP366" s="700">
        <f>SUM(AP357:AP365)</f>
        <v>10</v>
      </c>
      <c r="AQ366" s="2440">
        <f>IF(AP366&gt;0,AP366,0)</f>
        <v>10</v>
      </c>
      <c r="AR366" s="2440"/>
    </row>
    <row r="367" spans="1:46" s="550" customFormat="1" ht="12.75" customHeight="1">
      <c r="A367" s="603"/>
      <c r="B367" s="611"/>
      <c r="C367" s="2531"/>
      <c r="D367" s="2531"/>
      <c r="E367" s="2531"/>
      <c r="F367" s="2531"/>
      <c r="G367" s="2531"/>
      <c r="H367" s="2531"/>
      <c r="I367" s="2531"/>
      <c r="J367" s="2531"/>
      <c r="K367" s="2531"/>
      <c r="L367" s="2531"/>
      <c r="M367" s="2531"/>
      <c r="N367" s="2531"/>
      <c r="O367" s="2531"/>
      <c r="P367" s="2531"/>
      <c r="Q367" s="2531"/>
      <c r="R367" s="2531"/>
      <c r="S367" s="2531"/>
      <c r="T367" s="2531"/>
      <c r="U367" s="2531"/>
      <c r="V367" s="2531"/>
      <c r="W367" s="2531"/>
      <c r="X367" s="2531"/>
      <c r="Y367" s="2531"/>
      <c r="Z367" s="2531"/>
      <c r="AA367" s="2531"/>
      <c r="AB367" s="2531"/>
      <c r="AC367" s="2531"/>
      <c r="AD367" s="2531"/>
      <c r="AE367" s="2531"/>
      <c r="AF367" s="2531"/>
      <c r="AG367" s="2531"/>
      <c r="AH367" s="2531"/>
      <c r="AI367" s="2531"/>
      <c r="AJ367" s="253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7" t="s">
        <v>1459</v>
      </c>
      <c r="D369" s="2437"/>
      <c r="E369" s="2437"/>
      <c r="F369" s="2437"/>
      <c r="G369" s="2437"/>
      <c r="H369" s="2437"/>
      <c r="I369" s="2437"/>
      <c r="J369" s="2437"/>
      <c r="K369" s="2437"/>
      <c r="L369" s="2437"/>
      <c r="M369" s="2437"/>
      <c r="N369" s="2437"/>
      <c r="O369" s="2437"/>
      <c r="P369" s="2437"/>
      <c r="Q369" s="2437"/>
      <c r="R369" s="2437"/>
      <c r="S369" s="2437"/>
      <c r="T369" s="2437"/>
      <c r="U369" s="2437"/>
      <c r="V369" s="2437"/>
      <c r="W369" s="2437"/>
      <c r="X369" s="2437"/>
      <c r="Y369" s="2437"/>
      <c r="Z369" s="2437"/>
      <c r="AA369" s="2437"/>
      <c r="AB369" s="2437"/>
      <c r="AC369" s="2437"/>
      <c r="AD369" s="2437"/>
      <c r="AE369" s="2437"/>
      <c r="AF369" s="2437"/>
      <c r="AG369" s="2437"/>
      <c r="AH369" s="2437"/>
      <c r="AI369" s="2437"/>
      <c r="AJ369" s="2437"/>
      <c r="AK369" s="603"/>
      <c r="AL369" s="603"/>
      <c r="AM369" s="603"/>
      <c r="AN369" s="597"/>
      <c r="AO369" s="695" t="s">
        <v>457</v>
      </c>
      <c r="AP369" s="696">
        <f>IF(C442="Yes",5,0)</f>
        <v>0</v>
      </c>
    </row>
    <row r="370" spans="1:81" s="550" customFormat="1" ht="12.75" customHeight="1">
      <c r="A370" s="603"/>
      <c r="B370" s="611"/>
      <c r="C370" s="2437"/>
      <c r="D370" s="2437"/>
      <c r="E370" s="2437"/>
      <c r="F370" s="2437"/>
      <c r="G370" s="2437"/>
      <c r="H370" s="2437"/>
      <c r="I370" s="2437"/>
      <c r="J370" s="2437"/>
      <c r="K370" s="2437"/>
      <c r="L370" s="2437"/>
      <c r="M370" s="2437"/>
      <c r="N370" s="2437"/>
      <c r="O370" s="2437"/>
      <c r="P370" s="2437"/>
      <c r="Q370" s="2437"/>
      <c r="R370" s="2437"/>
      <c r="S370" s="2437"/>
      <c r="T370" s="2437"/>
      <c r="U370" s="2437"/>
      <c r="V370" s="2437"/>
      <c r="W370" s="2437"/>
      <c r="X370" s="2437"/>
      <c r="Y370" s="2437"/>
      <c r="Z370" s="2437"/>
      <c r="AA370" s="2437"/>
      <c r="AB370" s="2437"/>
      <c r="AC370" s="2437"/>
      <c r="AD370" s="2437"/>
      <c r="AE370" s="2437"/>
      <c r="AF370" s="2437"/>
      <c r="AG370" s="2437"/>
      <c r="AH370" s="2437"/>
      <c r="AI370" s="2437"/>
      <c r="AJ370" s="2437"/>
      <c r="AK370" s="603"/>
      <c r="AL370" s="603"/>
      <c r="AM370" s="603"/>
      <c r="AN370" s="597"/>
      <c r="AO370" s="695" t="s">
        <v>462</v>
      </c>
      <c r="AP370" s="696">
        <f>IF(C449="Yes",5,0)</f>
        <v>0</v>
      </c>
    </row>
    <row r="371" spans="1:81" s="550" customFormat="1" ht="68.099999999999994" customHeight="1">
      <c r="A371" s="603"/>
      <c r="B371" s="611"/>
      <c r="C371" s="2437"/>
      <c r="D371" s="2437"/>
      <c r="E371" s="2437"/>
      <c r="F371" s="2437"/>
      <c r="G371" s="2437"/>
      <c r="H371" s="2437"/>
      <c r="I371" s="2437"/>
      <c r="J371" s="2437"/>
      <c r="K371" s="2437"/>
      <c r="L371" s="2437"/>
      <c r="M371" s="2437"/>
      <c r="N371" s="2437"/>
      <c r="O371" s="2437"/>
      <c r="P371" s="2437"/>
      <c r="Q371" s="2437"/>
      <c r="R371" s="2437"/>
      <c r="S371" s="2437"/>
      <c r="T371" s="2437"/>
      <c r="U371" s="2437"/>
      <c r="V371" s="2437"/>
      <c r="W371" s="2437"/>
      <c r="X371" s="2437"/>
      <c r="Y371" s="2437"/>
      <c r="Z371" s="2437"/>
      <c r="AA371" s="2437"/>
      <c r="AB371" s="2437"/>
      <c r="AC371" s="2437"/>
      <c r="AD371" s="2437"/>
      <c r="AE371" s="2437"/>
      <c r="AF371" s="2437"/>
      <c r="AG371" s="2437"/>
      <c r="AH371" s="2437"/>
      <c r="AI371" s="2437"/>
      <c r="AJ371" s="2437"/>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8">
        <f>Application!DU802-U374</f>
        <v>315</v>
      </c>
      <c r="V373" s="2438"/>
      <c r="W373" s="2438"/>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9">
        <f>IF(Application!D211="SRO",Application!DU755,Application!AG756)</f>
        <v>0</v>
      </c>
      <c r="V374" s="2439"/>
      <c r="W374" s="243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0">
        <f>IF(AP375&gt;0,AP375,0)</f>
        <v>0</v>
      </c>
      <c r="AR375" s="2440"/>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1" t="s">
        <v>1461</v>
      </c>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2"/>
      <c r="G378" s="2432"/>
      <c r="H378" s="2432"/>
      <c r="I378" s="2432"/>
      <c r="J378" s="2432"/>
      <c r="K378" s="2432"/>
      <c r="L378" s="2432"/>
      <c r="M378" s="2432"/>
      <c r="N378" s="2432"/>
      <c r="O378" s="2432"/>
      <c r="P378" s="2432"/>
      <c r="Q378" s="2432"/>
      <c r="R378" s="2432"/>
      <c r="S378" s="2432"/>
      <c r="T378" s="2432"/>
      <c r="U378" s="2432"/>
      <c r="V378" s="2432"/>
      <c r="W378" s="2432"/>
      <c r="X378" s="2432"/>
      <c r="Y378" s="2432"/>
      <c r="Z378" s="2432"/>
      <c r="AA378" s="2432"/>
      <c r="AB378" s="2432"/>
      <c r="AC378" s="2432"/>
      <c r="AD378" s="2432"/>
      <c r="AE378" s="2432"/>
      <c r="AF378" s="243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2"/>
      <c r="G379" s="2432"/>
      <c r="H379" s="2432"/>
      <c r="I379" s="2432"/>
      <c r="J379" s="2432"/>
      <c r="K379" s="2432"/>
      <c r="L379" s="2432"/>
      <c r="M379" s="2432"/>
      <c r="N379" s="2432"/>
      <c r="O379" s="2432"/>
      <c r="P379" s="2432"/>
      <c r="Q379" s="2432"/>
      <c r="R379" s="2432"/>
      <c r="S379" s="2432"/>
      <c r="T379" s="2432"/>
      <c r="U379" s="2432"/>
      <c r="V379" s="2432"/>
      <c r="W379" s="2432"/>
      <c r="X379" s="2432"/>
      <c r="Y379" s="2432"/>
      <c r="Z379" s="2432"/>
      <c r="AA379" s="2432"/>
      <c r="AB379" s="2432"/>
      <c r="AC379" s="2432"/>
      <c r="AD379" s="2432"/>
      <c r="AE379" s="2432"/>
      <c r="AF379" s="243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2"/>
      <c r="G380" s="2432"/>
      <c r="H380" s="2432"/>
      <c r="I380" s="2432"/>
      <c r="J380" s="2432"/>
      <c r="K380" s="2432"/>
      <c r="L380" s="2432"/>
      <c r="M380" s="2432"/>
      <c r="N380" s="2432"/>
      <c r="O380" s="2432"/>
      <c r="P380" s="2432"/>
      <c r="Q380" s="2432"/>
      <c r="R380" s="2432"/>
      <c r="S380" s="2432"/>
      <c r="T380" s="2432"/>
      <c r="U380" s="2432"/>
      <c r="V380" s="2432"/>
      <c r="W380" s="2432"/>
      <c r="X380" s="2432"/>
      <c r="Y380" s="2432"/>
      <c r="Z380" s="2432"/>
      <c r="AA380" s="2432"/>
      <c r="AB380" s="2432"/>
      <c r="AC380" s="2432"/>
      <c r="AD380" s="2432"/>
      <c r="AE380" s="2432"/>
      <c r="AF380" s="243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1" t="s">
        <v>592</v>
      </c>
      <c r="D381" s="2442"/>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3" t="s">
        <v>1463</v>
      </c>
      <c r="AG381" s="2443"/>
      <c r="AH381" s="2443"/>
      <c r="AI381" s="2443"/>
      <c r="AJ381" s="2443"/>
      <c r="AK381" s="2443"/>
      <c r="AL381" s="244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1" t="s">
        <v>1464</v>
      </c>
      <c r="G384" s="2431"/>
      <c r="H384" s="2431"/>
      <c r="I384" s="2431"/>
      <c r="J384" s="2431"/>
      <c r="K384" s="2431"/>
      <c r="L384" s="2431"/>
      <c r="M384" s="2431"/>
      <c r="N384" s="2431"/>
      <c r="O384" s="2431"/>
      <c r="P384" s="2431"/>
      <c r="Q384" s="2431"/>
      <c r="R384" s="2431"/>
      <c r="S384" s="2431"/>
      <c r="T384" s="2431"/>
      <c r="U384" s="2431"/>
      <c r="V384" s="2431"/>
      <c r="W384" s="2431"/>
      <c r="X384" s="2431"/>
      <c r="Y384" s="2431"/>
      <c r="Z384" s="2431"/>
      <c r="AA384" s="2431"/>
      <c r="AB384" s="2431"/>
      <c r="AC384" s="2431"/>
      <c r="AD384" s="2431"/>
      <c r="AE384" s="2431"/>
      <c r="AF384" s="243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2"/>
      <c r="G385" s="2432"/>
      <c r="H385" s="2432"/>
      <c r="I385" s="2432"/>
      <c r="J385" s="2432"/>
      <c r="K385" s="2432"/>
      <c r="L385" s="2432"/>
      <c r="M385" s="2432"/>
      <c r="N385" s="2432"/>
      <c r="O385" s="2432"/>
      <c r="P385" s="2432"/>
      <c r="Q385" s="2432"/>
      <c r="R385" s="2432"/>
      <c r="S385" s="2432"/>
      <c r="T385" s="2432"/>
      <c r="U385" s="2432"/>
      <c r="V385" s="2432"/>
      <c r="W385" s="2432"/>
      <c r="X385" s="2432"/>
      <c r="Y385" s="2432"/>
      <c r="Z385" s="2432"/>
      <c r="AA385" s="2432"/>
      <c r="AB385" s="2432"/>
      <c r="AC385" s="2432"/>
      <c r="AD385" s="2432"/>
      <c r="AE385" s="2432"/>
      <c r="AF385" s="243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2"/>
      <c r="G386" s="2432"/>
      <c r="H386" s="2432"/>
      <c r="I386" s="2432"/>
      <c r="J386" s="2432"/>
      <c r="K386" s="2432"/>
      <c r="L386" s="2432"/>
      <c r="M386" s="2432"/>
      <c r="N386" s="2432"/>
      <c r="O386" s="2432"/>
      <c r="P386" s="2432"/>
      <c r="Q386" s="2432"/>
      <c r="R386" s="2432"/>
      <c r="S386" s="2432"/>
      <c r="T386" s="2432"/>
      <c r="U386" s="2432"/>
      <c r="V386" s="2432"/>
      <c r="W386" s="2432"/>
      <c r="X386" s="2432"/>
      <c r="Y386" s="2432"/>
      <c r="Z386" s="2432"/>
      <c r="AA386" s="2432"/>
      <c r="AB386" s="2432"/>
      <c r="AC386" s="2432"/>
      <c r="AD386" s="2432"/>
      <c r="AE386" s="2432"/>
      <c r="AF386" s="243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2"/>
      <c r="G387" s="2432"/>
      <c r="H387" s="2432"/>
      <c r="I387" s="2432"/>
      <c r="J387" s="2432"/>
      <c r="K387" s="2432"/>
      <c r="L387" s="2432"/>
      <c r="M387" s="2432"/>
      <c r="N387" s="2432"/>
      <c r="O387" s="2432"/>
      <c r="P387" s="2432"/>
      <c r="Q387" s="2432"/>
      <c r="R387" s="2432"/>
      <c r="S387" s="2432"/>
      <c r="T387" s="2432"/>
      <c r="U387" s="2432"/>
      <c r="V387" s="2432"/>
      <c r="W387" s="2432"/>
      <c r="X387" s="2432"/>
      <c r="Y387" s="2432"/>
      <c r="Z387" s="2432"/>
      <c r="AA387" s="2432"/>
      <c r="AB387" s="2432"/>
      <c r="AC387" s="2432"/>
      <c r="AD387" s="2432"/>
      <c r="AE387" s="2432"/>
      <c r="AF387" s="243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2"/>
      <c r="G388" s="2432"/>
      <c r="H388" s="2432"/>
      <c r="I388" s="2432"/>
      <c r="J388" s="2432"/>
      <c r="K388" s="2432"/>
      <c r="L388" s="2432"/>
      <c r="M388" s="2432"/>
      <c r="N388" s="2432"/>
      <c r="O388" s="2432"/>
      <c r="P388" s="2432"/>
      <c r="Q388" s="2432"/>
      <c r="R388" s="2432"/>
      <c r="S388" s="2432"/>
      <c r="T388" s="2432"/>
      <c r="U388" s="2432"/>
      <c r="V388" s="2432"/>
      <c r="W388" s="2432"/>
      <c r="X388" s="2432"/>
      <c r="Y388" s="2432"/>
      <c r="Z388" s="2432"/>
      <c r="AA388" s="2432"/>
      <c r="AB388" s="2432"/>
      <c r="AC388" s="2432"/>
      <c r="AD388" s="2432"/>
      <c r="AE388" s="2432"/>
      <c r="AF388" s="2432"/>
      <c r="AL388" s="732"/>
      <c r="AN388" s="597"/>
      <c r="BS388" s="30"/>
      <c r="BT388" s="30"/>
      <c r="BU388" s="14"/>
      <c r="BV388" s="14"/>
      <c r="BW388" s="14"/>
      <c r="BX388" s="14"/>
      <c r="BY388" s="14"/>
      <c r="BZ388" s="14"/>
      <c r="CA388" s="14"/>
      <c r="CB388" s="14"/>
      <c r="CC388" s="14"/>
    </row>
    <row r="389" spans="1:81" s="550" customFormat="1" ht="12.75" customHeight="1">
      <c r="A389" s="536"/>
      <c r="B389" s="14"/>
      <c r="C389" s="2441" t="s">
        <v>592</v>
      </c>
      <c r="D389" s="2442"/>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3" t="s">
        <v>1463</v>
      </c>
      <c r="AG389" s="2443"/>
      <c r="AH389" s="2443"/>
      <c r="AI389" s="2443"/>
      <c r="AJ389" s="2443"/>
      <c r="AK389" s="2443"/>
      <c r="AL389" s="244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1" t="s">
        <v>1466</v>
      </c>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2"/>
      <c r="G393" s="2432"/>
      <c r="H393" s="2432"/>
      <c r="I393" s="2432"/>
      <c r="J393" s="2432"/>
      <c r="K393" s="2432"/>
      <c r="L393" s="2432"/>
      <c r="M393" s="2432"/>
      <c r="N393" s="2432"/>
      <c r="O393" s="2432"/>
      <c r="P393" s="2432"/>
      <c r="Q393" s="2432"/>
      <c r="R393" s="2432"/>
      <c r="S393" s="2432"/>
      <c r="T393" s="2432"/>
      <c r="U393" s="2432"/>
      <c r="V393" s="2432"/>
      <c r="W393" s="2432"/>
      <c r="X393" s="2432"/>
      <c r="Y393" s="2432"/>
      <c r="Z393" s="2432"/>
      <c r="AA393" s="2432"/>
      <c r="AB393" s="2432"/>
      <c r="AC393" s="2432"/>
      <c r="AD393" s="2432"/>
      <c r="AE393" s="2432"/>
      <c r="AF393" s="243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2"/>
      <c r="G394" s="2432"/>
      <c r="H394" s="2432"/>
      <c r="I394" s="2432"/>
      <c r="J394" s="2432"/>
      <c r="K394" s="2432"/>
      <c r="L394" s="2432"/>
      <c r="M394" s="2432"/>
      <c r="N394" s="2432"/>
      <c r="O394" s="2432"/>
      <c r="P394" s="2432"/>
      <c r="Q394" s="2432"/>
      <c r="R394" s="2432"/>
      <c r="S394" s="2432"/>
      <c r="T394" s="2432"/>
      <c r="U394" s="2432"/>
      <c r="V394" s="2432"/>
      <c r="W394" s="2432"/>
      <c r="X394" s="2432"/>
      <c r="Y394" s="2432"/>
      <c r="Z394" s="2432"/>
      <c r="AA394" s="2432"/>
      <c r="AB394" s="2432"/>
      <c r="AC394" s="2432"/>
      <c r="AD394" s="2432"/>
      <c r="AE394" s="2432"/>
      <c r="AF394" s="243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2"/>
      <c r="G395" s="2432"/>
      <c r="H395" s="2432"/>
      <c r="I395" s="2432"/>
      <c r="J395" s="2432"/>
      <c r="K395" s="2432"/>
      <c r="L395" s="2432"/>
      <c r="M395" s="2432"/>
      <c r="N395" s="2432"/>
      <c r="O395" s="2432"/>
      <c r="P395" s="2432"/>
      <c r="Q395" s="2432"/>
      <c r="R395" s="2432"/>
      <c r="S395" s="2432"/>
      <c r="T395" s="2432"/>
      <c r="U395" s="2432"/>
      <c r="V395" s="2432"/>
      <c r="W395" s="2432"/>
      <c r="X395" s="2432"/>
      <c r="Y395" s="2432"/>
      <c r="Z395" s="2432"/>
      <c r="AA395" s="2432"/>
      <c r="AB395" s="2432"/>
      <c r="AC395" s="2432"/>
      <c r="AD395" s="2432"/>
      <c r="AE395" s="2432"/>
      <c r="AF395" s="243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2"/>
      <c r="G396" s="2432"/>
      <c r="H396" s="2432"/>
      <c r="I396" s="2432"/>
      <c r="J396" s="2432"/>
      <c r="K396" s="2432"/>
      <c r="L396" s="2432"/>
      <c r="M396" s="2432"/>
      <c r="N396" s="2432"/>
      <c r="O396" s="2432"/>
      <c r="P396" s="2432"/>
      <c r="Q396" s="2432"/>
      <c r="R396" s="2432"/>
      <c r="S396" s="2432"/>
      <c r="T396" s="2432"/>
      <c r="U396" s="2432"/>
      <c r="V396" s="2432"/>
      <c r="W396" s="2432"/>
      <c r="X396" s="2432"/>
      <c r="Y396" s="2432"/>
      <c r="Z396" s="2432"/>
      <c r="AA396" s="2432"/>
      <c r="AB396" s="2432"/>
      <c r="AC396" s="2432"/>
      <c r="AD396" s="2432"/>
      <c r="AE396" s="2432"/>
      <c r="AF396" s="243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1" t="s">
        <v>546</v>
      </c>
      <c r="D397" s="2442"/>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3" t="s">
        <v>1468</v>
      </c>
      <c r="AG397" s="2443"/>
      <c r="AH397" s="2443"/>
      <c r="AI397" s="2443"/>
      <c r="AJ397" s="2443"/>
      <c r="AK397" s="2443"/>
      <c r="AL397" s="244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1" t="s">
        <v>592</v>
      </c>
      <c r="D399" s="2442"/>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3" t="s">
        <v>1463</v>
      </c>
      <c r="AG399" s="2443"/>
      <c r="AH399" s="2443"/>
      <c r="AI399" s="2443"/>
      <c r="AJ399" s="2443"/>
      <c r="AK399" s="2443"/>
      <c r="AL399" s="244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1" t="s">
        <v>1472</v>
      </c>
      <c r="G403" s="2431"/>
      <c r="H403" s="2431"/>
      <c r="I403" s="2431"/>
      <c r="J403" s="2431"/>
      <c r="K403" s="2431"/>
      <c r="L403" s="2431"/>
      <c r="M403" s="2431"/>
      <c r="N403" s="2431"/>
      <c r="O403" s="2431"/>
      <c r="P403" s="2431"/>
      <c r="Q403" s="2431"/>
      <c r="R403" s="2431"/>
      <c r="S403" s="2431"/>
      <c r="T403" s="2431"/>
      <c r="U403" s="2431"/>
      <c r="V403" s="2431"/>
      <c r="W403" s="2431"/>
      <c r="X403" s="2431"/>
      <c r="Y403" s="2431"/>
      <c r="Z403" s="2431"/>
      <c r="AA403" s="2431"/>
      <c r="AB403" s="2431"/>
      <c r="AC403" s="2431"/>
      <c r="AD403" s="2431"/>
      <c r="AE403" s="2431"/>
      <c r="AF403" s="243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2"/>
      <c r="G404" s="2432"/>
      <c r="H404" s="2432"/>
      <c r="I404" s="2432"/>
      <c r="J404" s="2432"/>
      <c r="K404" s="2432"/>
      <c r="L404" s="2432"/>
      <c r="M404" s="2432"/>
      <c r="N404" s="2432"/>
      <c r="O404" s="2432"/>
      <c r="P404" s="2432"/>
      <c r="Q404" s="2432"/>
      <c r="R404" s="2432"/>
      <c r="S404" s="2432"/>
      <c r="T404" s="2432"/>
      <c r="U404" s="2432"/>
      <c r="V404" s="2432"/>
      <c r="W404" s="2432"/>
      <c r="X404" s="2432"/>
      <c r="Y404" s="2432"/>
      <c r="Z404" s="2432"/>
      <c r="AA404" s="2432"/>
      <c r="AB404" s="2432"/>
      <c r="AC404" s="2432"/>
      <c r="AD404" s="2432"/>
      <c r="AE404" s="2432"/>
      <c r="AF404" s="243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2"/>
      <c r="G405" s="2432"/>
      <c r="H405" s="2432"/>
      <c r="I405" s="2432"/>
      <c r="J405" s="2432"/>
      <c r="K405" s="2432"/>
      <c r="L405" s="2432"/>
      <c r="M405" s="2432"/>
      <c r="N405" s="2432"/>
      <c r="O405" s="2432"/>
      <c r="P405" s="2432"/>
      <c r="Q405" s="2432"/>
      <c r="R405" s="2432"/>
      <c r="S405" s="2432"/>
      <c r="T405" s="2432"/>
      <c r="U405" s="2432"/>
      <c r="V405" s="2432"/>
      <c r="W405" s="2432"/>
      <c r="X405" s="2432"/>
      <c r="Y405" s="2432"/>
      <c r="Z405" s="2432"/>
      <c r="AA405" s="2432"/>
      <c r="AB405" s="2432"/>
      <c r="AC405" s="2432"/>
      <c r="AD405" s="2432"/>
      <c r="AE405" s="2432"/>
      <c r="AF405" s="243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2"/>
      <c r="G406" s="2432"/>
      <c r="H406" s="2432"/>
      <c r="I406" s="2432"/>
      <c r="J406" s="2432"/>
      <c r="K406" s="2432"/>
      <c r="L406" s="2432"/>
      <c r="M406" s="2432"/>
      <c r="N406" s="2432"/>
      <c r="O406" s="2432"/>
      <c r="P406" s="2432"/>
      <c r="Q406" s="2432"/>
      <c r="R406" s="2432"/>
      <c r="S406" s="2432"/>
      <c r="T406" s="2432"/>
      <c r="U406" s="2432"/>
      <c r="V406" s="2432"/>
      <c r="W406" s="2432"/>
      <c r="X406" s="2432"/>
      <c r="Y406" s="2432"/>
      <c r="Z406" s="2432"/>
      <c r="AA406" s="2432"/>
      <c r="AB406" s="2432"/>
      <c r="AC406" s="2432"/>
      <c r="AD406" s="2432"/>
      <c r="AE406" s="2432"/>
      <c r="AF406" s="243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1" t="s">
        <v>592</v>
      </c>
      <c r="D407" s="2442"/>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3" t="s">
        <v>1463</v>
      </c>
      <c r="AG407" s="2443"/>
      <c r="AH407" s="2443"/>
      <c r="AI407" s="2443"/>
      <c r="AJ407" s="2443"/>
      <c r="AK407" s="2443"/>
      <c r="AL407" s="244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1" t="s">
        <v>546</v>
      </c>
      <c r="D409" s="2442"/>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3" t="s">
        <v>1475</v>
      </c>
      <c r="AG409" s="2443"/>
      <c r="AH409" s="2443"/>
      <c r="AI409" s="2443"/>
      <c r="AJ409" s="2443"/>
      <c r="AK409" s="2443"/>
      <c r="AL409" s="244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1" t="s">
        <v>592</v>
      </c>
      <c r="D412" s="2442"/>
      <c r="E412" s="715" t="s">
        <v>1476</v>
      </c>
      <c r="F412" s="2431" t="s">
        <v>1477</v>
      </c>
      <c r="G412" s="2431"/>
      <c r="H412" s="2431"/>
      <c r="I412" s="2431"/>
      <c r="J412" s="2431"/>
      <c r="K412" s="2431"/>
      <c r="L412" s="2431"/>
      <c r="M412" s="2431"/>
      <c r="N412" s="2431"/>
      <c r="O412" s="2431"/>
      <c r="P412" s="2431"/>
      <c r="Q412" s="2431"/>
      <c r="R412" s="2431"/>
      <c r="S412" s="2431"/>
      <c r="T412" s="2431"/>
      <c r="U412" s="2431"/>
      <c r="V412" s="2431"/>
      <c r="W412" s="2431"/>
      <c r="X412" s="2431"/>
      <c r="Y412" s="2431"/>
      <c r="Z412" s="2431"/>
      <c r="AA412" s="2431"/>
      <c r="AB412" s="2431"/>
      <c r="AC412" s="2431"/>
      <c r="AD412" s="2431"/>
      <c r="AE412" s="243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2"/>
      <c r="G413" s="2432"/>
      <c r="H413" s="2432"/>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2521" t="s">
        <v>1463</v>
      </c>
      <c r="AG413" s="2521"/>
      <c r="AH413" s="2521"/>
      <c r="AI413" s="2521"/>
      <c r="AJ413" s="2521"/>
      <c r="AK413" s="2521"/>
      <c r="AL413" s="2530"/>
      <c r="AM413" s="570"/>
      <c r="AN413" s="597"/>
      <c r="BS413" s="570"/>
      <c r="BT413" s="570"/>
      <c r="BY413" s="570"/>
      <c r="BZ413" s="570"/>
      <c r="CA413" s="570"/>
      <c r="CB413" s="570"/>
      <c r="CC413" s="570"/>
    </row>
    <row r="414" spans="1:81" s="550" customFormat="1" ht="12.75" customHeight="1">
      <c r="A414" s="536"/>
      <c r="B414" s="14"/>
      <c r="C414" s="731"/>
      <c r="D414" s="14"/>
      <c r="E414" s="691"/>
      <c r="F414" s="2432"/>
      <c r="G414" s="2432"/>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3"/>
      <c r="G415" s="2433"/>
      <c r="H415" s="2433"/>
      <c r="I415" s="2433"/>
      <c r="J415" s="2433"/>
      <c r="K415" s="2433"/>
      <c r="L415" s="2433"/>
      <c r="M415" s="2433"/>
      <c r="N415" s="2433"/>
      <c r="O415" s="2433"/>
      <c r="P415" s="2433"/>
      <c r="Q415" s="2433"/>
      <c r="R415" s="2433"/>
      <c r="S415" s="2433"/>
      <c r="T415" s="2433"/>
      <c r="U415" s="2433"/>
      <c r="V415" s="2433"/>
      <c r="W415" s="2433"/>
      <c r="X415" s="2433"/>
      <c r="Y415" s="2433"/>
      <c r="Z415" s="2433"/>
      <c r="AA415" s="2433"/>
      <c r="AB415" s="2433"/>
      <c r="AC415" s="2433"/>
      <c r="AD415" s="2433"/>
      <c r="AE415" s="243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1" t="s">
        <v>1479</v>
      </c>
      <c r="G417" s="2431"/>
      <c r="H417" s="2431"/>
      <c r="I417" s="2431"/>
      <c r="J417" s="2431"/>
      <c r="K417" s="2431"/>
      <c r="L417" s="2431"/>
      <c r="M417" s="2431"/>
      <c r="N417" s="2431"/>
      <c r="O417" s="2431"/>
      <c r="P417" s="2431"/>
      <c r="Q417" s="2431"/>
      <c r="R417" s="2431"/>
      <c r="S417" s="2431"/>
      <c r="T417" s="2431"/>
      <c r="U417" s="2431"/>
      <c r="V417" s="2431"/>
      <c r="W417" s="2431"/>
      <c r="X417" s="2431"/>
      <c r="Y417" s="2431"/>
      <c r="Z417" s="2431"/>
      <c r="AA417" s="2431"/>
      <c r="AB417" s="2431"/>
      <c r="AC417" s="2431"/>
      <c r="AD417" s="2431"/>
      <c r="AE417" s="2431"/>
      <c r="AF417" s="747"/>
      <c r="AG417" s="747"/>
      <c r="AH417" s="747"/>
      <c r="AI417" s="747"/>
      <c r="AJ417" s="747"/>
      <c r="AK417" s="747"/>
      <c r="AL417" s="748"/>
      <c r="AM417" s="570"/>
    </row>
    <row r="418" spans="1:55">
      <c r="A418" s="536"/>
      <c r="C418" s="731"/>
      <c r="E418" s="691"/>
      <c r="F418" s="2432"/>
      <c r="G418" s="2432"/>
      <c r="H418" s="2432"/>
      <c r="I418" s="2432"/>
      <c r="J418" s="2432"/>
      <c r="K418" s="2432"/>
      <c r="L418" s="2432"/>
      <c r="M418" s="2432"/>
      <c r="N418" s="2432"/>
      <c r="O418" s="2432"/>
      <c r="P418" s="2432"/>
      <c r="Q418" s="2432"/>
      <c r="R418" s="2432"/>
      <c r="S418" s="2432"/>
      <c r="T418" s="2432"/>
      <c r="U418" s="2432"/>
      <c r="V418" s="2432"/>
      <c r="W418" s="2432"/>
      <c r="X418" s="2432"/>
      <c r="Y418" s="2432"/>
      <c r="Z418" s="2432"/>
      <c r="AA418" s="2432"/>
      <c r="AB418" s="2432"/>
      <c r="AC418" s="2432"/>
      <c r="AD418" s="2432"/>
      <c r="AE418" s="2432"/>
      <c r="AF418" s="539"/>
      <c r="AG418" s="536"/>
      <c r="AH418" s="550"/>
      <c r="AI418" s="550"/>
      <c r="AJ418" s="550"/>
      <c r="AK418" s="550"/>
      <c r="AL418" s="732"/>
      <c r="AM418" s="570"/>
    </row>
    <row r="419" spans="1:55" s="550" customFormat="1" ht="12.75" customHeight="1">
      <c r="A419" s="536"/>
      <c r="B419" s="14"/>
      <c r="C419" s="731"/>
      <c r="D419" s="14"/>
      <c r="E419" s="691"/>
      <c r="F419" s="2432"/>
      <c r="G419" s="2432"/>
      <c r="H419" s="2432"/>
      <c r="I419" s="2432"/>
      <c r="J419" s="2432"/>
      <c r="K419" s="2432"/>
      <c r="L419" s="2432"/>
      <c r="M419" s="2432"/>
      <c r="N419" s="2432"/>
      <c r="O419" s="2432"/>
      <c r="P419" s="2432"/>
      <c r="Q419" s="2432"/>
      <c r="R419" s="2432"/>
      <c r="S419" s="2432"/>
      <c r="T419" s="2432"/>
      <c r="U419" s="2432"/>
      <c r="V419" s="2432"/>
      <c r="W419" s="2432"/>
      <c r="X419" s="2432"/>
      <c r="Y419" s="2432"/>
      <c r="Z419" s="2432"/>
      <c r="AA419" s="2432"/>
      <c r="AB419" s="2432"/>
      <c r="AC419" s="2432"/>
      <c r="AD419" s="2432"/>
      <c r="AE419" s="2432"/>
      <c r="AL419" s="732"/>
      <c r="AM419" s="570"/>
      <c r="AN419" s="597"/>
    </row>
    <row r="420" spans="1:55" s="550" customFormat="1" ht="12.75" customHeight="1">
      <c r="A420" s="536"/>
      <c r="B420" s="14"/>
      <c r="C420" s="739"/>
      <c r="F420" s="2432"/>
      <c r="G420" s="2432"/>
      <c r="H420" s="2432"/>
      <c r="I420" s="2432"/>
      <c r="J420" s="2432"/>
      <c r="K420" s="2432"/>
      <c r="L420" s="2432"/>
      <c r="M420" s="2432"/>
      <c r="N420" s="2432"/>
      <c r="O420" s="2432"/>
      <c r="P420" s="2432"/>
      <c r="Q420" s="2432"/>
      <c r="R420" s="2432"/>
      <c r="S420" s="2432"/>
      <c r="T420" s="2432"/>
      <c r="U420" s="2432"/>
      <c r="V420" s="2432"/>
      <c r="W420" s="2432"/>
      <c r="X420" s="2432"/>
      <c r="Y420" s="2432"/>
      <c r="Z420" s="2432"/>
      <c r="AA420" s="2432"/>
      <c r="AB420" s="2432"/>
      <c r="AC420" s="2432"/>
      <c r="AD420" s="2432"/>
      <c r="AE420" s="2432"/>
      <c r="AL420" s="732"/>
      <c r="AM420" s="570"/>
      <c r="AN420" s="597"/>
    </row>
    <row r="421" spans="1:55" s="550" customFormat="1" ht="12.75" customHeight="1">
      <c r="A421" s="536"/>
      <c r="B421" s="14"/>
      <c r="C421" s="2441" t="s">
        <v>592</v>
      </c>
      <c r="D421" s="2442"/>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1" t="s">
        <v>1463</v>
      </c>
      <c r="AG421" s="2521"/>
      <c r="AH421" s="2521"/>
      <c r="AI421" s="2521"/>
      <c r="AJ421" s="2521"/>
      <c r="AK421" s="2521"/>
      <c r="AL421" s="2530"/>
      <c r="AM421" s="570"/>
      <c r="AN421" s="597"/>
    </row>
    <row r="422" spans="1:55" s="550" customFormat="1" ht="12.75" customHeight="1">
      <c r="A422" s="536"/>
      <c r="B422" s="14"/>
      <c r="C422" s="739"/>
      <c r="AL422" s="732"/>
      <c r="AM422" s="570"/>
      <c r="AN422" s="597"/>
    </row>
    <row r="423" spans="1:55" s="550" customFormat="1" ht="12.75" customHeight="1">
      <c r="A423" s="536"/>
      <c r="B423" s="14"/>
      <c r="C423" s="2441" t="s">
        <v>592</v>
      </c>
      <c r="D423" s="2442"/>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1" t="s">
        <v>1475</v>
      </c>
      <c r="AG423" s="2521"/>
      <c r="AH423" s="2521"/>
      <c r="AI423" s="2521"/>
      <c r="AJ423" s="2521"/>
      <c r="AK423" s="2521"/>
      <c r="AL423" s="253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1" t="s">
        <v>1483</v>
      </c>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714"/>
      <c r="AG427" s="714"/>
      <c r="AH427" s="714"/>
      <c r="AI427" s="714"/>
      <c r="AJ427" s="714"/>
      <c r="AK427" s="714"/>
      <c r="AL427" s="745"/>
      <c r="AM427" s="570"/>
      <c r="AN427" s="597"/>
    </row>
    <row r="428" spans="1:55" s="550" customFormat="1" ht="12.75" customHeight="1">
      <c r="A428" s="536"/>
      <c r="B428" s="14"/>
      <c r="C428" s="731"/>
      <c r="D428" s="14"/>
      <c r="E428" s="691"/>
      <c r="F428" s="2432"/>
      <c r="G428" s="2432"/>
      <c r="H428" s="2432"/>
      <c r="I428" s="2432"/>
      <c r="J428" s="2432"/>
      <c r="K428" s="2432"/>
      <c r="L428" s="2432"/>
      <c r="M428" s="2432"/>
      <c r="N428" s="2432"/>
      <c r="O428" s="2432"/>
      <c r="P428" s="2432"/>
      <c r="Q428" s="2432"/>
      <c r="R428" s="2432"/>
      <c r="S428" s="2432"/>
      <c r="T428" s="2432"/>
      <c r="U428" s="2432"/>
      <c r="V428" s="2432"/>
      <c r="W428" s="2432"/>
      <c r="X428" s="2432"/>
      <c r="Y428" s="2432"/>
      <c r="Z428" s="2432"/>
      <c r="AA428" s="2432"/>
      <c r="AB428" s="2432"/>
      <c r="AC428" s="2432"/>
      <c r="AD428" s="2432"/>
      <c r="AE428" s="2432"/>
      <c r="AF428" s="539"/>
      <c r="AG428" s="536"/>
      <c r="AL428" s="732"/>
      <c r="AM428" s="570"/>
      <c r="AN428" s="597"/>
    </row>
    <row r="429" spans="1:55" s="550" customFormat="1" ht="12.4" customHeight="1">
      <c r="A429" s="536"/>
      <c r="B429" s="14"/>
      <c r="C429" s="731"/>
      <c r="D429" s="14"/>
      <c r="E429" s="691"/>
      <c r="F429" s="2432"/>
      <c r="G429" s="2432"/>
      <c r="H429" s="2432"/>
      <c r="I429" s="2432"/>
      <c r="J429" s="2432"/>
      <c r="K429" s="2432"/>
      <c r="L429" s="2432"/>
      <c r="M429" s="2432"/>
      <c r="N429" s="2432"/>
      <c r="O429" s="2432"/>
      <c r="P429" s="2432"/>
      <c r="Q429" s="2432"/>
      <c r="R429" s="2432"/>
      <c r="S429" s="2432"/>
      <c r="T429" s="2432"/>
      <c r="U429" s="2432"/>
      <c r="V429" s="2432"/>
      <c r="W429" s="2432"/>
      <c r="X429" s="2432"/>
      <c r="Y429" s="2432"/>
      <c r="Z429" s="2432"/>
      <c r="AA429" s="2432"/>
      <c r="AB429" s="2432"/>
      <c r="AC429" s="2432"/>
      <c r="AD429" s="2432"/>
      <c r="AE429" s="2432"/>
      <c r="AL429" s="732"/>
      <c r="AM429" s="570"/>
      <c r="AN429" s="597"/>
    </row>
    <row r="430" spans="1:55" s="550" customFormat="1" ht="12.75" customHeight="1">
      <c r="A430" s="536"/>
      <c r="B430" s="14"/>
      <c r="C430" s="2441" t="s">
        <v>592</v>
      </c>
      <c r="D430" s="2442"/>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1" t="s">
        <v>1463</v>
      </c>
      <c r="AG430" s="2521"/>
      <c r="AH430" s="2521"/>
      <c r="AI430" s="2521"/>
      <c r="AJ430" s="2521"/>
      <c r="AK430" s="2521"/>
      <c r="AL430" s="253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31" t="s">
        <v>1486</v>
      </c>
      <c r="G433" s="2431"/>
      <c r="H433" s="2431"/>
      <c r="I433" s="2431"/>
      <c r="J433" s="2431"/>
      <c r="K433" s="2431"/>
      <c r="L433" s="2431"/>
      <c r="M433" s="2431"/>
      <c r="N433" s="2431"/>
      <c r="O433" s="2431"/>
      <c r="P433" s="2431"/>
      <c r="Q433" s="2431"/>
      <c r="R433" s="2431"/>
      <c r="S433" s="2431"/>
      <c r="T433" s="2431"/>
      <c r="U433" s="2431"/>
      <c r="V433" s="2431"/>
      <c r="W433" s="2431"/>
      <c r="X433" s="2431"/>
      <c r="Y433" s="2431"/>
      <c r="Z433" s="2431"/>
      <c r="AA433" s="2431"/>
      <c r="AB433" s="2431"/>
      <c r="AC433" s="2431"/>
      <c r="AD433" s="2431"/>
      <c r="AE433" s="2431"/>
      <c r="AF433" s="747"/>
      <c r="AG433" s="747"/>
      <c r="AH433" s="747"/>
      <c r="AI433" s="747"/>
      <c r="AJ433" s="747"/>
      <c r="AK433" s="747"/>
      <c r="AL433" s="748"/>
      <c r="AM433" s="570"/>
      <c r="AO433" s="550"/>
      <c r="AP433" s="550"/>
      <c r="BD433" s="14"/>
      <c r="BE433" s="14"/>
      <c r="BF433" s="14"/>
      <c r="BG433" s="14"/>
      <c r="BH433" s="14"/>
    </row>
    <row r="434" spans="1:60">
      <c r="A434" s="536"/>
      <c r="C434" s="731"/>
      <c r="E434" s="691"/>
      <c r="F434" s="2432"/>
      <c r="G434" s="2432"/>
      <c r="H434" s="2432"/>
      <c r="I434" s="2432"/>
      <c r="J434" s="2432"/>
      <c r="K434" s="2432"/>
      <c r="L434" s="2432"/>
      <c r="M434" s="2432"/>
      <c r="N434" s="2432"/>
      <c r="O434" s="2432"/>
      <c r="P434" s="2432"/>
      <c r="Q434" s="2432"/>
      <c r="R434" s="2432"/>
      <c r="S434" s="2432"/>
      <c r="T434" s="2432"/>
      <c r="U434" s="2432"/>
      <c r="V434" s="2432"/>
      <c r="W434" s="2432"/>
      <c r="X434" s="2432"/>
      <c r="Y434" s="2432"/>
      <c r="Z434" s="2432"/>
      <c r="AA434" s="2432"/>
      <c r="AB434" s="2432"/>
      <c r="AC434" s="2432"/>
      <c r="AD434" s="2432"/>
      <c r="AE434" s="2432"/>
      <c r="AF434" s="594"/>
      <c r="AG434" s="594"/>
      <c r="AH434" s="594"/>
      <c r="AI434" s="594"/>
      <c r="AJ434" s="594"/>
      <c r="AK434" s="594"/>
      <c r="AL434" s="750"/>
      <c r="AM434" s="570"/>
      <c r="AO434" s="550"/>
      <c r="AP434" s="550"/>
    </row>
    <row r="435" spans="1:60" s="550" customFormat="1" ht="12.75" customHeight="1">
      <c r="A435" s="536"/>
      <c r="B435" s="14"/>
      <c r="C435" s="731"/>
      <c r="D435" s="14"/>
      <c r="E435" s="691"/>
      <c r="F435" s="2432"/>
      <c r="G435" s="2432"/>
      <c r="H435" s="2432"/>
      <c r="I435" s="2432"/>
      <c r="J435" s="2432"/>
      <c r="K435" s="2432"/>
      <c r="L435" s="2432"/>
      <c r="M435" s="2432"/>
      <c r="N435" s="2432"/>
      <c r="O435" s="2432"/>
      <c r="P435" s="2432"/>
      <c r="Q435" s="2432"/>
      <c r="R435" s="2432"/>
      <c r="S435" s="2432"/>
      <c r="T435" s="2432"/>
      <c r="U435" s="2432"/>
      <c r="V435" s="2432"/>
      <c r="W435" s="2432"/>
      <c r="X435" s="2432"/>
      <c r="Y435" s="2432"/>
      <c r="Z435" s="2432"/>
      <c r="AA435" s="2432"/>
      <c r="AB435" s="2432"/>
      <c r="AC435" s="2432"/>
      <c r="AD435" s="2432"/>
      <c r="AE435" s="2432"/>
      <c r="AF435" s="594"/>
      <c r="AG435" s="594"/>
      <c r="AH435" s="594"/>
      <c r="AI435" s="594"/>
      <c r="AJ435" s="594"/>
      <c r="AK435" s="594"/>
      <c r="AL435" s="750"/>
      <c r="AM435" s="570"/>
      <c r="AN435" s="597"/>
    </row>
    <row r="436" spans="1:60" s="550" customFormat="1" ht="12.75" customHeight="1">
      <c r="A436" s="536"/>
      <c r="B436" s="14"/>
      <c r="C436" s="751"/>
      <c r="D436" s="730"/>
      <c r="E436" s="719"/>
      <c r="F436" s="2432"/>
      <c r="G436" s="2432"/>
      <c r="H436" s="2432"/>
      <c r="I436" s="2432"/>
      <c r="J436" s="2432"/>
      <c r="K436" s="2432"/>
      <c r="L436" s="2432"/>
      <c r="M436" s="2432"/>
      <c r="N436" s="2432"/>
      <c r="O436" s="2432"/>
      <c r="P436" s="2432"/>
      <c r="Q436" s="2432"/>
      <c r="R436" s="2432"/>
      <c r="S436" s="2432"/>
      <c r="T436" s="2432"/>
      <c r="U436" s="2432"/>
      <c r="V436" s="2432"/>
      <c r="W436" s="2432"/>
      <c r="X436" s="2432"/>
      <c r="Y436" s="2432"/>
      <c r="Z436" s="2432"/>
      <c r="AA436" s="2432"/>
      <c r="AB436" s="2432"/>
      <c r="AC436" s="2432"/>
      <c r="AD436" s="2432"/>
      <c r="AE436" s="243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594"/>
      <c r="AG437" s="594"/>
      <c r="AH437" s="594"/>
      <c r="AI437" s="594"/>
      <c r="AJ437" s="594"/>
      <c r="AK437" s="594"/>
      <c r="AL437" s="750"/>
      <c r="AM437" s="570"/>
      <c r="AN437" s="597"/>
    </row>
    <row r="438" spans="1:60" s="550" customFormat="1" ht="12.75" customHeight="1">
      <c r="A438" s="536"/>
      <c r="B438" s="14"/>
      <c r="C438" s="751"/>
      <c r="D438" s="730"/>
      <c r="E438" s="719"/>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594"/>
      <c r="AG438" s="594"/>
      <c r="AH438" s="594"/>
      <c r="AI438" s="594"/>
      <c r="AJ438" s="594"/>
      <c r="AK438" s="594"/>
      <c r="AL438" s="750"/>
      <c r="AM438" s="570"/>
      <c r="AN438" s="597"/>
    </row>
    <row r="439" spans="1:60" s="550" customFormat="1" ht="12.75" customHeight="1">
      <c r="A439" s="536"/>
      <c r="B439" s="14"/>
      <c r="C439" s="751"/>
      <c r="D439" s="730"/>
      <c r="E439" s="719"/>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594"/>
      <c r="AG439" s="594"/>
      <c r="AH439" s="594"/>
      <c r="AI439" s="594"/>
      <c r="AJ439" s="594"/>
      <c r="AK439" s="594"/>
      <c r="AL439" s="750"/>
      <c r="AM439" s="570"/>
      <c r="AN439" s="597"/>
    </row>
    <row r="440" spans="1:60" s="550" customFormat="1" ht="12.75" customHeight="1">
      <c r="A440" s="536"/>
      <c r="B440" s="14"/>
      <c r="C440" s="751"/>
      <c r="D440" s="730"/>
      <c r="E440" s="719"/>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594"/>
      <c r="AG440" s="594"/>
      <c r="AH440" s="594"/>
      <c r="AI440" s="594"/>
      <c r="AJ440" s="594"/>
      <c r="AK440" s="594"/>
      <c r="AL440" s="750"/>
      <c r="AM440" s="570"/>
      <c r="AN440" s="597"/>
    </row>
    <row r="441" spans="1:60" s="550" customFormat="1" ht="17.25" customHeight="1">
      <c r="A441" s="536"/>
      <c r="B441" s="14"/>
      <c r="C441" s="751"/>
      <c r="D441" s="730"/>
      <c r="E441" s="719"/>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L441" s="732"/>
      <c r="AM441" s="570"/>
      <c r="AN441" s="597"/>
    </row>
    <row r="442" spans="1:60" s="550" customFormat="1" ht="12.75" customHeight="1">
      <c r="A442" s="536"/>
      <c r="B442" s="14"/>
      <c r="C442" s="2441" t="s">
        <v>592</v>
      </c>
      <c r="D442" s="2442"/>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1" t="s">
        <v>1463</v>
      </c>
      <c r="AG442" s="2521"/>
      <c r="AH442" s="2521"/>
      <c r="AI442" s="2521"/>
      <c r="AJ442" s="2521"/>
      <c r="AK442" s="2521"/>
      <c r="AL442" s="253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1" t="s">
        <v>1489</v>
      </c>
      <c r="G445" s="2431"/>
      <c r="H445" s="2431"/>
      <c r="I445" s="2431"/>
      <c r="J445" s="2431"/>
      <c r="K445" s="2431"/>
      <c r="L445" s="2431"/>
      <c r="M445" s="2431"/>
      <c r="N445" s="2431"/>
      <c r="O445" s="2431"/>
      <c r="P445" s="2431"/>
      <c r="Q445" s="2431"/>
      <c r="R445" s="2431"/>
      <c r="S445" s="2431"/>
      <c r="T445" s="2431"/>
      <c r="U445" s="2431"/>
      <c r="V445" s="2431"/>
      <c r="W445" s="2431"/>
      <c r="X445" s="2431"/>
      <c r="Y445" s="2431"/>
      <c r="Z445" s="2431"/>
      <c r="AA445" s="2431"/>
      <c r="AB445" s="2431"/>
      <c r="AC445" s="2431"/>
      <c r="AD445" s="2431"/>
      <c r="AE445" s="2431"/>
      <c r="AF445" s="714"/>
      <c r="AG445" s="714"/>
      <c r="AH445" s="714"/>
      <c r="AI445" s="714"/>
      <c r="AJ445" s="714"/>
      <c r="AK445" s="714"/>
      <c r="AL445" s="745"/>
      <c r="AM445" s="570"/>
      <c r="AN445" s="597"/>
    </row>
    <row r="446" spans="1:60" s="550" customFormat="1" ht="12.75" customHeight="1">
      <c r="A446" s="536"/>
      <c r="B446" s="14"/>
      <c r="C446" s="751"/>
      <c r="D446" s="730"/>
      <c r="E446" s="719"/>
      <c r="F446" s="2432"/>
      <c r="G446" s="2432"/>
      <c r="H446" s="2432"/>
      <c r="I446" s="2432"/>
      <c r="J446" s="2432"/>
      <c r="K446" s="2432"/>
      <c r="L446" s="2432"/>
      <c r="M446" s="2432"/>
      <c r="N446" s="2432"/>
      <c r="O446" s="2432"/>
      <c r="P446" s="2432"/>
      <c r="Q446" s="2432"/>
      <c r="R446" s="2432"/>
      <c r="S446" s="2432"/>
      <c r="T446" s="2432"/>
      <c r="U446" s="2432"/>
      <c r="V446" s="2432"/>
      <c r="W446" s="2432"/>
      <c r="X446" s="2432"/>
      <c r="Y446" s="2432"/>
      <c r="Z446" s="2432"/>
      <c r="AA446" s="2432"/>
      <c r="AB446" s="2432"/>
      <c r="AC446" s="2432"/>
      <c r="AD446" s="2432"/>
      <c r="AE446" s="2432"/>
      <c r="AF446" s="591"/>
      <c r="AG446" s="591"/>
      <c r="AH446" s="591"/>
      <c r="AI446" s="591"/>
      <c r="AJ446" s="591"/>
      <c r="AK446" s="591"/>
      <c r="AL446" s="720"/>
      <c r="AM446" s="570"/>
      <c r="AN446" s="597"/>
    </row>
    <row r="447" spans="1:60" s="550" customFormat="1" ht="12.75" customHeight="1">
      <c r="A447" s="536"/>
      <c r="B447" s="14"/>
      <c r="C447" s="751"/>
      <c r="D447" s="730"/>
      <c r="E447" s="719"/>
      <c r="F447" s="2432"/>
      <c r="G447" s="2432"/>
      <c r="H447" s="2432"/>
      <c r="I447" s="2432"/>
      <c r="J447" s="2432"/>
      <c r="K447" s="2432"/>
      <c r="L447" s="2432"/>
      <c r="M447" s="2432"/>
      <c r="N447" s="2432"/>
      <c r="O447" s="2432"/>
      <c r="P447" s="2432"/>
      <c r="Q447" s="2432"/>
      <c r="R447" s="2432"/>
      <c r="S447" s="2432"/>
      <c r="T447" s="2432"/>
      <c r="U447" s="2432"/>
      <c r="V447" s="2432"/>
      <c r="W447" s="2432"/>
      <c r="X447" s="2432"/>
      <c r="Y447" s="2432"/>
      <c r="Z447" s="2432"/>
      <c r="AA447" s="2432"/>
      <c r="AB447" s="2432"/>
      <c r="AC447" s="2432"/>
      <c r="AD447" s="2432"/>
      <c r="AE447" s="2432"/>
      <c r="AF447" s="591"/>
      <c r="AG447" s="591"/>
      <c r="AH447" s="591"/>
      <c r="AI447" s="591"/>
      <c r="AJ447" s="591"/>
      <c r="AK447" s="591"/>
      <c r="AL447" s="720"/>
      <c r="AM447" s="570"/>
      <c r="AN447" s="597"/>
    </row>
    <row r="448" spans="1:60" s="550" customFormat="1" ht="12.75" customHeight="1">
      <c r="A448" s="536"/>
      <c r="B448" s="14"/>
      <c r="C448" s="751"/>
      <c r="D448" s="730"/>
      <c r="E448" s="719"/>
      <c r="F448" s="2432"/>
      <c r="G448" s="2432"/>
      <c r="H448" s="2432"/>
      <c r="I448" s="2432"/>
      <c r="J448" s="2432"/>
      <c r="K448" s="2432"/>
      <c r="L448" s="2432"/>
      <c r="M448" s="2432"/>
      <c r="N448" s="2432"/>
      <c r="O448" s="2432"/>
      <c r="P448" s="2432"/>
      <c r="Q448" s="2432"/>
      <c r="R448" s="2432"/>
      <c r="S448" s="2432"/>
      <c r="T448" s="2432"/>
      <c r="U448" s="2432"/>
      <c r="V448" s="2432"/>
      <c r="W448" s="2432"/>
      <c r="X448" s="2432"/>
      <c r="Y448" s="2432"/>
      <c r="Z448" s="2432"/>
      <c r="AA448" s="2432"/>
      <c r="AB448" s="2432"/>
      <c r="AC448" s="2432"/>
      <c r="AD448" s="2432"/>
      <c r="AE448" s="2432"/>
      <c r="AL448" s="732"/>
      <c r="AM448" s="570"/>
      <c r="AN448" s="597"/>
    </row>
    <row r="449" spans="1:40" s="550" customFormat="1" ht="12.75" customHeight="1">
      <c r="A449" s="536"/>
      <c r="B449" s="14"/>
      <c r="C449" s="2441" t="s">
        <v>592</v>
      </c>
      <c r="D449" s="2442"/>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1" t="s">
        <v>1463</v>
      </c>
      <c r="AG449" s="2521"/>
      <c r="AH449" s="2521"/>
      <c r="AI449" s="2521"/>
      <c r="AJ449" s="2521"/>
      <c r="AK449" s="2521"/>
      <c r="AL449" s="253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7" t="s">
        <v>592</v>
      </c>
      <c r="D453" s="2558"/>
      <c r="E453" s="715" t="s">
        <v>1498</v>
      </c>
      <c r="F453" s="2431" t="s">
        <v>1499</v>
      </c>
      <c r="G453" s="2431"/>
      <c r="H453" s="2431"/>
      <c r="I453" s="2431"/>
      <c r="J453" s="2431"/>
      <c r="K453" s="2431"/>
      <c r="L453" s="2431"/>
      <c r="M453" s="2431"/>
      <c r="N453" s="2431"/>
      <c r="O453" s="2431"/>
      <c r="P453" s="2431"/>
      <c r="Q453" s="2431"/>
      <c r="R453" s="2431"/>
      <c r="S453" s="2431"/>
      <c r="T453" s="2431"/>
      <c r="U453" s="2431"/>
      <c r="V453" s="2431"/>
      <c r="W453" s="2431"/>
      <c r="X453" s="2431"/>
      <c r="Y453" s="2431"/>
      <c r="Z453" s="2431"/>
      <c r="AA453" s="2431"/>
      <c r="AB453" s="2431"/>
      <c r="AC453" s="2431"/>
      <c r="AD453" s="2431"/>
      <c r="AE453" s="2431"/>
      <c r="AF453" s="2459" t="s">
        <v>1463</v>
      </c>
      <c r="AG453" s="2459"/>
      <c r="AH453" s="2459"/>
      <c r="AI453" s="2459"/>
      <c r="AJ453" s="2459"/>
      <c r="AK453" s="2459"/>
      <c r="AL453" s="2460"/>
      <c r="AM453" s="570"/>
      <c r="AN453" s="753"/>
    </row>
    <row r="454" spans="1:40" s="550" customFormat="1" ht="12.75" customHeight="1">
      <c r="A454" s="536"/>
      <c r="B454" s="14"/>
      <c r="C454" s="751"/>
      <c r="D454" s="730"/>
      <c r="E454" s="719"/>
      <c r="F454" s="2432"/>
      <c r="G454" s="2432"/>
      <c r="H454" s="2432"/>
      <c r="I454" s="2432"/>
      <c r="J454" s="2432"/>
      <c r="K454" s="2432"/>
      <c r="L454" s="2432"/>
      <c r="M454" s="2432"/>
      <c r="N454" s="2432"/>
      <c r="O454" s="2432"/>
      <c r="P454" s="2432"/>
      <c r="Q454" s="2432"/>
      <c r="R454" s="2432"/>
      <c r="S454" s="2432"/>
      <c r="T454" s="2432"/>
      <c r="U454" s="2432"/>
      <c r="V454" s="2432"/>
      <c r="W454" s="2432"/>
      <c r="X454" s="2432"/>
      <c r="Y454" s="2432"/>
      <c r="Z454" s="2432"/>
      <c r="AA454" s="2432"/>
      <c r="AB454" s="2432"/>
      <c r="AC454" s="2432"/>
      <c r="AD454" s="2432"/>
      <c r="AE454" s="2432"/>
      <c r="AF454" s="591"/>
      <c r="AG454" s="591"/>
      <c r="AH454" s="591"/>
      <c r="AI454" s="591"/>
      <c r="AJ454" s="591"/>
      <c r="AK454" s="591"/>
      <c r="AL454" s="720"/>
      <c r="AM454" s="570"/>
      <c r="AN454" s="754"/>
    </row>
    <row r="455" spans="1:40" s="550" customFormat="1" ht="17.649999999999999" customHeight="1">
      <c r="A455" s="536"/>
      <c r="B455" s="14"/>
      <c r="C455" s="756"/>
      <c r="D455" s="723"/>
      <c r="E455" s="724"/>
      <c r="F455" s="2433"/>
      <c r="G455" s="2433"/>
      <c r="H455" s="2433"/>
      <c r="I455" s="2433"/>
      <c r="J455" s="2433"/>
      <c r="K455" s="2433"/>
      <c r="L455" s="2433"/>
      <c r="M455" s="2433"/>
      <c r="N455" s="2433"/>
      <c r="O455" s="2433"/>
      <c r="P455" s="2433"/>
      <c r="Q455" s="2433"/>
      <c r="R455" s="2433"/>
      <c r="S455" s="2433"/>
      <c r="T455" s="2433"/>
      <c r="U455" s="2433"/>
      <c r="V455" s="2433"/>
      <c r="W455" s="2433"/>
      <c r="X455" s="2433"/>
      <c r="Y455" s="2433"/>
      <c r="Z455" s="2433"/>
      <c r="AA455" s="2433"/>
      <c r="AB455" s="2433"/>
      <c r="AC455" s="2433"/>
      <c r="AD455" s="2433"/>
      <c r="AE455" s="243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1" t="s">
        <v>592</v>
      </c>
      <c r="D457" s="2442"/>
      <c r="E457" s="715" t="s">
        <v>1504</v>
      </c>
      <c r="F457" s="2431" t="s">
        <v>1505</v>
      </c>
      <c r="G457" s="2431"/>
      <c r="H457" s="2431"/>
      <c r="I457" s="2431"/>
      <c r="J457" s="2431"/>
      <c r="K457" s="2431"/>
      <c r="L457" s="2431"/>
      <c r="M457" s="2431"/>
      <c r="N457" s="2431"/>
      <c r="O457" s="2431"/>
      <c r="P457" s="2431"/>
      <c r="Q457" s="2431"/>
      <c r="R457" s="2431"/>
      <c r="S457" s="2431"/>
      <c r="T457" s="2431"/>
      <c r="U457" s="2431"/>
      <c r="V457" s="2431"/>
      <c r="W457" s="2431"/>
      <c r="X457" s="2431"/>
      <c r="Y457" s="2431"/>
      <c r="Z457" s="2431"/>
      <c r="AA457" s="2431"/>
      <c r="AB457" s="2431"/>
      <c r="AC457" s="2431"/>
      <c r="AD457" s="2431"/>
      <c r="AE457" s="2431"/>
      <c r="AF457" s="2459" t="s">
        <v>1463</v>
      </c>
      <c r="AG457" s="2459"/>
      <c r="AH457" s="2459"/>
      <c r="AI457" s="2459"/>
      <c r="AJ457" s="2459"/>
      <c r="AK457" s="2459"/>
      <c r="AL457" s="2460"/>
      <c r="AM457" s="570"/>
      <c r="AN457" s="535"/>
    </row>
    <row r="458" spans="1:40" s="550" customFormat="1" ht="12.75" customHeight="1">
      <c r="A458" s="536"/>
      <c r="B458" s="14"/>
      <c r="C458" s="731"/>
      <c r="D458" s="14"/>
      <c r="E458" s="691"/>
      <c r="F458" s="2432"/>
      <c r="G458" s="2432"/>
      <c r="H458" s="2432"/>
      <c r="I458" s="2432"/>
      <c r="J458" s="2432"/>
      <c r="K458" s="2432"/>
      <c r="L458" s="2432"/>
      <c r="M458" s="2432"/>
      <c r="N458" s="2432"/>
      <c r="O458" s="2432"/>
      <c r="P458" s="2432"/>
      <c r="Q458" s="2432"/>
      <c r="R458" s="2432"/>
      <c r="S458" s="2432"/>
      <c r="T458" s="2432"/>
      <c r="U458" s="2432"/>
      <c r="V458" s="2432"/>
      <c r="W458" s="2432"/>
      <c r="X458" s="2432"/>
      <c r="Y458" s="2432"/>
      <c r="Z458" s="2432"/>
      <c r="AA458" s="2432"/>
      <c r="AB458" s="2432"/>
      <c r="AC458" s="2432"/>
      <c r="AD458" s="2432"/>
      <c r="AE458" s="2432"/>
      <c r="AF458" s="539"/>
      <c r="AG458" s="536"/>
      <c r="AL458" s="732"/>
      <c r="AM458" s="570"/>
      <c r="AN458" s="535"/>
    </row>
    <row r="459" spans="1:40" s="550" customFormat="1" ht="12.75" customHeight="1">
      <c r="A459" s="536"/>
      <c r="B459" s="14"/>
      <c r="C459" s="731"/>
      <c r="D459" s="14"/>
      <c r="E459" s="691"/>
      <c r="F459" s="2432"/>
      <c r="G459" s="2432"/>
      <c r="H459" s="2432"/>
      <c r="I459" s="2432"/>
      <c r="J459" s="2432"/>
      <c r="K459" s="2432"/>
      <c r="L459" s="2432"/>
      <c r="M459" s="2432"/>
      <c r="N459" s="2432"/>
      <c r="O459" s="2432"/>
      <c r="P459" s="2432"/>
      <c r="Q459" s="2432"/>
      <c r="R459" s="2432"/>
      <c r="S459" s="2432"/>
      <c r="T459" s="2432"/>
      <c r="U459" s="2432"/>
      <c r="V459" s="2432"/>
      <c r="W459" s="2432"/>
      <c r="X459" s="2432"/>
      <c r="Y459" s="2432"/>
      <c r="Z459" s="2432"/>
      <c r="AA459" s="2432"/>
      <c r="AB459" s="2432"/>
      <c r="AC459" s="2432"/>
      <c r="AD459" s="2432"/>
      <c r="AE459" s="2432"/>
      <c r="AF459" s="539"/>
      <c r="AG459" s="536"/>
      <c r="AL459" s="732"/>
      <c r="AM459" s="570"/>
      <c r="AN459" s="535"/>
    </row>
    <row r="460" spans="1:40" s="550" customFormat="1" ht="12.75" customHeight="1">
      <c r="A460" s="536"/>
      <c r="B460" s="14"/>
      <c r="C460" s="756"/>
      <c r="D460" s="723"/>
      <c r="E460" s="724"/>
      <c r="F460" s="2433"/>
      <c r="G460" s="2433"/>
      <c r="H460" s="2433"/>
      <c r="I460" s="2433"/>
      <c r="J460" s="2433"/>
      <c r="K460" s="2433"/>
      <c r="L460" s="2433"/>
      <c r="M460" s="2433"/>
      <c r="N460" s="2433"/>
      <c r="O460" s="2433"/>
      <c r="P460" s="2433"/>
      <c r="Q460" s="2433"/>
      <c r="R460" s="2433"/>
      <c r="S460" s="2433"/>
      <c r="T460" s="2433"/>
      <c r="U460" s="2433"/>
      <c r="V460" s="2433"/>
      <c r="W460" s="2433"/>
      <c r="X460" s="2433"/>
      <c r="Y460" s="2433"/>
      <c r="Z460" s="2433"/>
      <c r="AA460" s="2433"/>
      <c r="AB460" s="2433"/>
      <c r="AC460" s="2433"/>
      <c r="AD460" s="2433"/>
      <c r="AE460" s="243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1" t="s">
        <v>1508</v>
      </c>
      <c r="G462" s="2431"/>
      <c r="H462" s="2431"/>
      <c r="I462" s="2431"/>
      <c r="J462" s="2431"/>
      <c r="K462" s="2431"/>
      <c r="L462" s="2431"/>
      <c r="M462" s="2431"/>
      <c r="N462" s="2431"/>
      <c r="O462" s="2431"/>
      <c r="P462" s="2431"/>
      <c r="Q462" s="2431"/>
      <c r="R462" s="2431"/>
      <c r="S462" s="2431"/>
      <c r="T462" s="2431"/>
      <c r="U462" s="2431"/>
      <c r="V462" s="2431"/>
      <c r="W462" s="2431"/>
      <c r="X462" s="2431"/>
      <c r="Y462" s="2431"/>
      <c r="Z462" s="2431"/>
      <c r="AA462" s="2431"/>
      <c r="AB462" s="2431"/>
      <c r="AC462" s="2431"/>
      <c r="AD462" s="2431"/>
      <c r="AE462" s="2431"/>
      <c r="AF462" s="2431"/>
      <c r="AG462" s="744"/>
      <c r="AH462" s="714"/>
      <c r="AI462" s="714"/>
      <c r="AJ462" s="714"/>
      <c r="AK462" s="714"/>
      <c r="AL462" s="745"/>
      <c r="AM462" s="570"/>
      <c r="AN462" s="597"/>
    </row>
    <row r="463" spans="1:40" s="550" customFormat="1" ht="12.75" customHeight="1">
      <c r="A463" s="536"/>
      <c r="B463" s="14"/>
      <c r="C463" s="731"/>
      <c r="D463" s="14"/>
      <c r="E463" s="691"/>
      <c r="F463" s="2432"/>
      <c r="G463" s="2432"/>
      <c r="H463" s="2432"/>
      <c r="I463" s="2432"/>
      <c r="J463" s="2432"/>
      <c r="K463" s="2432"/>
      <c r="L463" s="2432"/>
      <c r="M463" s="2432"/>
      <c r="N463" s="2432"/>
      <c r="O463" s="2432"/>
      <c r="P463" s="2432"/>
      <c r="Q463" s="2432"/>
      <c r="R463" s="2432"/>
      <c r="S463" s="2432"/>
      <c r="T463" s="2432"/>
      <c r="U463" s="2432"/>
      <c r="V463" s="2432"/>
      <c r="W463" s="2432"/>
      <c r="X463" s="2432"/>
      <c r="Y463" s="2432"/>
      <c r="Z463" s="2432"/>
      <c r="AA463" s="2432"/>
      <c r="AB463" s="2432"/>
      <c r="AC463" s="2432"/>
      <c r="AD463" s="2432"/>
      <c r="AE463" s="2432"/>
      <c r="AF463" s="2432"/>
      <c r="AL463" s="732"/>
      <c r="AM463" s="570"/>
      <c r="AN463" s="597"/>
    </row>
    <row r="464" spans="1:40" s="550" customFormat="1" ht="12.75" customHeight="1">
      <c r="A464" s="536"/>
      <c r="B464" s="14"/>
      <c r="C464" s="739"/>
      <c r="F464" s="2432"/>
      <c r="G464" s="2432"/>
      <c r="H464" s="2432"/>
      <c r="I464" s="2432"/>
      <c r="J464" s="2432"/>
      <c r="K464" s="2432"/>
      <c r="L464" s="2432"/>
      <c r="M464" s="2432"/>
      <c r="N464" s="2432"/>
      <c r="O464" s="2432"/>
      <c r="P464" s="2432"/>
      <c r="Q464" s="2432"/>
      <c r="R464" s="2432"/>
      <c r="S464" s="2432"/>
      <c r="T464" s="2432"/>
      <c r="U464" s="2432"/>
      <c r="V464" s="2432"/>
      <c r="W464" s="2432"/>
      <c r="X464" s="2432"/>
      <c r="Y464" s="2432"/>
      <c r="Z464" s="2432"/>
      <c r="AA464" s="2432"/>
      <c r="AB464" s="2432"/>
      <c r="AC464" s="2432"/>
      <c r="AD464" s="2432"/>
      <c r="AE464" s="2432"/>
      <c r="AF464" s="2432"/>
      <c r="AL464" s="732"/>
      <c r="AM464" s="570"/>
      <c r="AN464" s="597"/>
    </row>
    <row r="465" spans="1:58" s="550" customFormat="1" ht="12.75" customHeight="1">
      <c r="A465" s="536"/>
      <c r="B465" s="14"/>
      <c r="C465" s="739"/>
      <c r="F465" s="2432"/>
      <c r="G465" s="2432"/>
      <c r="H465" s="2432"/>
      <c r="I465" s="2432"/>
      <c r="J465" s="2432"/>
      <c r="K465" s="2432"/>
      <c r="L465" s="2432"/>
      <c r="M465" s="2432"/>
      <c r="N465" s="2432"/>
      <c r="O465" s="2432"/>
      <c r="P465" s="2432"/>
      <c r="Q465" s="2432"/>
      <c r="R465" s="2432"/>
      <c r="S465" s="2432"/>
      <c r="T465" s="2432"/>
      <c r="U465" s="2432"/>
      <c r="V465" s="2432"/>
      <c r="W465" s="2432"/>
      <c r="X465" s="2432"/>
      <c r="Y465" s="2432"/>
      <c r="Z465" s="2432"/>
      <c r="AA465" s="2432"/>
      <c r="AB465" s="2432"/>
      <c r="AC465" s="2432"/>
      <c r="AD465" s="2432"/>
      <c r="AE465" s="2432"/>
      <c r="AF465" s="2432"/>
      <c r="AL465" s="732"/>
      <c r="AM465" s="570"/>
      <c r="AN465" s="597"/>
    </row>
    <row r="466" spans="1:58" s="550" customFormat="1" ht="12.75" customHeight="1">
      <c r="A466" s="536"/>
      <c r="B466" s="14"/>
      <c r="C466" s="2441" t="s">
        <v>592</v>
      </c>
      <c r="D466" s="2442"/>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3" t="s">
        <v>1463</v>
      </c>
      <c r="AG466" s="2443"/>
      <c r="AH466" s="2443"/>
      <c r="AI466" s="2443"/>
      <c r="AJ466" s="2443"/>
      <c r="AK466" s="2443"/>
      <c r="AL466" s="244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8">
        <f>IF(Application!D214="N/A",AS358,AS360)</f>
        <v>10</v>
      </c>
      <c r="AL469" s="2429"/>
      <c r="AM469" s="243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3" t="s">
        <v>1512</v>
      </c>
      <c r="AF472" s="2443"/>
      <c r="AG472" s="2443"/>
      <c r="AH472" s="2443"/>
      <c r="AI472" s="2443"/>
      <c r="AJ472" s="2443"/>
      <c r="AK472" s="2443"/>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0" t="s">
        <v>592</v>
      </c>
      <c r="D478" s="2451"/>
      <c r="E478" s="761" t="s">
        <v>508</v>
      </c>
      <c r="F478" s="2528" t="s">
        <v>1518</v>
      </c>
      <c r="G478" s="2528"/>
      <c r="H478" s="2528"/>
      <c r="I478" s="2528"/>
      <c r="J478" s="2528"/>
      <c r="K478" s="2528"/>
      <c r="L478" s="2528"/>
      <c r="M478" s="2528"/>
      <c r="N478" s="2528"/>
      <c r="O478" s="2528"/>
      <c r="P478" s="2528"/>
      <c r="Q478" s="2528"/>
      <c r="R478" s="2528"/>
      <c r="S478" s="2528"/>
      <c r="T478" s="2528"/>
      <c r="U478" s="2528"/>
      <c r="V478" s="2528"/>
      <c r="W478" s="2528"/>
      <c r="X478" s="2528"/>
      <c r="Y478" s="2528"/>
      <c r="Z478" s="2528"/>
      <c r="AA478" s="2528"/>
      <c r="AB478" s="2528"/>
      <c r="AC478" s="2528"/>
      <c r="AD478" s="2528"/>
      <c r="AE478" s="2528"/>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9"/>
      <c r="G479" s="2529"/>
      <c r="H479" s="2529"/>
      <c r="I479" s="2529"/>
      <c r="J479" s="2529"/>
      <c r="K479" s="2529"/>
      <c r="L479" s="2529"/>
      <c r="M479" s="2529"/>
      <c r="N479" s="2529"/>
      <c r="O479" s="2529"/>
      <c r="P479" s="2529"/>
      <c r="Q479" s="2529"/>
      <c r="R479" s="2529"/>
      <c r="S479" s="2529"/>
      <c r="T479" s="2529"/>
      <c r="U479" s="2529"/>
      <c r="V479" s="2529"/>
      <c r="W479" s="2529"/>
      <c r="X479" s="2529"/>
      <c r="Y479" s="2529"/>
      <c r="Z479" s="2529"/>
      <c r="AA479" s="2529"/>
      <c r="AB479" s="2529"/>
      <c r="AC479" s="2529"/>
      <c r="AD479" s="2529"/>
      <c r="AE479" s="2529"/>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6" t="s">
        <v>592</v>
      </c>
      <c r="G480" s="2456"/>
      <c r="H480" s="2456"/>
      <c r="I480" s="2456"/>
      <c r="J480" s="2456"/>
      <c r="K480" s="2456"/>
      <c r="L480" s="2456"/>
      <c r="M480" s="2456"/>
      <c r="N480" s="2456"/>
      <c r="O480" s="2456"/>
      <c r="P480" s="2456"/>
      <c r="Q480" s="2456"/>
      <c r="R480" s="2456"/>
      <c r="S480" s="2456"/>
      <c r="T480" s="2456"/>
      <c r="U480" s="2456"/>
      <c r="V480" s="2456"/>
      <c r="W480" s="2456"/>
      <c r="X480" s="2456"/>
      <c r="Y480" s="2456"/>
      <c r="Z480" s="2456"/>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7" t="s">
        <v>546</v>
      </c>
      <c r="D482" s="2458"/>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6" t="s">
        <v>592</v>
      </c>
      <c r="W485" s="2436"/>
      <c r="X485" s="2436"/>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6" t="s">
        <v>592</v>
      </c>
      <c r="W487" s="2436"/>
      <c r="X487" s="2436"/>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6" t="s">
        <v>592</v>
      </c>
      <c r="W492" s="2436"/>
      <c r="X492" s="2436"/>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5"/>
      <c r="E495" s="2455"/>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6" t="s">
        <v>592</v>
      </c>
      <c r="W496" s="2436"/>
      <c r="X496" s="2436"/>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6" t="s">
        <v>592</v>
      </c>
      <c r="W498" s="2436"/>
      <c r="X498" s="2436"/>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0" t="s">
        <v>592</v>
      </c>
      <c r="D501" s="2451"/>
      <c r="E501" s="761" t="s">
        <v>508</v>
      </c>
      <c r="F501" s="2528" t="s">
        <v>1518</v>
      </c>
      <c r="G501" s="2528"/>
      <c r="H501" s="2528"/>
      <c r="I501" s="2528"/>
      <c r="J501" s="2528"/>
      <c r="K501" s="2528"/>
      <c r="L501" s="2528"/>
      <c r="M501" s="2528"/>
      <c r="N501" s="2528"/>
      <c r="O501" s="2528"/>
      <c r="P501" s="2528"/>
      <c r="Q501" s="2528"/>
      <c r="R501" s="2528"/>
      <c r="S501" s="2528"/>
      <c r="T501" s="2528"/>
      <c r="U501" s="2528"/>
      <c r="V501" s="2528"/>
      <c r="W501" s="2528"/>
      <c r="X501" s="2528"/>
      <c r="Y501" s="2528"/>
      <c r="Z501" s="2528"/>
      <c r="AA501" s="2528"/>
      <c r="AB501" s="2528"/>
      <c r="AC501" s="2528"/>
      <c r="AD501" s="2528"/>
      <c r="AE501" s="252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9"/>
      <c r="G502" s="2529"/>
      <c r="H502" s="2529"/>
      <c r="I502" s="2529"/>
      <c r="J502" s="2529"/>
      <c r="K502" s="2529"/>
      <c r="L502" s="2529"/>
      <c r="M502" s="2529"/>
      <c r="N502" s="2529"/>
      <c r="O502" s="2529"/>
      <c r="P502" s="2529"/>
      <c r="Q502" s="2529"/>
      <c r="R502" s="2529"/>
      <c r="S502" s="2529"/>
      <c r="T502" s="2529"/>
      <c r="U502" s="2529"/>
      <c r="V502" s="2529"/>
      <c r="W502" s="2529"/>
      <c r="X502" s="2529"/>
      <c r="Y502" s="2529"/>
      <c r="Z502" s="2529"/>
      <c r="AA502" s="2529"/>
      <c r="AB502" s="2529"/>
      <c r="AC502" s="2529"/>
      <c r="AD502" s="2529"/>
      <c r="AE502" s="252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9" t="s">
        <v>592</v>
      </c>
      <c r="G503" s="2449"/>
      <c r="H503" s="2449"/>
      <c r="I503" s="2449"/>
      <c r="J503" s="2449"/>
      <c r="K503" s="2449"/>
      <c r="L503" s="2449"/>
      <c r="M503" s="2449"/>
      <c r="N503" s="2449"/>
      <c r="O503" s="2449"/>
      <c r="P503" s="2449"/>
      <c r="Q503" s="2449"/>
      <c r="R503" s="2449"/>
      <c r="S503" s="2449"/>
      <c r="T503" s="2449"/>
      <c r="U503" s="2449"/>
      <c r="V503" s="2449"/>
      <c r="W503" s="2449"/>
      <c r="X503" s="2449"/>
      <c r="Y503" s="2449"/>
      <c r="Z503" s="2449"/>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0" t="s">
        <v>592</v>
      </c>
      <c r="D505" s="2451"/>
      <c r="E505" s="761" t="s">
        <v>758</v>
      </c>
      <c r="F505" s="2452" t="s">
        <v>1540</v>
      </c>
      <c r="G505" s="2452"/>
      <c r="H505" s="2452"/>
      <c r="I505" s="2452"/>
      <c r="J505" s="2452"/>
      <c r="K505" s="2452"/>
      <c r="L505" s="2452"/>
      <c r="M505" s="2452"/>
      <c r="N505" s="2452"/>
      <c r="O505" s="2452"/>
      <c r="P505" s="2452"/>
      <c r="Q505" s="2452"/>
      <c r="R505" s="2452"/>
      <c r="S505" s="2452"/>
      <c r="T505" s="2452"/>
      <c r="U505" s="2452"/>
      <c r="V505" s="2452"/>
      <c r="W505" s="2452"/>
      <c r="X505" s="2452"/>
      <c r="Y505" s="2452"/>
      <c r="Z505" s="2452"/>
      <c r="AA505" s="2452"/>
      <c r="AB505" s="2452"/>
      <c r="AC505" s="2452"/>
      <c r="AD505" s="2452"/>
      <c r="AE505" s="245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3"/>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4" t="s">
        <v>592</v>
      </c>
      <c r="G508" s="2454"/>
      <c r="H508" s="245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0" t="s">
        <v>592</v>
      </c>
      <c r="D510" s="2451"/>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0"/>
      <c r="D512" s="2455"/>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1" t="s">
        <v>592</v>
      </c>
      <c r="H513" s="2471"/>
      <c r="I513" s="2471"/>
      <c r="J513" s="2471"/>
      <c r="K513" s="2471"/>
      <c r="L513" s="2471"/>
      <c r="M513" s="2471"/>
      <c r="N513" s="2471"/>
      <c r="O513" s="2471"/>
      <c r="P513" s="2471"/>
      <c r="Q513" s="2471"/>
      <c r="R513" s="2471"/>
      <c r="S513" s="2471"/>
      <c r="T513" s="2471"/>
      <c r="U513" s="2471"/>
      <c r="V513" s="2471"/>
      <c r="W513" s="2471"/>
      <c r="X513" s="2471"/>
      <c r="Y513" s="2471"/>
      <c r="Z513" s="2471"/>
      <c r="AA513" s="2471"/>
      <c r="AB513" s="2471"/>
      <c r="AC513" s="2471"/>
      <c r="AD513" s="2471"/>
      <c r="AE513" s="2471"/>
      <c r="AF513" s="247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2" t="s">
        <v>592</v>
      </c>
      <c r="D515" s="2523"/>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2" t="s">
        <v>592</v>
      </c>
      <c r="D519" s="2523"/>
      <c r="F519" s="795" t="s">
        <v>1548</v>
      </c>
      <c r="G519" s="2432" t="s">
        <v>1549</v>
      </c>
      <c r="H519" s="2432"/>
      <c r="I519" s="2432"/>
      <c r="J519" s="2432"/>
      <c r="K519" s="2432"/>
      <c r="L519" s="2432"/>
      <c r="M519" s="2432"/>
      <c r="N519" s="2432"/>
      <c r="O519" s="2432"/>
      <c r="P519" s="2432"/>
      <c r="Q519" s="2432"/>
      <c r="R519" s="2432"/>
      <c r="S519" s="2432"/>
      <c r="T519" s="2432"/>
      <c r="U519" s="2432"/>
      <c r="V519" s="2432"/>
      <c r="W519" s="2432"/>
      <c r="X519" s="2432"/>
      <c r="Y519" s="2432"/>
      <c r="Z519" s="2432"/>
      <c r="AA519" s="2432"/>
      <c r="AB519" s="2432"/>
      <c r="AC519" s="2432"/>
      <c r="AD519" s="2432"/>
      <c r="AE519" s="2432"/>
      <c r="AF519" s="2432"/>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3"/>
      <c r="H520" s="2433"/>
      <c r="I520" s="2433"/>
      <c r="J520" s="2433"/>
      <c r="K520" s="2433"/>
      <c r="L520" s="2433"/>
      <c r="M520" s="2433"/>
      <c r="N520" s="2433"/>
      <c r="O520" s="2433"/>
      <c r="P520" s="2433"/>
      <c r="Q520" s="2433"/>
      <c r="R520" s="2433"/>
      <c r="S520" s="2433"/>
      <c r="T520" s="2433"/>
      <c r="U520" s="2433"/>
      <c r="V520" s="2433"/>
      <c r="W520" s="2433"/>
      <c r="X520" s="2433"/>
      <c r="Y520" s="2433"/>
      <c r="Z520" s="2433"/>
      <c r="AA520" s="2433"/>
      <c r="AB520" s="2433"/>
      <c r="AC520" s="2433"/>
      <c r="AD520" s="2433"/>
      <c r="AE520" s="2433"/>
      <c r="AF520" s="243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4" t="s">
        <v>592</v>
      </c>
      <c r="D523" s="2525"/>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6" t="s">
        <v>592</v>
      </c>
      <c r="G524" s="2526"/>
      <c r="H524" s="2526"/>
      <c r="I524" s="2526"/>
      <c r="J524" s="2526"/>
      <c r="K524" s="2526"/>
      <c r="L524" s="2526"/>
      <c r="M524" s="2526"/>
      <c r="N524" s="2526"/>
      <c r="O524" s="2526"/>
      <c r="P524" s="2526"/>
      <c r="Q524" s="2526"/>
      <c r="R524" s="2526"/>
      <c r="S524" s="2526"/>
      <c r="T524" s="2526"/>
      <c r="U524" s="2526"/>
      <c r="V524" s="2526"/>
      <c r="W524" s="2526"/>
      <c r="X524" s="2526"/>
      <c r="Y524" s="2526"/>
      <c r="Z524" s="2526"/>
      <c r="AA524" s="2526"/>
      <c r="AB524" s="2526"/>
      <c r="AC524" s="2526"/>
      <c r="AD524" s="2526"/>
      <c r="AE524" s="2526"/>
      <c r="AF524" s="252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7"/>
      <c r="G525" s="2527"/>
      <c r="H525" s="2527"/>
      <c r="I525" s="2527"/>
      <c r="J525" s="2527"/>
      <c r="K525" s="2527"/>
      <c r="L525" s="2527"/>
      <c r="M525" s="2527"/>
      <c r="N525" s="2527"/>
      <c r="O525" s="2527"/>
      <c r="P525" s="2527"/>
      <c r="Q525" s="2527"/>
      <c r="R525" s="2527"/>
      <c r="S525" s="2527"/>
      <c r="T525" s="2527"/>
      <c r="U525" s="2527"/>
      <c r="V525" s="2527"/>
      <c r="W525" s="2527"/>
      <c r="X525" s="2527"/>
      <c r="Y525" s="2527"/>
      <c r="Z525" s="2527"/>
      <c r="AA525" s="2527"/>
      <c r="AB525" s="2527"/>
      <c r="AC525" s="2527"/>
      <c r="AD525" s="2527"/>
      <c r="AE525" s="2527"/>
      <c r="AF525" s="252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8">
        <f>SUM(AG479:AG524)</f>
        <v>0</v>
      </c>
      <c r="AL535" s="2429"/>
      <c r="AM535" s="243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1" t="s">
        <v>1561</v>
      </c>
      <c r="AF538" s="2461"/>
      <c r="AG538" s="2461"/>
      <c r="AH538" s="2461"/>
      <c r="AI538" s="2461"/>
      <c r="AJ538" s="2461"/>
      <c r="AK538" s="2461"/>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2" t="s">
        <v>546</v>
      </c>
      <c r="D541" s="2442"/>
      <c r="E541" s="551"/>
      <c r="F541" s="2464" t="s">
        <v>1562</v>
      </c>
      <c r="G541" s="2465"/>
      <c r="H541" s="2465"/>
      <c r="I541" s="2465"/>
      <c r="J541" s="2465"/>
      <c r="K541" s="2465"/>
      <c r="L541" s="2465"/>
      <c r="M541" s="2465"/>
      <c r="N541" s="2465"/>
      <c r="O541" s="2465"/>
      <c r="P541" s="2465"/>
      <c r="Q541" s="2465"/>
      <c r="R541" s="2465"/>
      <c r="S541" s="2465"/>
      <c r="T541" s="2465"/>
      <c r="U541" s="2465"/>
      <c r="V541" s="2465"/>
      <c r="W541" s="2465"/>
      <c r="X541" s="2465"/>
      <c r="Y541" s="2465"/>
      <c r="Z541" s="2465"/>
      <c r="AA541" s="2465"/>
      <c r="AB541" s="2465"/>
      <c r="AC541" s="2465"/>
      <c r="AD541" s="2465"/>
      <c r="AE541" s="2465"/>
      <c r="AF541" s="2465"/>
      <c r="AG541" s="2465"/>
      <c r="AH541" s="2465"/>
      <c r="AI541" s="2465"/>
      <c r="AJ541" s="2465"/>
      <c r="AK541" s="2465"/>
      <c r="AL541" s="2466"/>
      <c r="AM541" s="595"/>
      <c r="AN541" s="597"/>
    </row>
    <row r="542" spans="1:81" s="550" customFormat="1" ht="12.75" customHeight="1">
      <c r="A542" s="539"/>
      <c r="B542" s="539"/>
      <c r="C542" s="551"/>
      <c r="D542" s="551"/>
      <c r="E542" s="551"/>
      <c r="F542" s="2467"/>
      <c r="G542" s="2468"/>
      <c r="H542" s="2468"/>
      <c r="I542" s="2468"/>
      <c r="J542" s="2468"/>
      <c r="K542" s="2468"/>
      <c r="L542" s="2468"/>
      <c r="M542" s="2468"/>
      <c r="N542" s="2468"/>
      <c r="O542" s="2468"/>
      <c r="P542" s="2468"/>
      <c r="Q542" s="2468"/>
      <c r="R542" s="2468"/>
      <c r="S542" s="2468"/>
      <c r="T542" s="2468"/>
      <c r="U542" s="2468"/>
      <c r="V542" s="2468"/>
      <c r="W542" s="2468"/>
      <c r="X542" s="2468"/>
      <c r="Y542" s="2468"/>
      <c r="Z542" s="2468"/>
      <c r="AA542" s="2468"/>
      <c r="AB542" s="2468"/>
      <c r="AC542" s="2468"/>
      <c r="AD542" s="2468"/>
      <c r="AE542" s="2468"/>
      <c r="AF542" s="2468"/>
      <c r="AG542" s="2468"/>
      <c r="AH542" s="2468"/>
      <c r="AI542" s="2468"/>
      <c r="AJ542" s="2468"/>
      <c r="AK542" s="2468"/>
      <c r="AL542" s="246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2" t="s">
        <v>592</v>
      </c>
      <c r="D544" s="2442"/>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0" t="s">
        <v>1564</v>
      </c>
      <c r="G545" s="2421"/>
      <c r="H545" s="2421"/>
      <c r="I545" s="2421"/>
      <c r="J545" s="2421"/>
      <c r="K545" s="2421"/>
      <c r="L545" s="2421"/>
      <c r="M545" s="2421"/>
      <c r="N545" s="2421"/>
      <c r="O545" s="2421"/>
      <c r="P545" s="2421"/>
      <c r="Q545" s="2421"/>
      <c r="R545" s="2421"/>
      <c r="S545" s="2421"/>
      <c r="T545" s="2421"/>
      <c r="U545" s="2421"/>
      <c r="V545" s="2421"/>
      <c r="W545" s="2421"/>
      <c r="X545" s="2421"/>
      <c r="Y545" s="2421"/>
      <c r="Z545" s="2421"/>
      <c r="AA545" s="2421"/>
      <c r="AB545" s="2421"/>
      <c r="AC545" s="2421"/>
      <c r="AD545" s="2421"/>
      <c r="AE545" s="2421"/>
      <c r="AF545" s="2421"/>
      <c r="AG545" s="2421"/>
      <c r="AH545" s="2421"/>
      <c r="AI545" s="2421"/>
      <c r="AJ545" s="2421"/>
      <c r="AK545" s="2421"/>
      <c r="AL545" s="2422"/>
      <c r="AM545" s="595"/>
      <c r="AN545" s="597"/>
      <c r="AS545" s="870"/>
      <c r="AT545" s="870"/>
      <c r="AU545" s="870"/>
      <c r="AV545" s="870"/>
      <c r="AW545" s="870"/>
    </row>
    <row r="546" spans="1:49" s="550" customFormat="1" ht="12.75" customHeight="1">
      <c r="B546" s="806"/>
      <c r="C546" s="806"/>
      <c r="D546" s="806"/>
      <c r="E546" s="806"/>
      <c r="F546" s="2420"/>
      <c r="G546" s="2421"/>
      <c r="H546" s="2421"/>
      <c r="I546" s="2421"/>
      <c r="J546" s="2421"/>
      <c r="K546" s="2421"/>
      <c r="L546" s="2421"/>
      <c r="M546" s="2421"/>
      <c r="N546" s="2421"/>
      <c r="O546" s="2421"/>
      <c r="P546" s="2421"/>
      <c r="Q546" s="2421"/>
      <c r="R546" s="2421"/>
      <c r="S546" s="2421"/>
      <c r="T546" s="2421"/>
      <c r="U546" s="2421"/>
      <c r="V546" s="2421"/>
      <c r="W546" s="2421"/>
      <c r="X546" s="2421"/>
      <c r="Y546" s="2421"/>
      <c r="Z546" s="2421"/>
      <c r="AA546" s="2421"/>
      <c r="AB546" s="2421"/>
      <c r="AC546" s="2421"/>
      <c r="AD546" s="2421"/>
      <c r="AE546" s="2421"/>
      <c r="AF546" s="2421"/>
      <c r="AG546" s="2421"/>
      <c r="AH546" s="2421"/>
      <c r="AI546" s="2421"/>
      <c r="AJ546" s="2421"/>
      <c r="AK546" s="2421"/>
      <c r="AL546" s="2422"/>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0" t="s">
        <v>1565</v>
      </c>
      <c r="G548" s="2421"/>
      <c r="H548" s="2421"/>
      <c r="I548" s="2421"/>
      <c r="J548" s="2421"/>
      <c r="K548" s="2421"/>
      <c r="L548" s="2421"/>
      <c r="M548" s="2421"/>
      <c r="N548" s="2421"/>
      <c r="O548" s="2421"/>
      <c r="P548" s="2421"/>
      <c r="Q548" s="2421"/>
      <c r="R548" s="2421"/>
      <c r="S548" s="2421"/>
      <c r="T548" s="2421"/>
      <c r="U548" s="2421"/>
      <c r="V548" s="2421"/>
      <c r="W548" s="2421"/>
      <c r="X548" s="2421"/>
      <c r="Y548" s="2421"/>
      <c r="Z548" s="2421"/>
      <c r="AA548" s="2421"/>
      <c r="AB548" s="2421"/>
      <c r="AC548" s="2421"/>
      <c r="AD548" s="2421"/>
      <c r="AE548" s="2421"/>
      <c r="AF548" s="2421"/>
      <c r="AG548" s="2421"/>
      <c r="AH548" s="2421"/>
      <c r="AI548" s="2421"/>
      <c r="AJ548" s="2421"/>
      <c r="AK548" s="2421"/>
      <c r="AL548" s="813"/>
      <c r="AM548" s="595"/>
      <c r="AN548" s="597"/>
    </row>
    <row r="549" spans="1:49" s="550" customFormat="1" ht="12.75" customHeight="1">
      <c r="B549" s="806"/>
      <c r="C549" s="806"/>
      <c r="D549" s="806"/>
      <c r="E549" s="806"/>
      <c r="F549" s="2423"/>
      <c r="G549" s="2424"/>
      <c r="H549" s="2424"/>
      <c r="I549" s="2424"/>
      <c r="J549" s="2424"/>
      <c r="K549" s="2424"/>
      <c r="L549" s="2424"/>
      <c r="M549" s="2424"/>
      <c r="N549" s="2424"/>
      <c r="O549" s="2424"/>
      <c r="P549" s="2424"/>
      <c r="Q549" s="2424"/>
      <c r="R549" s="2424"/>
      <c r="S549" s="2424"/>
      <c r="T549" s="2424"/>
      <c r="U549" s="2424"/>
      <c r="V549" s="2424"/>
      <c r="W549" s="2424"/>
      <c r="X549" s="2424"/>
      <c r="Y549" s="2424"/>
      <c r="Z549" s="2424"/>
      <c r="AA549" s="2424"/>
      <c r="AB549" s="2424"/>
      <c r="AC549" s="2424"/>
      <c r="AD549" s="2424"/>
      <c r="AE549" s="2424"/>
      <c r="AF549" s="2424"/>
      <c r="AG549" s="2424"/>
      <c r="AH549" s="2424"/>
      <c r="AI549" s="2424"/>
      <c r="AJ549" s="2424"/>
      <c r="AK549" s="242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9">
        <f>Application!AJ992</f>
        <v>138763131</v>
      </c>
      <c r="AQ550" s="2419"/>
      <c r="AR550" s="2419"/>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5">
        <f>'Sources and Uses Budget'!S107+'Sources and Uses Budget'!T107</f>
        <v>93791846</v>
      </c>
      <c r="AG551" s="2425"/>
      <c r="AH551" s="2425"/>
      <c r="AI551" s="2425"/>
      <c r="AJ551" s="2425"/>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6">
        <f>IFERROR(AP559,0)</f>
        <v>281689156.18000001</v>
      </c>
      <c r="AG552" s="2426"/>
      <c r="AH552" s="2426"/>
      <c r="AI552" s="2426"/>
      <c r="AJ552" s="2426"/>
      <c r="AK552" s="595"/>
      <c r="AL552" s="595"/>
      <c r="AM552" s="595"/>
      <c r="AN552" s="597"/>
      <c r="AP552" s="2419">
        <f>Application!AJ1045</f>
        <v>22202100.960000001</v>
      </c>
      <c r="AQ552" s="2419"/>
      <c r="AR552" s="2419"/>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7">
        <f>IFERROR(ROUNDDOWN(IF(C544="YES",((1-(AF551/AF552))*2),(1-(AF551/AF552))),2),0)</f>
        <v>0.66</v>
      </c>
      <c r="AG553" s="2427"/>
      <c r="AH553" s="2427"/>
      <c r="AI553" s="2427"/>
      <c r="AJ553" s="2427"/>
      <c r="AK553" s="595"/>
      <c r="AL553" s="595"/>
      <c r="AM553" s="595"/>
      <c r="AN553" s="597"/>
      <c r="AP553" s="2415">
        <f>Application!AJ1049</f>
        <v>86033141.219999999</v>
      </c>
      <c r="AQ553" s="2415"/>
      <c r="AR553" s="2415"/>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4">
        <f>IF(((AP552+AP553)/AP550)&gt;0.8,0.8,((AP552+AP553)/AP550))</f>
        <v>0.78</v>
      </c>
      <c r="AQ554" s="2434"/>
      <c r="AR554" s="2434"/>
      <c r="AS554" s="550" t="s">
        <v>2172</v>
      </c>
    </row>
    <row r="555" spans="1:49" s="550" customFormat="1" ht="12.75" customHeight="1">
      <c r="A555" s="624"/>
      <c r="B555" s="2501" t="s">
        <v>2032</v>
      </c>
      <c r="C555" s="2502"/>
      <c r="D555" s="2502"/>
      <c r="E555" s="2502"/>
      <c r="F555" s="2502"/>
      <c r="G555" s="2502"/>
      <c r="H555" s="2502"/>
      <c r="I555" s="2502"/>
      <c r="J555" s="2502"/>
      <c r="K555" s="2502"/>
      <c r="L555" s="2502"/>
      <c r="M555" s="2502"/>
      <c r="N555" s="2502"/>
      <c r="O555" s="2502"/>
      <c r="P555" s="2502"/>
      <c r="Q555" s="2502"/>
      <c r="R555" s="2502"/>
      <c r="S555" s="2502"/>
      <c r="T555" s="2502"/>
      <c r="U555" s="2502"/>
      <c r="V555" s="2502"/>
      <c r="W555" s="2502"/>
      <c r="X555" s="2502"/>
      <c r="Y555" s="2502"/>
      <c r="Z555" s="2502"/>
      <c r="AA555" s="2502"/>
      <c r="AB555" s="2502"/>
      <c r="AC555" s="2502"/>
      <c r="AD555" s="2502"/>
      <c r="AE555" s="2502"/>
      <c r="AF555" s="2502"/>
      <c r="AG555" s="2502"/>
      <c r="AH555" s="2502"/>
      <c r="AI555" s="2502"/>
      <c r="AJ555" s="2503"/>
      <c r="AK555" s="595"/>
      <c r="AL555" s="595"/>
      <c r="AM555" s="595"/>
      <c r="AN555" s="597"/>
    </row>
    <row r="556" spans="1:49" s="550" customFormat="1" ht="12.75" customHeight="1">
      <c r="A556" s="624"/>
      <c r="B556" s="2504"/>
      <c r="C556" s="2505"/>
      <c r="D556" s="2505"/>
      <c r="E556" s="2505"/>
      <c r="F556" s="2505"/>
      <c r="G556" s="2505"/>
      <c r="H556" s="2505"/>
      <c r="I556" s="2505"/>
      <c r="J556" s="2505"/>
      <c r="K556" s="2505"/>
      <c r="L556" s="2505"/>
      <c r="M556" s="2505"/>
      <c r="N556" s="2505"/>
      <c r="O556" s="2505"/>
      <c r="P556" s="2505"/>
      <c r="Q556" s="2505"/>
      <c r="R556" s="2505"/>
      <c r="S556" s="2505"/>
      <c r="T556" s="2505"/>
      <c r="U556" s="2505"/>
      <c r="V556" s="2505"/>
      <c r="W556" s="2505"/>
      <c r="X556" s="2505"/>
      <c r="Y556" s="2505"/>
      <c r="Z556" s="2505"/>
      <c r="AA556" s="2505"/>
      <c r="AB556" s="2505"/>
      <c r="AC556" s="2505"/>
      <c r="AD556" s="2505"/>
      <c r="AE556" s="2505"/>
      <c r="AF556" s="2505"/>
      <c r="AG556" s="2505"/>
      <c r="AH556" s="2505"/>
      <c r="AI556" s="2505"/>
      <c r="AJ556" s="2506"/>
      <c r="AK556" s="595"/>
      <c r="AL556" s="595"/>
      <c r="AM556" s="595"/>
      <c r="AN556" s="597"/>
      <c r="AP556" s="2419">
        <f>AP557-AP552-AP553</f>
        <v>173453914</v>
      </c>
      <c r="AQ556" s="2435"/>
      <c r="AR556" s="2435"/>
      <c r="AS556" s="550" t="s">
        <v>2174</v>
      </c>
    </row>
    <row r="557" spans="1:49" s="550" customFormat="1" ht="12.75" customHeight="1">
      <c r="A557" s="624"/>
      <c r="B557" s="2507"/>
      <c r="C557" s="2508"/>
      <c r="D557" s="2508"/>
      <c r="E557" s="2508"/>
      <c r="F557" s="2508"/>
      <c r="G557" s="2508"/>
      <c r="H557" s="2508"/>
      <c r="I557" s="2508"/>
      <c r="J557" s="2508"/>
      <c r="K557" s="2508"/>
      <c r="L557" s="2508"/>
      <c r="M557" s="2508"/>
      <c r="N557" s="2508"/>
      <c r="O557" s="2508"/>
      <c r="P557" s="2508"/>
      <c r="Q557" s="2508"/>
      <c r="R557" s="2508"/>
      <c r="S557" s="2508"/>
      <c r="T557" s="2508"/>
      <c r="U557" s="2508"/>
      <c r="V557" s="2508"/>
      <c r="W557" s="2508"/>
      <c r="X557" s="2508"/>
      <c r="Y557" s="2508"/>
      <c r="Z557" s="2508"/>
      <c r="AA557" s="2508"/>
      <c r="AB557" s="2508"/>
      <c r="AC557" s="2508"/>
      <c r="AD557" s="2508"/>
      <c r="AE557" s="2508"/>
      <c r="AF557" s="2508"/>
      <c r="AG557" s="2508"/>
      <c r="AH557" s="2508"/>
      <c r="AI557" s="2508"/>
      <c r="AJ557" s="2509"/>
      <c r="AK557" s="595"/>
      <c r="AL557" s="595"/>
      <c r="AM557" s="595"/>
      <c r="AN557" s="597"/>
      <c r="AP557" s="2419">
        <f>Application!AJ1053</f>
        <v>281689156.18000001</v>
      </c>
      <c r="AQ557" s="2419"/>
      <c r="AR557" s="2419"/>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0">
        <f>IFERROR(IF(AND(C541="N/A",C544="N/A"),0,IF(AF553=0,0,IF((AF553*100)&gt;12,12,(AF553*100)))),0)</f>
        <v>12</v>
      </c>
      <c r="AL559" s="2510"/>
      <c r="AM559" s="2511"/>
      <c r="AN559" s="597"/>
      <c r="AP559" s="2404">
        <f>AP556+(AP550*AP554)</f>
        <v>281689156.18000001</v>
      </c>
      <c r="AQ559" s="2405"/>
      <c r="AR559" s="240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1" t="s">
        <v>1315</v>
      </c>
      <c r="AF562" s="2461"/>
      <c r="AG562" s="2461"/>
      <c r="AH562" s="2461"/>
      <c r="AI562" s="2461"/>
      <c r="AJ562" s="2461"/>
      <c r="AK562" s="2461"/>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1" t="s">
        <v>2023</v>
      </c>
      <c r="C564" s="2421"/>
      <c r="D564" s="2421"/>
      <c r="E564" s="2421"/>
      <c r="F564" s="2421"/>
      <c r="G564" s="2421"/>
      <c r="H564" s="2421"/>
      <c r="I564" s="2421"/>
      <c r="J564" s="2421"/>
      <c r="K564" s="2421"/>
      <c r="L564" s="2421"/>
      <c r="M564" s="2421"/>
      <c r="N564" s="2421"/>
      <c r="O564" s="2421"/>
      <c r="P564" s="2421"/>
      <c r="Q564" s="2421"/>
      <c r="R564" s="2421"/>
      <c r="S564" s="2421"/>
      <c r="T564" s="2421"/>
      <c r="U564" s="2421"/>
      <c r="V564" s="2421"/>
      <c r="W564" s="2421"/>
      <c r="X564" s="2421"/>
      <c r="Y564" s="2421"/>
      <c r="Z564" s="2421"/>
      <c r="AA564" s="2421"/>
      <c r="AB564" s="2421"/>
      <c r="AC564" s="2421"/>
      <c r="AD564" s="2421"/>
      <c r="AE564" s="2421"/>
      <c r="AF564" s="2421"/>
      <c r="AG564" s="2421"/>
      <c r="AH564" s="2421"/>
      <c r="AI564" s="2421"/>
      <c r="AJ564" s="2421"/>
      <c r="AK564" s="642"/>
      <c r="AL564" s="573"/>
      <c r="AM564" s="603"/>
      <c r="AN564" s="597"/>
    </row>
    <row r="565" spans="1:42" s="550" customFormat="1" ht="12.75" customHeight="1">
      <c r="A565" s="603"/>
      <c r="B565" s="2421"/>
      <c r="C565" s="2421"/>
      <c r="D565" s="2421"/>
      <c r="E565" s="2421"/>
      <c r="F565" s="2421"/>
      <c r="G565" s="2421"/>
      <c r="H565" s="2421"/>
      <c r="I565" s="2421"/>
      <c r="J565" s="2421"/>
      <c r="K565" s="2421"/>
      <c r="L565" s="2421"/>
      <c r="M565" s="2421"/>
      <c r="N565" s="2421"/>
      <c r="O565" s="2421"/>
      <c r="P565" s="2421"/>
      <c r="Q565" s="2421"/>
      <c r="R565" s="2421"/>
      <c r="S565" s="2421"/>
      <c r="T565" s="2421"/>
      <c r="U565" s="2421"/>
      <c r="V565" s="2421"/>
      <c r="W565" s="2421"/>
      <c r="X565" s="2421"/>
      <c r="Y565" s="2421"/>
      <c r="Z565" s="2421"/>
      <c r="AA565" s="2421"/>
      <c r="AB565" s="2421"/>
      <c r="AC565" s="2421"/>
      <c r="AD565" s="2421"/>
      <c r="AE565" s="2421"/>
      <c r="AF565" s="2421"/>
      <c r="AG565" s="2421"/>
      <c r="AH565" s="2421"/>
      <c r="AI565" s="2421"/>
      <c r="AJ565" s="2421"/>
      <c r="AK565" s="642"/>
      <c r="AL565" s="573"/>
      <c r="AM565" s="603"/>
      <c r="AN565" s="597"/>
    </row>
    <row r="566" spans="1:42" s="550" customFormat="1" ht="12.75" customHeight="1">
      <c r="A566" s="603"/>
      <c r="B566" s="2421"/>
      <c r="C566" s="2421"/>
      <c r="D566" s="2421"/>
      <c r="E566" s="2421"/>
      <c r="F566" s="2421"/>
      <c r="G566" s="2421"/>
      <c r="H566" s="2421"/>
      <c r="I566" s="2421"/>
      <c r="J566" s="2421"/>
      <c r="K566" s="2421"/>
      <c r="L566" s="2421"/>
      <c r="M566" s="2421"/>
      <c r="N566" s="2421"/>
      <c r="O566" s="2421"/>
      <c r="P566" s="2421"/>
      <c r="Q566" s="2421"/>
      <c r="R566" s="2421"/>
      <c r="S566" s="2421"/>
      <c r="T566" s="2421"/>
      <c r="U566" s="2421"/>
      <c r="V566" s="2421"/>
      <c r="W566" s="2421"/>
      <c r="X566" s="2421"/>
      <c r="Y566" s="2421"/>
      <c r="Z566" s="2421"/>
      <c r="AA566" s="2421"/>
      <c r="AB566" s="2421"/>
      <c r="AC566" s="2421"/>
      <c r="AD566" s="2421"/>
      <c r="AE566" s="2421"/>
      <c r="AF566" s="2421"/>
      <c r="AG566" s="2421"/>
      <c r="AH566" s="2421"/>
      <c r="AI566" s="2421"/>
      <c r="AJ566" s="2421"/>
      <c r="AK566" s="642"/>
      <c r="AL566" s="573"/>
      <c r="AM566" s="603"/>
      <c r="AN566" s="597"/>
    </row>
    <row r="567" spans="1:42" s="550" customFormat="1" ht="12.75" customHeight="1">
      <c r="A567" s="603"/>
      <c r="B567" s="2421"/>
      <c r="C567" s="2421"/>
      <c r="D567" s="2421"/>
      <c r="E567" s="2421"/>
      <c r="F567" s="2421"/>
      <c r="G567" s="2421"/>
      <c r="H567" s="2421"/>
      <c r="I567" s="2421"/>
      <c r="J567" s="2421"/>
      <c r="K567" s="2421"/>
      <c r="L567" s="2421"/>
      <c r="M567" s="2421"/>
      <c r="N567" s="2421"/>
      <c r="O567" s="2421"/>
      <c r="P567" s="2421"/>
      <c r="Q567" s="2421"/>
      <c r="R567" s="2421"/>
      <c r="S567" s="2421"/>
      <c r="T567" s="2421"/>
      <c r="U567" s="2421"/>
      <c r="V567" s="2421"/>
      <c r="W567" s="2421"/>
      <c r="X567" s="2421"/>
      <c r="Y567" s="2421"/>
      <c r="Z567" s="2421"/>
      <c r="AA567" s="2421"/>
      <c r="AB567" s="2421"/>
      <c r="AC567" s="2421"/>
      <c r="AD567" s="2421"/>
      <c r="AE567" s="2421"/>
      <c r="AF567" s="2421"/>
      <c r="AG567" s="2421"/>
      <c r="AH567" s="2421"/>
      <c r="AI567" s="2421"/>
      <c r="AJ567" s="2421"/>
      <c r="AK567" s="642"/>
      <c r="AL567" s="573"/>
      <c r="AM567" s="603"/>
      <c r="AN567" s="597"/>
    </row>
    <row r="568" spans="1:42" s="550" customFormat="1" ht="12.75" customHeight="1">
      <c r="A568" s="603"/>
      <c r="B568" s="2421"/>
      <c r="C568" s="2421"/>
      <c r="D568" s="2421"/>
      <c r="E568" s="2421"/>
      <c r="F568" s="2421"/>
      <c r="G568" s="2421"/>
      <c r="H568" s="2421"/>
      <c r="I568" s="2421"/>
      <c r="J568" s="2421"/>
      <c r="K568" s="2421"/>
      <c r="L568" s="2421"/>
      <c r="M568" s="2421"/>
      <c r="N568" s="2421"/>
      <c r="O568" s="2421"/>
      <c r="P568" s="2421"/>
      <c r="Q568" s="2421"/>
      <c r="R568" s="2421"/>
      <c r="S568" s="2421"/>
      <c r="T568" s="2421"/>
      <c r="U568" s="2421"/>
      <c r="V568" s="2421"/>
      <c r="W568" s="2421"/>
      <c r="X568" s="2421"/>
      <c r="Y568" s="2421"/>
      <c r="Z568" s="2421"/>
      <c r="AA568" s="2421"/>
      <c r="AB568" s="2421"/>
      <c r="AC568" s="2421"/>
      <c r="AD568" s="2421"/>
      <c r="AE568" s="2421"/>
      <c r="AF568" s="2421"/>
      <c r="AG568" s="2421"/>
      <c r="AH568" s="2421"/>
      <c r="AI568" s="2421"/>
      <c r="AJ568" s="2421"/>
      <c r="AK568" s="642"/>
      <c r="AL568" s="573"/>
      <c r="AM568" s="603"/>
      <c r="AN568" s="597"/>
    </row>
    <row r="569" spans="1:42" s="550" customFormat="1" ht="12.75" customHeight="1">
      <c r="A569" s="603"/>
      <c r="B569" s="2421"/>
      <c r="C569" s="2421"/>
      <c r="D569" s="2421"/>
      <c r="E569" s="2421"/>
      <c r="F569" s="2421"/>
      <c r="G569" s="2421"/>
      <c r="H569" s="2421"/>
      <c r="I569" s="2421"/>
      <c r="J569" s="2421"/>
      <c r="K569" s="2421"/>
      <c r="L569" s="2421"/>
      <c r="M569" s="2421"/>
      <c r="N569" s="2421"/>
      <c r="O569" s="2421"/>
      <c r="P569" s="2421"/>
      <c r="Q569" s="2421"/>
      <c r="R569" s="2421"/>
      <c r="S569" s="2421"/>
      <c r="T569" s="2421"/>
      <c r="U569" s="2421"/>
      <c r="V569" s="2421"/>
      <c r="W569" s="2421"/>
      <c r="X569" s="2421"/>
      <c r="Y569" s="2421"/>
      <c r="Z569" s="2421"/>
      <c r="AA569" s="2421"/>
      <c r="AB569" s="2421"/>
      <c r="AC569" s="2421"/>
      <c r="AD569" s="2421"/>
      <c r="AE569" s="2421"/>
      <c r="AF569" s="2421"/>
      <c r="AG569" s="2421"/>
      <c r="AH569" s="2421"/>
      <c r="AI569" s="2421"/>
      <c r="AJ569" s="2421"/>
      <c r="AK569" s="642"/>
      <c r="AL569" s="573"/>
      <c r="AM569" s="603"/>
      <c r="AN569" s="597"/>
    </row>
    <row r="570" spans="1:42" s="550" customFormat="1" ht="12.75" customHeight="1">
      <c r="A570" s="603"/>
      <c r="B570" s="2421"/>
      <c r="C570" s="2421"/>
      <c r="D570" s="2421"/>
      <c r="E570" s="2421"/>
      <c r="F570" s="2421"/>
      <c r="G570" s="2421"/>
      <c r="H570" s="2421"/>
      <c r="I570" s="2421"/>
      <c r="J570" s="2421"/>
      <c r="K570" s="2421"/>
      <c r="L570" s="2421"/>
      <c r="M570" s="2421"/>
      <c r="N570" s="2421"/>
      <c r="O570" s="2421"/>
      <c r="P570" s="2421"/>
      <c r="Q570" s="2421"/>
      <c r="R570" s="2421"/>
      <c r="S570" s="2421"/>
      <c r="T570" s="2421"/>
      <c r="U570" s="2421"/>
      <c r="V570" s="2421"/>
      <c r="W570" s="2421"/>
      <c r="X570" s="2421"/>
      <c r="Y570" s="2421"/>
      <c r="Z570" s="2421"/>
      <c r="AA570" s="2421"/>
      <c r="AB570" s="2421"/>
      <c r="AC570" s="2421"/>
      <c r="AD570" s="2421"/>
      <c r="AE570" s="2421"/>
      <c r="AF570" s="2421"/>
      <c r="AG570" s="2421"/>
      <c r="AH570" s="2421"/>
      <c r="AI570" s="2421"/>
      <c r="AJ570" s="2421"/>
      <c r="AK570" s="642"/>
      <c r="AL570" s="573"/>
      <c r="AM570" s="603"/>
      <c r="AN570" s="597"/>
    </row>
    <row r="571" spans="1:42" ht="12.75" customHeight="1">
      <c r="A571" s="603"/>
      <c r="B571" s="2421"/>
      <c r="C571" s="2421"/>
      <c r="D571" s="2421"/>
      <c r="E571" s="2421"/>
      <c r="F571" s="2421"/>
      <c r="G571" s="2421"/>
      <c r="H571" s="2421"/>
      <c r="I571" s="2421"/>
      <c r="J571" s="2421"/>
      <c r="K571" s="2421"/>
      <c r="L571" s="2421"/>
      <c r="M571" s="2421"/>
      <c r="N571" s="2421"/>
      <c r="O571" s="2421"/>
      <c r="P571" s="2421"/>
      <c r="Q571" s="2421"/>
      <c r="R571" s="2421"/>
      <c r="S571" s="2421"/>
      <c r="T571" s="2421"/>
      <c r="U571" s="2421"/>
      <c r="V571" s="2421"/>
      <c r="W571" s="2421"/>
      <c r="X571" s="2421"/>
      <c r="Y571" s="2421"/>
      <c r="Z571" s="2421"/>
      <c r="AA571" s="2421"/>
      <c r="AB571" s="2421"/>
      <c r="AC571" s="2421"/>
      <c r="AD571" s="2421"/>
      <c r="AE571" s="2421"/>
      <c r="AF571" s="2421"/>
      <c r="AG571" s="2421"/>
      <c r="AH571" s="2421"/>
      <c r="AI571" s="2421"/>
      <c r="AJ571" s="2421"/>
      <c r="AK571" s="642"/>
      <c r="AL571" s="573"/>
      <c r="AM571" s="603"/>
    </row>
    <row r="572" spans="1:42" s="550" customFormat="1" ht="12.75" customHeight="1">
      <c r="B572" s="2421"/>
      <c r="C572" s="2421"/>
      <c r="D572" s="2421"/>
      <c r="E572" s="2421"/>
      <c r="F572" s="2421"/>
      <c r="G572" s="2421"/>
      <c r="H572" s="2421"/>
      <c r="I572" s="2421"/>
      <c r="J572" s="2421"/>
      <c r="K572" s="2421"/>
      <c r="L572" s="2421"/>
      <c r="M572" s="2421"/>
      <c r="N572" s="2421"/>
      <c r="O572" s="2421"/>
      <c r="P572" s="2421"/>
      <c r="Q572" s="2421"/>
      <c r="R572" s="2421"/>
      <c r="S572" s="2421"/>
      <c r="T572" s="2421"/>
      <c r="U572" s="2421"/>
      <c r="V572" s="2421"/>
      <c r="W572" s="2421"/>
      <c r="X572" s="2421"/>
      <c r="Y572" s="2421"/>
      <c r="Z572" s="2421"/>
      <c r="AA572" s="2421"/>
      <c r="AB572" s="2421"/>
      <c r="AC572" s="2421"/>
      <c r="AD572" s="2421"/>
      <c r="AE572" s="2421"/>
      <c r="AF572" s="2421"/>
      <c r="AG572" s="2421"/>
      <c r="AH572" s="2421"/>
      <c r="AI572" s="2421"/>
      <c r="AJ572" s="242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1" t="s">
        <v>1339</v>
      </c>
      <c r="AG578" s="2521"/>
      <c r="AH578" s="2521"/>
      <c r="AI578" s="2521"/>
      <c r="AJ578" s="2521"/>
      <c r="AK578" s="2521"/>
      <c r="AL578" s="2521"/>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1" t="s">
        <v>1397</v>
      </c>
      <c r="AG585" s="2521"/>
      <c r="AH585" s="2521"/>
      <c r="AI585" s="2521"/>
      <c r="AJ585" s="2521"/>
      <c r="AK585" s="2521"/>
      <c r="AL585" s="2521"/>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1" t="s">
        <v>1379</v>
      </c>
      <c r="AG591" s="2521"/>
      <c r="AH591" s="2521"/>
      <c r="AI591" s="2521"/>
      <c r="AJ591" s="2521"/>
      <c r="AK591" s="2521"/>
      <c r="AL591" s="2521"/>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1" t="s">
        <v>1400</v>
      </c>
      <c r="AG597" s="2521"/>
      <c r="AH597" s="2521"/>
      <c r="AI597" s="2521"/>
      <c r="AJ597" s="2521"/>
      <c r="AK597" s="2521"/>
      <c r="AL597" s="2521"/>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7" t="s">
        <v>1185</v>
      </c>
      <c r="P601" s="2537"/>
      <c r="Q601" s="2537"/>
      <c r="R601" s="2537"/>
      <c r="S601" s="2537"/>
      <c r="T601" s="2537"/>
      <c r="U601" s="2537"/>
      <c r="V601" s="2537"/>
      <c r="W601" s="2537"/>
      <c r="X601" s="2537"/>
      <c r="Y601" s="2537"/>
      <c r="Z601" s="2537"/>
      <c r="AA601" s="2537"/>
      <c r="AB601" s="253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1" t="s">
        <v>1353</v>
      </c>
      <c r="AG603" s="2521"/>
      <c r="AH603" s="2521"/>
      <c r="AI603" s="2521"/>
      <c r="AJ603" s="2521"/>
      <c r="AK603" s="2521"/>
      <c r="AL603" s="2521"/>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5" t="s">
        <v>688</v>
      </c>
      <c r="I606" s="2445"/>
      <c r="J606" s="936"/>
      <c r="K606" s="936"/>
      <c r="L606" s="936"/>
      <c r="N606" s="22"/>
      <c r="O606" s="22"/>
      <c r="P606" s="22"/>
      <c r="Q606" s="1151" t="s">
        <v>2177</v>
      </c>
      <c r="R606" s="2538"/>
      <c r="S606" s="2538"/>
      <c r="T606" s="2538"/>
      <c r="U606" s="2538"/>
      <c r="V606" s="2538"/>
      <c r="W606" s="2538"/>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9"/>
      <c r="Z608" s="2539"/>
      <c r="AA608" s="2539"/>
      <c r="AB608" s="2539"/>
      <c r="AC608" s="2539"/>
      <c r="AD608" s="2539"/>
      <c r="AE608" s="2539"/>
      <c r="AF608" s="2539"/>
      <c r="AG608" s="2539"/>
      <c r="AH608" s="2539"/>
      <c r="AI608" s="2539"/>
      <c r="AJ608" s="2539"/>
      <c r="AK608" s="2539"/>
      <c r="AL608" s="2539"/>
      <c r="AM608" s="2540"/>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6" t="s">
        <v>592</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3" t="s">
        <v>592</v>
      </c>
      <c r="C616" s="2393"/>
      <c r="D616" s="642"/>
      <c r="E616" s="2421" t="s">
        <v>1404</v>
      </c>
      <c r="F616" s="2421"/>
      <c r="G616" s="2421"/>
      <c r="H616" s="2421"/>
      <c r="I616" s="2421"/>
      <c r="J616" s="2421"/>
      <c r="K616" s="2421"/>
      <c r="L616" s="2421"/>
      <c r="M616" s="2421"/>
      <c r="N616" s="2421"/>
      <c r="O616" s="2421"/>
      <c r="P616" s="2421"/>
      <c r="Q616" s="2421"/>
      <c r="R616" s="2421"/>
      <c r="S616" s="2421"/>
      <c r="T616" s="2421"/>
      <c r="U616" s="2421"/>
      <c r="V616" s="2421"/>
      <c r="W616" s="2421"/>
      <c r="X616" s="2421"/>
      <c r="Y616" s="2421"/>
      <c r="Z616" s="2421"/>
      <c r="AA616" s="2421"/>
      <c r="AB616" s="2421"/>
      <c r="AC616" s="2421"/>
      <c r="AD616" s="2421"/>
      <c r="AE616" s="2421"/>
      <c r="AF616" s="2421"/>
      <c r="AG616" s="2421"/>
      <c r="AH616" s="642"/>
      <c r="AI616" s="642"/>
      <c r="AJ616" s="642"/>
      <c r="AK616" s="642"/>
      <c r="AL616" s="642"/>
      <c r="AN616" s="597"/>
    </row>
    <row r="617" spans="1:42" s="550" customFormat="1" ht="12.75" customHeight="1">
      <c r="B617" s="536"/>
      <c r="C617" s="933"/>
      <c r="D617" s="642"/>
      <c r="E617" s="2421"/>
      <c r="F617" s="2421"/>
      <c r="G617" s="2421"/>
      <c r="H617" s="2421"/>
      <c r="I617" s="2421"/>
      <c r="J617" s="2421"/>
      <c r="K617" s="2421"/>
      <c r="L617" s="2421"/>
      <c r="M617" s="2421"/>
      <c r="N617" s="2421"/>
      <c r="O617" s="2421"/>
      <c r="P617" s="2421"/>
      <c r="Q617" s="2421"/>
      <c r="R617" s="2421"/>
      <c r="S617" s="2421"/>
      <c r="T617" s="2421"/>
      <c r="U617" s="2421"/>
      <c r="V617" s="2421"/>
      <c r="W617" s="2421"/>
      <c r="X617" s="2421"/>
      <c r="Y617" s="2421"/>
      <c r="Z617" s="2421"/>
      <c r="AA617" s="2421"/>
      <c r="AB617" s="2421"/>
      <c r="AC617" s="2421"/>
      <c r="AD617" s="2421"/>
      <c r="AE617" s="2421"/>
      <c r="AF617" s="2421"/>
      <c r="AG617" s="2421"/>
      <c r="AH617" s="642"/>
      <c r="AI617" s="642"/>
      <c r="AJ617" s="642"/>
      <c r="AK617" s="642"/>
      <c r="AL617" s="642"/>
      <c r="AN617" s="597"/>
    </row>
    <row r="618" spans="1:42" s="550" customFormat="1" ht="12.75" customHeight="1">
      <c r="B618" s="536"/>
      <c r="C618" s="933"/>
      <c r="D618" s="642"/>
      <c r="E618" s="2421"/>
      <c r="F618" s="2421"/>
      <c r="G618" s="2421"/>
      <c r="H618" s="2421"/>
      <c r="I618" s="2421"/>
      <c r="J618" s="2421"/>
      <c r="K618" s="2421"/>
      <c r="L618" s="2421"/>
      <c r="M618" s="2421"/>
      <c r="N618" s="2421"/>
      <c r="O618" s="2421"/>
      <c r="P618" s="2421"/>
      <c r="Q618" s="2421"/>
      <c r="R618" s="2421"/>
      <c r="S618" s="2421"/>
      <c r="T618" s="2421"/>
      <c r="U618" s="2421"/>
      <c r="V618" s="2421"/>
      <c r="W618" s="2421"/>
      <c r="X618" s="2421"/>
      <c r="Y618" s="2421"/>
      <c r="Z618" s="2421"/>
      <c r="AA618" s="2421"/>
      <c r="AB618" s="2421"/>
      <c r="AC618" s="2421"/>
      <c r="AD618" s="2421"/>
      <c r="AE618" s="2421"/>
      <c r="AF618" s="2421"/>
      <c r="AG618" s="2421"/>
      <c r="AH618" s="642"/>
      <c r="AI618" s="642"/>
      <c r="AJ618" s="642"/>
      <c r="AK618" s="642"/>
      <c r="AL618" s="642"/>
      <c r="AN618" s="597"/>
    </row>
    <row r="619" spans="1:42" s="550" customFormat="1" ht="12.75" customHeight="1">
      <c r="B619" s="536"/>
      <c r="C619" s="933"/>
      <c r="D619" s="642"/>
      <c r="E619" s="2421"/>
      <c r="F619" s="2421"/>
      <c r="G619" s="2421"/>
      <c r="H619" s="2421"/>
      <c r="I619" s="2421"/>
      <c r="J619" s="2421"/>
      <c r="K619" s="2421"/>
      <c r="L619" s="2421"/>
      <c r="M619" s="2421"/>
      <c r="N619" s="2421"/>
      <c r="O619" s="2421"/>
      <c r="P619" s="2421"/>
      <c r="Q619" s="2421"/>
      <c r="R619" s="2421"/>
      <c r="S619" s="2421"/>
      <c r="T619" s="2421"/>
      <c r="U619" s="2421"/>
      <c r="V619" s="2421"/>
      <c r="W619" s="2421"/>
      <c r="X619" s="2421"/>
      <c r="Y619" s="2421"/>
      <c r="Z619" s="2421"/>
      <c r="AA619" s="2421"/>
      <c r="AB619" s="2421"/>
      <c r="AC619" s="2421"/>
      <c r="AD619" s="2421"/>
      <c r="AE619" s="2421"/>
      <c r="AF619" s="2421"/>
      <c r="AG619" s="2421"/>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8">
        <f>VLOOKUP($H$606,$AO$586:$AP$591,2,FALSE)+IF(R606=AO594,0,VLOOKUP($I$614,$AO$613:$AP$615,2,FALSE))</f>
        <v>7</v>
      </c>
      <c r="AK621" s="243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5" t="s">
        <v>1695</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39"/>
      <c r="AF625" s="2521" t="s">
        <v>1353</v>
      </c>
      <c r="AG625" s="2521"/>
      <c r="AH625" s="2521"/>
      <c r="AI625" s="2521"/>
      <c r="AJ625" s="2521"/>
      <c r="AK625" s="2521"/>
      <c r="AL625" s="2521"/>
      <c r="AM625" s="550"/>
      <c r="AN625" s="678"/>
    </row>
    <row r="626" spans="1:42" s="550" customFormat="1" ht="12.75" customHeight="1">
      <c r="A626" s="679"/>
      <c r="B626" s="536"/>
      <c r="C626" s="933"/>
      <c r="D626" s="663"/>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6"/>
      <c r="AF626" s="536"/>
      <c r="AG626" s="536"/>
      <c r="AH626" s="536"/>
      <c r="AI626" s="536"/>
      <c r="AJ626" s="536"/>
      <c r="AK626" s="536"/>
      <c r="AL626" s="536"/>
      <c r="AN626" s="597"/>
    </row>
    <row r="627" spans="1:42" s="550" customFormat="1" ht="12.75" customHeight="1">
      <c r="B627" s="536"/>
      <c r="C627" s="931"/>
      <c r="D627" s="663"/>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6"/>
      <c r="AF627" s="536"/>
      <c r="AG627" s="536"/>
      <c r="AH627" s="536"/>
      <c r="AI627" s="536"/>
      <c r="AJ627" s="536"/>
      <c r="AK627" s="536"/>
      <c r="AL627" s="536"/>
      <c r="AN627" s="597"/>
    </row>
    <row r="628" spans="1:42" s="550" customFormat="1" ht="12.75" customHeight="1">
      <c r="B628" s="536"/>
      <c r="C628" s="931"/>
      <c r="D628" s="663"/>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6"/>
      <c r="AF628" s="536"/>
      <c r="AG628" s="536"/>
      <c r="AH628" s="536"/>
      <c r="AI628" s="536"/>
      <c r="AJ628" s="536"/>
      <c r="AK628" s="536"/>
      <c r="AL628" s="536"/>
      <c r="AN628" s="597"/>
    </row>
    <row r="629" spans="1:42" s="550" customFormat="1" ht="12.75" customHeight="1">
      <c r="B629" s="536"/>
      <c r="C629" s="931"/>
      <c r="D629" s="663"/>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6"/>
      <c r="AF629" s="536"/>
      <c r="AG629" s="536"/>
      <c r="AH629" s="536"/>
      <c r="AI629" s="536"/>
      <c r="AJ629" s="536"/>
      <c r="AK629" s="536"/>
      <c r="AL629" s="536"/>
      <c r="AN629" s="597"/>
    </row>
    <row r="630" spans="1:42" s="550" customFormat="1" ht="12.75" customHeight="1">
      <c r="B630" s="536"/>
      <c r="C630" s="931"/>
      <c r="D630" s="663"/>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6"/>
      <c r="AF630" s="536"/>
      <c r="AG630" s="536"/>
      <c r="AH630" s="536"/>
      <c r="AI630" s="536"/>
      <c r="AJ630" s="536"/>
      <c r="AK630" s="536"/>
      <c r="AL630" s="536"/>
      <c r="AN630" s="597"/>
    </row>
    <row r="631" spans="1:42" s="550" customFormat="1" ht="12.75" customHeight="1">
      <c r="A631" s="637"/>
      <c r="B631" s="616"/>
      <c r="C631" s="940"/>
      <c r="D631" s="663"/>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6"/>
      <c r="AF631" s="616"/>
      <c r="AG631" s="616"/>
      <c r="AH631" s="616"/>
      <c r="AI631" s="616"/>
      <c r="AJ631" s="616"/>
      <c r="AK631" s="536"/>
      <c r="AL631" s="536"/>
      <c r="AN631" s="597"/>
    </row>
    <row r="632" spans="1:42" s="550" customFormat="1" ht="12.75" customHeight="1">
      <c r="B632" s="616"/>
      <c r="C632" s="940"/>
      <c r="D632" s="663"/>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3" t="s">
        <v>592</v>
      </c>
      <c r="Y634" s="2393"/>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1" t="s">
        <v>1409</v>
      </c>
      <c r="AG636" s="2521"/>
      <c r="AH636" s="2521"/>
      <c r="AI636" s="2521"/>
      <c r="AJ636" s="2521"/>
      <c r="AK636" s="2521"/>
      <c r="AL636" s="2521"/>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5" t="s">
        <v>688</v>
      </c>
      <c r="I638" s="244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8">
        <f>VLOOKUP($H$638,$AO$605:$AP$607,2,FALSE)</f>
        <v>3</v>
      </c>
      <c r="AK640" s="2430"/>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1" t="s">
        <v>2098</v>
      </c>
      <c r="F644" s="2421"/>
      <c r="G644" s="2421"/>
      <c r="H644" s="2421"/>
      <c r="I644" s="2421"/>
      <c r="J644" s="2421"/>
      <c r="K644" s="2421"/>
      <c r="L644" s="2421"/>
      <c r="M644" s="2421"/>
      <c r="N644" s="2421"/>
      <c r="O644" s="2421"/>
      <c r="P644" s="2421"/>
      <c r="Q644" s="2421"/>
      <c r="R644" s="2421"/>
      <c r="S644" s="2421"/>
      <c r="T644" s="2421"/>
      <c r="U644" s="2421"/>
      <c r="V644" s="2421"/>
      <c r="W644" s="2421"/>
      <c r="X644" s="2421"/>
      <c r="Y644" s="2421"/>
      <c r="Z644" s="2421"/>
      <c r="AA644" s="2421"/>
      <c r="AB644" s="2421"/>
      <c r="AC644" s="2421"/>
      <c r="AD644" s="2421"/>
      <c r="AE644" s="536"/>
      <c r="AF644" s="2521" t="s">
        <v>1353</v>
      </c>
      <c r="AG644" s="2521"/>
      <c r="AH644" s="2521"/>
      <c r="AI644" s="2521"/>
      <c r="AJ644" s="2521"/>
      <c r="AK644" s="2521"/>
      <c r="AL644" s="2521"/>
      <c r="AN644" s="597"/>
    </row>
    <row r="645" spans="1:42" s="550" customFormat="1" ht="12.75" customHeight="1">
      <c r="B645" s="536"/>
      <c r="C645" s="536"/>
      <c r="D645" s="663"/>
      <c r="E645" s="2421"/>
      <c r="F645" s="2421"/>
      <c r="G645" s="2421"/>
      <c r="H645" s="2421"/>
      <c r="I645" s="2421"/>
      <c r="J645" s="2421"/>
      <c r="K645" s="2421"/>
      <c r="L645" s="2421"/>
      <c r="M645" s="2421"/>
      <c r="N645" s="2421"/>
      <c r="O645" s="2421"/>
      <c r="P645" s="2421"/>
      <c r="Q645" s="2421"/>
      <c r="R645" s="2421"/>
      <c r="S645" s="2421"/>
      <c r="T645" s="2421"/>
      <c r="U645" s="2421"/>
      <c r="V645" s="2421"/>
      <c r="W645" s="2421"/>
      <c r="X645" s="2421"/>
      <c r="Y645" s="2421"/>
      <c r="Z645" s="2421"/>
      <c r="AA645" s="2421"/>
      <c r="AB645" s="2421"/>
      <c r="AC645" s="2421"/>
      <c r="AD645" s="2421"/>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1" t="s">
        <v>1409</v>
      </c>
      <c r="AG647" s="2521"/>
      <c r="AH647" s="2521"/>
      <c r="AI647" s="2521"/>
      <c r="AJ647" s="2521"/>
      <c r="AK647" s="2521"/>
      <c r="AL647" s="2521"/>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5" t="s">
        <v>688</v>
      </c>
      <c r="I650" s="244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8">
        <f>VLOOKUP(H650,AT605:AU607,2,FALSE)</f>
        <v>3</v>
      </c>
      <c r="AK652" s="243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1" t="s">
        <v>1419</v>
      </c>
      <c r="F657" s="2421"/>
      <c r="G657" s="2421"/>
      <c r="H657" s="2421"/>
      <c r="I657" s="2421"/>
      <c r="J657" s="2421"/>
      <c r="K657" s="2421"/>
      <c r="L657" s="2421"/>
      <c r="M657" s="2421"/>
      <c r="N657" s="2421"/>
      <c r="O657" s="2421"/>
      <c r="P657" s="2421"/>
      <c r="Q657" s="2421"/>
      <c r="R657" s="2421"/>
      <c r="S657" s="2421"/>
      <c r="T657" s="2421"/>
      <c r="U657" s="2421"/>
      <c r="V657" s="2421"/>
      <c r="W657" s="2421"/>
      <c r="X657" s="2421"/>
      <c r="Y657" s="2421"/>
      <c r="Z657" s="2421"/>
      <c r="AA657" s="2421"/>
      <c r="AB657" s="2421"/>
      <c r="AC657" s="2421"/>
      <c r="AD657" s="536"/>
      <c r="AE657" s="536"/>
      <c r="AF657" s="2521" t="s">
        <v>1379</v>
      </c>
      <c r="AG657" s="2521"/>
      <c r="AH657" s="2521"/>
      <c r="AI657" s="2521"/>
      <c r="AJ657" s="2521"/>
      <c r="AK657" s="2521"/>
      <c r="AL657" s="2521"/>
      <c r="AN657" s="597"/>
    </row>
    <row r="658" spans="1:42" s="550" customFormat="1" ht="12.75" customHeight="1">
      <c r="B658" s="536"/>
      <c r="C658" s="539"/>
      <c r="D658" s="536"/>
      <c r="E658" s="2421"/>
      <c r="F658" s="2421"/>
      <c r="G658" s="2421"/>
      <c r="H658" s="2421"/>
      <c r="I658" s="2421"/>
      <c r="J658" s="2421"/>
      <c r="K658" s="2421"/>
      <c r="L658" s="2421"/>
      <c r="M658" s="2421"/>
      <c r="N658" s="2421"/>
      <c r="O658" s="2421"/>
      <c r="P658" s="2421"/>
      <c r="Q658" s="2421"/>
      <c r="R658" s="2421"/>
      <c r="S658" s="2421"/>
      <c r="T658" s="2421"/>
      <c r="U658" s="2421"/>
      <c r="V658" s="2421"/>
      <c r="W658" s="2421"/>
      <c r="X658" s="2421"/>
      <c r="Y658" s="2421"/>
      <c r="Z658" s="2421"/>
      <c r="AA658" s="2421"/>
      <c r="AB658" s="2421"/>
      <c r="AC658" s="2421"/>
      <c r="AD658" s="536"/>
      <c r="AE658" s="536"/>
      <c r="AF658" s="536"/>
      <c r="AG658" s="536"/>
      <c r="AH658" s="536"/>
      <c r="AI658" s="536"/>
      <c r="AJ658" s="536"/>
      <c r="AK658" s="536"/>
      <c r="AL658" s="536"/>
      <c r="AN658" s="597"/>
    </row>
    <row r="659" spans="1:42" s="550" customFormat="1" ht="12.75" customHeight="1">
      <c r="B659" s="536"/>
      <c r="C659" s="539"/>
      <c r="D659" s="663"/>
      <c r="E659" s="2421"/>
      <c r="F659" s="2421"/>
      <c r="G659" s="2421"/>
      <c r="H659" s="2421"/>
      <c r="I659" s="2421"/>
      <c r="J659" s="2421"/>
      <c r="K659" s="2421"/>
      <c r="L659" s="2421"/>
      <c r="M659" s="2421"/>
      <c r="N659" s="2421"/>
      <c r="O659" s="2421"/>
      <c r="P659" s="2421"/>
      <c r="Q659" s="2421"/>
      <c r="R659" s="2421"/>
      <c r="S659" s="2421"/>
      <c r="T659" s="2421"/>
      <c r="U659" s="2421"/>
      <c r="V659" s="2421"/>
      <c r="W659" s="2421"/>
      <c r="X659" s="2421"/>
      <c r="Y659" s="2421"/>
      <c r="Z659" s="2421"/>
      <c r="AA659" s="2421"/>
      <c r="AB659" s="2421"/>
      <c r="AC659" s="2421"/>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1" t="s">
        <v>1420</v>
      </c>
      <c r="F661" s="2421"/>
      <c r="G661" s="2421"/>
      <c r="H661" s="2421"/>
      <c r="I661" s="2421"/>
      <c r="J661" s="2421"/>
      <c r="K661" s="2421"/>
      <c r="L661" s="2421"/>
      <c r="M661" s="2421"/>
      <c r="N661" s="2421"/>
      <c r="O661" s="2421"/>
      <c r="P661" s="2421"/>
      <c r="Q661" s="2421"/>
      <c r="R661" s="2421"/>
      <c r="S661" s="2421"/>
      <c r="T661" s="2421"/>
      <c r="U661" s="2421"/>
      <c r="V661" s="2421"/>
      <c r="W661" s="2421"/>
      <c r="X661" s="2421"/>
      <c r="Y661" s="2421"/>
      <c r="Z661" s="2421"/>
      <c r="AA661" s="2421"/>
      <c r="AB661" s="2421"/>
      <c r="AC661" s="2421"/>
      <c r="AD661" s="536"/>
      <c r="AE661" s="536"/>
      <c r="AF661" s="2521" t="s">
        <v>1400</v>
      </c>
      <c r="AG661" s="2521"/>
      <c r="AH661" s="2521"/>
      <c r="AI661" s="2521"/>
      <c r="AJ661" s="2521"/>
      <c r="AK661" s="2521"/>
      <c r="AL661" s="2521"/>
      <c r="AN661" s="597"/>
    </row>
    <row r="662" spans="1:42" s="550" customFormat="1" ht="12.75" customHeight="1">
      <c r="B662" s="536"/>
      <c r="C662" s="539"/>
      <c r="D662" s="536"/>
      <c r="E662" s="2421"/>
      <c r="F662" s="2421"/>
      <c r="G662" s="2421"/>
      <c r="H662" s="2421"/>
      <c r="I662" s="2421"/>
      <c r="J662" s="2421"/>
      <c r="K662" s="2421"/>
      <c r="L662" s="2421"/>
      <c r="M662" s="2421"/>
      <c r="N662" s="2421"/>
      <c r="O662" s="2421"/>
      <c r="P662" s="2421"/>
      <c r="Q662" s="2421"/>
      <c r="R662" s="2421"/>
      <c r="S662" s="2421"/>
      <c r="T662" s="2421"/>
      <c r="U662" s="2421"/>
      <c r="V662" s="2421"/>
      <c r="W662" s="2421"/>
      <c r="X662" s="2421"/>
      <c r="Y662" s="2421"/>
      <c r="Z662" s="2421"/>
      <c r="AA662" s="2421"/>
      <c r="AB662" s="2421"/>
      <c r="AC662" s="2421"/>
      <c r="AD662" s="536"/>
      <c r="AE662" s="536"/>
      <c r="AF662" s="536"/>
      <c r="AG662" s="536"/>
      <c r="AH662" s="536"/>
      <c r="AI662" s="536"/>
      <c r="AJ662" s="536"/>
      <c r="AK662" s="536"/>
      <c r="AL662" s="536"/>
      <c r="AN662" s="597"/>
    </row>
    <row r="663" spans="1:42" s="550" customFormat="1" ht="15" customHeight="1">
      <c r="B663" s="536"/>
      <c r="C663" s="539"/>
      <c r="D663" s="663"/>
      <c r="E663" s="2421"/>
      <c r="F663" s="2421"/>
      <c r="G663" s="2421"/>
      <c r="H663" s="2421"/>
      <c r="I663" s="2421"/>
      <c r="J663" s="2421"/>
      <c r="K663" s="2421"/>
      <c r="L663" s="2421"/>
      <c r="M663" s="2421"/>
      <c r="N663" s="2421"/>
      <c r="O663" s="2421"/>
      <c r="P663" s="2421"/>
      <c r="Q663" s="2421"/>
      <c r="R663" s="2421"/>
      <c r="S663" s="2421"/>
      <c r="T663" s="2421"/>
      <c r="U663" s="2421"/>
      <c r="V663" s="2421"/>
      <c r="W663" s="2421"/>
      <c r="X663" s="2421"/>
      <c r="Y663" s="2421"/>
      <c r="Z663" s="2421"/>
      <c r="AA663" s="2421"/>
      <c r="AB663" s="2421"/>
      <c r="AC663" s="2421"/>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1" t="s">
        <v>1421</v>
      </c>
      <c r="F665" s="2421"/>
      <c r="G665" s="2421"/>
      <c r="H665" s="2421"/>
      <c r="I665" s="2421"/>
      <c r="J665" s="2421"/>
      <c r="K665" s="2421"/>
      <c r="L665" s="2421"/>
      <c r="M665" s="2421"/>
      <c r="N665" s="2421"/>
      <c r="O665" s="2421"/>
      <c r="P665" s="2421"/>
      <c r="Q665" s="2421"/>
      <c r="R665" s="2421"/>
      <c r="S665" s="2421"/>
      <c r="T665" s="2421"/>
      <c r="U665" s="2421"/>
      <c r="V665" s="2421"/>
      <c r="W665" s="2421"/>
      <c r="X665" s="2421"/>
      <c r="Y665" s="2421"/>
      <c r="Z665" s="2421"/>
      <c r="AA665" s="2421"/>
      <c r="AB665" s="2421"/>
      <c r="AC665" s="2421"/>
      <c r="AD665" s="536"/>
      <c r="AE665" s="536"/>
      <c r="AF665" s="2521" t="s">
        <v>1353</v>
      </c>
      <c r="AG665" s="2521"/>
      <c r="AH665" s="2521"/>
      <c r="AI665" s="2521"/>
      <c r="AJ665" s="2521"/>
      <c r="AK665" s="2521"/>
      <c r="AL665" s="2521"/>
      <c r="AN665" s="597"/>
    </row>
    <row r="666" spans="1:42" s="550" customFormat="1" ht="12.75" customHeight="1">
      <c r="B666" s="536"/>
      <c r="C666" s="931"/>
      <c r="D666" s="536"/>
      <c r="E666" s="2421"/>
      <c r="F666" s="2421"/>
      <c r="G666" s="2421"/>
      <c r="H666" s="2421"/>
      <c r="I666" s="2421"/>
      <c r="J666" s="2421"/>
      <c r="K666" s="2421"/>
      <c r="L666" s="2421"/>
      <c r="M666" s="2421"/>
      <c r="N666" s="2421"/>
      <c r="O666" s="2421"/>
      <c r="P666" s="2421"/>
      <c r="Q666" s="2421"/>
      <c r="R666" s="2421"/>
      <c r="S666" s="2421"/>
      <c r="T666" s="2421"/>
      <c r="U666" s="2421"/>
      <c r="V666" s="2421"/>
      <c r="W666" s="2421"/>
      <c r="X666" s="2421"/>
      <c r="Y666" s="2421"/>
      <c r="Z666" s="2421"/>
      <c r="AA666" s="2421"/>
      <c r="AB666" s="2421"/>
      <c r="AC666" s="2421"/>
      <c r="AD666" s="536"/>
      <c r="AE666" s="2521"/>
      <c r="AF666" s="2521"/>
      <c r="AG666" s="2521"/>
      <c r="AH666" s="2521"/>
      <c r="AI666" s="2521"/>
      <c r="AJ666" s="2521"/>
      <c r="AK666" s="2521"/>
      <c r="AL666" s="594"/>
      <c r="AN666" s="597"/>
      <c r="AO666" s="550" t="s">
        <v>592</v>
      </c>
      <c r="AP666" s="673">
        <v>0</v>
      </c>
    </row>
    <row r="667" spans="1:42" s="550" customFormat="1" ht="12.75" customHeight="1">
      <c r="A667" s="679"/>
      <c r="B667" s="536"/>
      <c r="C667" s="536"/>
      <c r="D667" s="663"/>
      <c r="E667" s="2421"/>
      <c r="F667" s="2421"/>
      <c r="G667" s="2421"/>
      <c r="H667" s="2421"/>
      <c r="I667" s="2421"/>
      <c r="J667" s="2421"/>
      <c r="K667" s="2421"/>
      <c r="L667" s="2421"/>
      <c r="M667" s="2421"/>
      <c r="N667" s="2421"/>
      <c r="O667" s="2421"/>
      <c r="P667" s="2421"/>
      <c r="Q667" s="2421"/>
      <c r="R667" s="2421"/>
      <c r="S667" s="2421"/>
      <c r="T667" s="2421"/>
      <c r="U667" s="2421"/>
      <c r="V667" s="2421"/>
      <c r="W667" s="2421"/>
      <c r="X667" s="2421"/>
      <c r="Y667" s="2421"/>
      <c r="Z667" s="2421"/>
      <c r="AA667" s="2421"/>
      <c r="AB667" s="2421"/>
      <c r="AC667" s="2421"/>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1" t="s">
        <v>1422</v>
      </c>
      <c r="F669" s="2421"/>
      <c r="G669" s="2421"/>
      <c r="H669" s="2421"/>
      <c r="I669" s="2421"/>
      <c r="J669" s="2421"/>
      <c r="K669" s="2421"/>
      <c r="L669" s="2421"/>
      <c r="M669" s="2421"/>
      <c r="N669" s="2421"/>
      <c r="O669" s="2421"/>
      <c r="P669" s="2421"/>
      <c r="Q669" s="2421"/>
      <c r="R669" s="2421"/>
      <c r="S669" s="2421"/>
      <c r="T669" s="2421"/>
      <c r="U669" s="2421"/>
      <c r="V669" s="2421"/>
      <c r="W669" s="2421"/>
      <c r="X669" s="2421"/>
      <c r="Y669" s="2421"/>
      <c r="Z669" s="2421"/>
      <c r="AA669" s="2421"/>
      <c r="AB669" s="2421"/>
      <c r="AC669" s="2421"/>
      <c r="AD669" s="536"/>
      <c r="AE669" s="536"/>
      <c r="AF669" s="2521" t="s">
        <v>1400</v>
      </c>
      <c r="AG669" s="2521"/>
      <c r="AH669" s="2521"/>
      <c r="AI669" s="2521"/>
      <c r="AJ669" s="2521"/>
      <c r="AK669" s="2521"/>
      <c r="AL669" s="2521"/>
      <c r="AN669" s="597"/>
    </row>
    <row r="670" spans="1:42" s="550" customFormat="1" ht="12.75" customHeight="1">
      <c r="A670" s="670"/>
      <c r="B670" s="536"/>
      <c r="C670" s="947"/>
      <c r="D670" s="663"/>
      <c r="E670" s="2421"/>
      <c r="F670" s="2421"/>
      <c r="G670" s="2421"/>
      <c r="H670" s="2421"/>
      <c r="I670" s="2421"/>
      <c r="J670" s="2421"/>
      <c r="K670" s="2421"/>
      <c r="L670" s="2421"/>
      <c r="M670" s="2421"/>
      <c r="N670" s="2421"/>
      <c r="O670" s="2421"/>
      <c r="P670" s="2421"/>
      <c r="Q670" s="2421"/>
      <c r="R670" s="2421"/>
      <c r="S670" s="2421"/>
      <c r="T670" s="2421"/>
      <c r="U670" s="2421"/>
      <c r="V670" s="2421"/>
      <c r="W670" s="2421"/>
      <c r="X670" s="2421"/>
      <c r="Y670" s="2421"/>
      <c r="Z670" s="2421"/>
      <c r="AA670" s="2421"/>
      <c r="AB670" s="2421"/>
      <c r="AC670" s="2421"/>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1"/>
      <c r="F671" s="2421"/>
      <c r="G671" s="2421"/>
      <c r="H671" s="2421"/>
      <c r="I671" s="2421"/>
      <c r="J671" s="2421"/>
      <c r="K671" s="2421"/>
      <c r="L671" s="2421"/>
      <c r="M671" s="2421"/>
      <c r="N671" s="2421"/>
      <c r="O671" s="2421"/>
      <c r="P671" s="2421"/>
      <c r="Q671" s="2421"/>
      <c r="R671" s="2421"/>
      <c r="S671" s="2421"/>
      <c r="T671" s="2421"/>
      <c r="U671" s="2421"/>
      <c r="V671" s="2421"/>
      <c r="W671" s="2421"/>
      <c r="X671" s="2421"/>
      <c r="Y671" s="2421"/>
      <c r="Z671" s="2421"/>
      <c r="AA671" s="2421"/>
      <c r="AB671" s="2421"/>
      <c r="AC671" s="2421"/>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1" t="s">
        <v>1423</v>
      </c>
      <c r="F673" s="2421"/>
      <c r="G673" s="2421"/>
      <c r="H673" s="2421"/>
      <c r="I673" s="2421"/>
      <c r="J673" s="2421"/>
      <c r="K673" s="2421"/>
      <c r="L673" s="2421"/>
      <c r="M673" s="2421"/>
      <c r="N673" s="2421"/>
      <c r="O673" s="2421"/>
      <c r="P673" s="2421"/>
      <c r="Q673" s="2421"/>
      <c r="R673" s="2421"/>
      <c r="S673" s="2421"/>
      <c r="T673" s="2421"/>
      <c r="U673" s="2421"/>
      <c r="V673" s="2421"/>
      <c r="W673" s="2421"/>
      <c r="X673" s="2421"/>
      <c r="Y673" s="2421"/>
      <c r="Z673" s="2421"/>
      <c r="AA673" s="2421"/>
      <c r="AB673" s="2421"/>
      <c r="AC673" s="2421"/>
      <c r="AD673" s="536"/>
      <c r="AE673" s="536"/>
      <c r="AF673" s="2521" t="s">
        <v>1353</v>
      </c>
      <c r="AG673" s="2521"/>
      <c r="AH673" s="2521"/>
      <c r="AI673" s="2521"/>
      <c r="AJ673" s="2521"/>
      <c r="AK673" s="2521"/>
      <c r="AL673" s="2521"/>
      <c r="AM673" s="596"/>
      <c r="AN673" s="597"/>
    </row>
    <row r="674" spans="1:42" s="550" customFormat="1" ht="12.75" customHeight="1">
      <c r="B674" s="536"/>
      <c r="C674" s="931"/>
      <c r="D674" s="663"/>
      <c r="E674" s="2421"/>
      <c r="F674" s="2421"/>
      <c r="G674" s="2421"/>
      <c r="H674" s="2421"/>
      <c r="I674" s="2421"/>
      <c r="J674" s="2421"/>
      <c r="K674" s="2421"/>
      <c r="L674" s="2421"/>
      <c r="M674" s="2421"/>
      <c r="N674" s="2421"/>
      <c r="O674" s="2421"/>
      <c r="P674" s="2421"/>
      <c r="Q674" s="2421"/>
      <c r="R674" s="2421"/>
      <c r="S674" s="2421"/>
      <c r="T674" s="2421"/>
      <c r="U674" s="2421"/>
      <c r="V674" s="2421"/>
      <c r="W674" s="2421"/>
      <c r="X674" s="2421"/>
      <c r="Y674" s="2421"/>
      <c r="Z674" s="2421"/>
      <c r="AA674" s="2421"/>
      <c r="AB674" s="2421"/>
      <c r="AC674" s="2421"/>
      <c r="AD674" s="536"/>
      <c r="AE674" s="536"/>
      <c r="AF674" s="536"/>
      <c r="AG674" s="536"/>
      <c r="AH674" s="536"/>
      <c r="AI674" s="536"/>
      <c r="AJ674" s="536"/>
      <c r="AK674" s="536"/>
      <c r="AL674" s="536"/>
      <c r="AM674" s="596"/>
      <c r="AN674" s="597"/>
    </row>
    <row r="675" spans="1:42" s="550" customFormat="1" ht="12.75" customHeight="1">
      <c r="B675" s="536"/>
      <c r="C675" s="931"/>
      <c r="D675" s="663"/>
      <c r="E675" s="2421"/>
      <c r="F675" s="2421"/>
      <c r="G675" s="2421"/>
      <c r="H675" s="2421"/>
      <c r="I675" s="2421"/>
      <c r="J675" s="2421"/>
      <c r="K675" s="2421"/>
      <c r="L675" s="2421"/>
      <c r="M675" s="2421"/>
      <c r="N675" s="2421"/>
      <c r="O675" s="2421"/>
      <c r="P675" s="2421"/>
      <c r="Q675" s="2421"/>
      <c r="R675" s="2421"/>
      <c r="S675" s="2421"/>
      <c r="T675" s="2421"/>
      <c r="U675" s="2421"/>
      <c r="V675" s="2421"/>
      <c r="W675" s="2421"/>
      <c r="X675" s="2421"/>
      <c r="Y675" s="2421"/>
      <c r="Z675" s="2421"/>
      <c r="AA675" s="2421"/>
      <c r="AB675" s="2421"/>
      <c r="AC675" s="2421"/>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1" t="s">
        <v>1424</v>
      </c>
      <c r="F677" s="2421"/>
      <c r="G677" s="2421"/>
      <c r="H677" s="2421"/>
      <c r="I677" s="2421"/>
      <c r="J677" s="2421"/>
      <c r="K677" s="2421"/>
      <c r="L677" s="2421"/>
      <c r="M677" s="2421"/>
      <c r="N677" s="2421"/>
      <c r="O677" s="2421"/>
      <c r="P677" s="2421"/>
      <c r="Q677" s="2421"/>
      <c r="R677" s="2421"/>
      <c r="S677" s="2421"/>
      <c r="T677" s="2421"/>
      <c r="U677" s="2421"/>
      <c r="V677" s="2421"/>
      <c r="W677" s="2421"/>
      <c r="X677" s="2421"/>
      <c r="Y677" s="2421"/>
      <c r="Z677" s="2421"/>
      <c r="AA677" s="2421"/>
      <c r="AB677" s="2421"/>
      <c r="AC677" s="2421"/>
      <c r="AD677" s="536"/>
      <c r="AE677" s="536"/>
      <c r="AF677" s="2521" t="s">
        <v>1409</v>
      </c>
      <c r="AG677" s="2521"/>
      <c r="AH677" s="2521"/>
      <c r="AI677" s="2521"/>
      <c r="AJ677" s="2521"/>
      <c r="AK677" s="2521"/>
      <c r="AL677" s="2521"/>
      <c r="AM677" s="596"/>
      <c r="AN677" s="597"/>
    </row>
    <row r="678" spans="1:42" s="550" customFormat="1" ht="12.75" customHeight="1">
      <c r="A678" s="679"/>
      <c r="B678" s="536"/>
      <c r="C678" s="931"/>
      <c r="D678" s="663"/>
      <c r="E678" s="2421"/>
      <c r="F678" s="2421"/>
      <c r="G678" s="2421"/>
      <c r="H678" s="2421"/>
      <c r="I678" s="2421"/>
      <c r="J678" s="2421"/>
      <c r="K678" s="2421"/>
      <c r="L678" s="2421"/>
      <c r="M678" s="2421"/>
      <c r="N678" s="2421"/>
      <c r="O678" s="2421"/>
      <c r="P678" s="2421"/>
      <c r="Q678" s="2421"/>
      <c r="R678" s="2421"/>
      <c r="S678" s="2421"/>
      <c r="T678" s="2421"/>
      <c r="U678" s="2421"/>
      <c r="V678" s="2421"/>
      <c r="W678" s="2421"/>
      <c r="X678" s="2421"/>
      <c r="Y678" s="2421"/>
      <c r="Z678" s="2421"/>
      <c r="AA678" s="2421"/>
      <c r="AB678" s="2421"/>
      <c r="AC678" s="2421"/>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1"/>
      <c r="F679" s="2421"/>
      <c r="G679" s="2421"/>
      <c r="H679" s="2421"/>
      <c r="I679" s="2421"/>
      <c r="J679" s="2421"/>
      <c r="K679" s="2421"/>
      <c r="L679" s="2421"/>
      <c r="M679" s="2421"/>
      <c r="N679" s="2421"/>
      <c r="O679" s="2421"/>
      <c r="P679" s="2421"/>
      <c r="Q679" s="2421"/>
      <c r="R679" s="2421"/>
      <c r="S679" s="2421"/>
      <c r="T679" s="2421"/>
      <c r="U679" s="2421"/>
      <c r="V679" s="2421"/>
      <c r="W679" s="2421"/>
      <c r="X679" s="2421"/>
      <c r="Y679" s="2421"/>
      <c r="Z679" s="2421"/>
      <c r="AA679" s="2421"/>
      <c r="AB679" s="2421"/>
      <c r="AC679" s="2421"/>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1" t="s">
        <v>1425</v>
      </c>
      <c r="F681" s="2421"/>
      <c r="G681" s="2421"/>
      <c r="H681" s="2421"/>
      <c r="I681" s="2421"/>
      <c r="J681" s="2421"/>
      <c r="K681" s="2421"/>
      <c r="L681" s="2421"/>
      <c r="M681" s="2421"/>
      <c r="N681" s="2421"/>
      <c r="O681" s="2421"/>
      <c r="P681" s="2421"/>
      <c r="Q681" s="2421"/>
      <c r="R681" s="2421"/>
      <c r="S681" s="2421"/>
      <c r="T681" s="2421"/>
      <c r="U681" s="2421"/>
      <c r="V681" s="2421"/>
      <c r="W681" s="2421"/>
      <c r="X681" s="2421"/>
      <c r="Y681" s="2421"/>
      <c r="Z681" s="2421"/>
      <c r="AA681" s="2421"/>
      <c r="AB681" s="2421"/>
      <c r="AC681" s="2421"/>
      <c r="AD681" s="536"/>
      <c r="AE681" s="536"/>
      <c r="AF681" s="2521" t="s">
        <v>1426</v>
      </c>
      <c r="AG681" s="2521"/>
      <c r="AH681" s="2521"/>
      <c r="AI681" s="2521"/>
      <c r="AJ681" s="2521"/>
      <c r="AK681" s="2521"/>
      <c r="AL681" s="2521"/>
      <c r="AM681" s="596"/>
      <c r="AN681" s="597"/>
      <c r="AO681" s="611" t="s">
        <v>688</v>
      </c>
      <c r="AP681" s="550">
        <v>3</v>
      </c>
    </row>
    <row r="682" spans="1:42" s="550" customFormat="1" ht="12.75" customHeight="1">
      <c r="A682" s="679"/>
      <c r="B682" s="536"/>
      <c r="C682" s="931"/>
      <c r="D682" s="663"/>
      <c r="E682" s="2421"/>
      <c r="F682" s="2421"/>
      <c r="G682" s="2421"/>
      <c r="H682" s="2421"/>
      <c r="I682" s="2421"/>
      <c r="J682" s="2421"/>
      <c r="K682" s="2421"/>
      <c r="L682" s="2421"/>
      <c r="M682" s="2421"/>
      <c r="N682" s="2421"/>
      <c r="O682" s="2421"/>
      <c r="P682" s="2421"/>
      <c r="Q682" s="2421"/>
      <c r="R682" s="2421"/>
      <c r="S682" s="2421"/>
      <c r="T682" s="2421"/>
      <c r="U682" s="2421"/>
      <c r="V682" s="2421"/>
      <c r="W682" s="2421"/>
      <c r="X682" s="2421"/>
      <c r="Y682" s="2421"/>
      <c r="Z682" s="2421"/>
      <c r="AA682" s="2421"/>
      <c r="AB682" s="2421"/>
      <c r="AC682" s="2421"/>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1"/>
      <c r="F683" s="2421"/>
      <c r="G683" s="2421"/>
      <c r="H683" s="2421"/>
      <c r="I683" s="2421"/>
      <c r="J683" s="2421"/>
      <c r="K683" s="2421"/>
      <c r="L683" s="2421"/>
      <c r="M683" s="2421"/>
      <c r="N683" s="2421"/>
      <c r="O683" s="2421"/>
      <c r="P683" s="2421"/>
      <c r="Q683" s="2421"/>
      <c r="R683" s="2421"/>
      <c r="S683" s="2421"/>
      <c r="T683" s="2421"/>
      <c r="U683" s="2421"/>
      <c r="V683" s="2421"/>
      <c r="W683" s="2421"/>
      <c r="X683" s="2421"/>
      <c r="Y683" s="2421"/>
      <c r="Z683" s="2421"/>
      <c r="AA683" s="2421"/>
      <c r="AB683" s="2421"/>
      <c r="AC683" s="2421"/>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5" t="s">
        <v>688</v>
      </c>
      <c r="I685" s="244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8">
        <f>VLOOKUP($H$685,$AO$633:$AP$640,2,FALSE)</f>
        <v>5</v>
      </c>
      <c r="AK687" s="243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268</v>
      </c>
    </row>
    <row r="691" spans="1:51" s="550" customFormat="1" ht="12.75" customHeight="1">
      <c r="A691" s="679"/>
      <c r="B691" s="536"/>
      <c r="C691" s="948"/>
      <c r="D691" s="663" t="s">
        <v>688</v>
      </c>
      <c r="E691" s="2391" t="s">
        <v>2190</v>
      </c>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536"/>
      <c r="AD691" s="536"/>
      <c r="AE691" s="536"/>
      <c r="AF691" s="2521" t="s">
        <v>1353</v>
      </c>
      <c r="AG691" s="2521"/>
      <c r="AH691" s="2521"/>
      <c r="AI691" s="2521"/>
      <c r="AJ691" s="2521"/>
      <c r="AK691" s="2521"/>
      <c r="AL691" s="2521"/>
      <c r="AN691" s="597"/>
      <c r="AW691" s="22" t="s">
        <v>2185</v>
      </c>
      <c r="AX691" s="550">
        <f>Application!DE753</f>
        <v>0</v>
      </c>
    </row>
    <row r="692" spans="1:51" s="550" customFormat="1" ht="12.75" customHeight="1">
      <c r="A692" s="679"/>
      <c r="B692" s="536"/>
      <c r="C692" s="948"/>
      <c r="D692" s="663"/>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1" t="s">
        <v>2134</v>
      </c>
      <c r="F694" s="2421"/>
      <c r="G694" s="2421"/>
      <c r="H694" s="2421"/>
      <c r="I694" s="2421"/>
      <c r="J694" s="2421"/>
      <c r="K694" s="2421"/>
      <c r="L694" s="2421"/>
      <c r="M694" s="2421"/>
      <c r="N694" s="2421"/>
      <c r="O694" s="2421"/>
      <c r="P694" s="2421"/>
      <c r="Q694" s="2421"/>
      <c r="R694" s="2421"/>
      <c r="S694" s="2421"/>
      <c r="T694" s="2421"/>
      <c r="U694" s="2421"/>
      <c r="V694" s="2421"/>
      <c r="W694" s="2421"/>
      <c r="X694" s="2421"/>
      <c r="Y694" s="2421"/>
      <c r="Z694" s="2421"/>
      <c r="AA694" s="2421"/>
      <c r="AB694" s="2421"/>
      <c r="AC694" s="536"/>
      <c r="AD694" s="536"/>
      <c r="AE694" s="536"/>
      <c r="AF694" s="2521" t="s">
        <v>1353</v>
      </c>
      <c r="AG694" s="2521"/>
      <c r="AH694" s="2521"/>
      <c r="AI694" s="2521"/>
      <c r="AJ694" s="2521"/>
      <c r="AK694" s="2521"/>
      <c r="AL694" s="2521"/>
      <c r="AN694" s="597"/>
      <c r="AW694" s="22" t="s">
        <v>2188</v>
      </c>
      <c r="AX694" s="550">
        <f>AX691+AX692+AX693</f>
        <v>0</v>
      </c>
    </row>
    <row r="695" spans="1:51" s="550" customFormat="1" ht="12.75" customHeight="1">
      <c r="B695" s="536"/>
      <c r="C695" s="940"/>
      <c r="D695" s="663"/>
      <c r="E695" s="2421"/>
      <c r="F695" s="2421"/>
      <c r="G695" s="2421"/>
      <c r="H695" s="2421"/>
      <c r="I695" s="2421"/>
      <c r="J695" s="2421"/>
      <c r="K695" s="2421"/>
      <c r="L695" s="2421"/>
      <c r="M695" s="2421"/>
      <c r="N695" s="2421"/>
      <c r="O695" s="2421"/>
      <c r="P695" s="2421"/>
      <c r="Q695" s="2421"/>
      <c r="R695" s="2421"/>
      <c r="S695" s="2421"/>
      <c r="T695" s="2421"/>
      <c r="U695" s="2421"/>
      <c r="V695" s="2421"/>
      <c r="W695" s="2421"/>
      <c r="X695" s="2421"/>
      <c r="Y695" s="2421"/>
      <c r="Z695" s="2421"/>
      <c r="AA695" s="2421"/>
      <c r="AB695" s="2421"/>
      <c r="AC695" s="536"/>
      <c r="AD695" s="536"/>
      <c r="AE695" s="616"/>
      <c r="AF695" s="536"/>
      <c r="AG695" s="536"/>
      <c r="AH695" s="536"/>
      <c r="AI695" s="536"/>
      <c r="AJ695" s="536"/>
      <c r="AK695" s="536"/>
      <c r="AL695" s="536"/>
      <c r="AN695" s="597"/>
      <c r="AO695" s="2435" t="b">
        <f>IF(Application!D211="Special Needs",IF(AY695&gt;=0.25,TRUE,FALSE),IF(AX695&gt;=0.25,TRUE,FALSE))</f>
        <v>0</v>
      </c>
      <c r="AP695" s="2435"/>
      <c r="AW695" s="22" t="s">
        <v>2189</v>
      </c>
      <c r="AX695" s="550">
        <f>IFERROR(AX694/AX690,0)</f>
        <v>0</v>
      </c>
      <c r="AY695" s="550">
        <f>IFERROR(AX694/(AX690-AX689),0)</f>
        <v>0</v>
      </c>
    </row>
    <row r="696" spans="1:51" s="550" customFormat="1" ht="12.75" customHeight="1">
      <c r="B696" s="536"/>
      <c r="C696" s="940"/>
      <c r="E696" s="2421"/>
      <c r="F696" s="2421"/>
      <c r="G696" s="2421"/>
      <c r="H696" s="2421"/>
      <c r="I696" s="2421"/>
      <c r="J696" s="2421"/>
      <c r="K696" s="2421"/>
      <c r="L696" s="2421"/>
      <c r="M696" s="2421"/>
      <c r="N696" s="2421"/>
      <c r="O696" s="2421"/>
      <c r="P696" s="2421"/>
      <c r="Q696" s="2421"/>
      <c r="R696" s="2421"/>
      <c r="S696" s="2421"/>
      <c r="T696" s="2421"/>
      <c r="U696" s="2421"/>
      <c r="V696" s="2421"/>
      <c r="W696" s="2421"/>
      <c r="X696" s="2421"/>
      <c r="Y696" s="2421"/>
      <c r="Z696" s="2421"/>
      <c r="AA696" s="2421"/>
      <c r="AB696" s="2421"/>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1"/>
      <c r="F697" s="2421"/>
      <c r="G697" s="2421"/>
      <c r="H697" s="2421"/>
      <c r="I697" s="2421"/>
      <c r="J697" s="2421"/>
      <c r="K697" s="2421"/>
      <c r="L697" s="2421"/>
      <c r="M697" s="2421"/>
      <c r="N697" s="2421"/>
      <c r="O697" s="2421"/>
      <c r="P697" s="2421"/>
      <c r="Q697" s="2421"/>
      <c r="R697" s="2421"/>
      <c r="S697" s="2421"/>
      <c r="T697" s="2421"/>
      <c r="U697" s="2421"/>
      <c r="V697" s="2421"/>
      <c r="W697" s="2421"/>
      <c r="X697" s="2421"/>
      <c r="Y697" s="2421"/>
      <c r="Z697" s="2421"/>
      <c r="AA697" s="2421"/>
      <c r="AB697" s="2421"/>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1" t="s">
        <v>2135</v>
      </c>
      <c r="F699" s="2421"/>
      <c r="G699" s="2421"/>
      <c r="H699" s="2421"/>
      <c r="I699" s="2421"/>
      <c r="J699" s="2421"/>
      <c r="K699" s="2421"/>
      <c r="L699" s="2421"/>
      <c r="M699" s="2421"/>
      <c r="N699" s="2421"/>
      <c r="O699" s="2421"/>
      <c r="P699" s="2421"/>
      <c r="Q699" s="2421"/>
      <c r="R699" s="2421"/>
      <c r="S699" s="2421"/>
      <c r="T699" s="2421"/>
      <c r="U699" s="2421"/>
      <c r="V699" s="2421"/>
      <c r="W699" s="2421"/>
      <c r="X699" s="2421"/>
      <c r="Y699" s="2421"/>
      <c r="Z699" s="2421"/>
      <c r="AA699" s="2421"/>
      <c r="AB699" s="2421"/>
      <c r="AC699" s="536"/>
      <c r="AD699" s="536"/>
      <c r="AE699" s="536"/>
      <c r="AF699" s="2521" t="s">
        <v>1409</v>
      </c>
      <c r="AG699" s="2521"/>
      <c r="AH699" s="2521"/>
      <c r="AI699" s="2521"/>
      <c r="AJ699" s="2521"/>
      <c r="AK699" s="2521"/>
      <c r="AL699" s="2521"/>
      <c r="AN699" s="597"/>
      <c r="AO699" s="611" t="s">
        <v>510</v>
      </c>
      <c r="AP699" s="550">
        <v>1</v>
      </c>
    </row>
    <row r="700" spans="1:51" s="550" customFormat="1" ht="12" customHeight="1">
      <c r="B700" s="536"/>
      <c r="C700" s="931"/>
      <c r="E700" s="2421"/>
      <c r="F700" s="2421"/>
      <c r="G700" s="2421"/>
      <c r="H700" s="2421"/>
      <c r="I700" s="2421"/>
      <c r="J700" s="2421"/>
      <c r="K700" s="2421"/>
      <c r="L700" s="2421"/>
      <c r="M700" s="2421"/>
      <c r="N700" s="2421"/>
      <c r="O700" s="2421"/>
      <c r="P700" s="2421"/>
      <c r="Q700" s="2421"/>
      <c r="R700" s="2421"/>
      <c r="S700" s="2421"/>
      <c r="T700" s="2421"/>
      <c r="U700" s="2421"/>
      <c r="V700" s="2421"/>
      <c r="W700" s="2421"/>
      <c r="X700" s="2421"/>
      <c r="Y700" s="2421"/>
      <c r="Z700" s="2421"/>
      <c r="AA700" s="2421"/>
      <c r="AB700" s="2421"/>
      <c r="AC700" s="536"/>
      <c r="AD700" s="536"/>
      <c r="AE700" s="616"/>
      <c r="AF700" s="536"/>
      <c r="AG700" s="536"/>
      <c r="AH700" s="536"/>
      <c r="AI700" s="536"/>
      <c r="AJ700" s="536"/>
      <c r="AK700" s="536"/>
      <c r="AL700" s="536"/>
      <c r="AN700" s="597"/>
    </row>
    <row r="701" spans="1:51" s="550" customFormat="1" ht="12" customHeight="1">
      <c r="B701" s="536"/>
      <c r="C701" s="931"/>
      <c r="D701" s="536"/>
      <c r="E701" s="2421"/>
      <c r="F701" s="2421"/>
      <c r="G701" s="2421"/>
      <c r="H701" s="2421"/>
      <c r="I701" s="2421"/>
      <c r="J701" s="2421"/>
      <c r="K701" s="2421"/>
      <c r="L701" s="2421"/>
      <c r="M701" s="2421"/>
      <c r="N701" s="2421"/>
      <c r="O701" s="2421"/>
      <c r="P701" s="2421"/>
      <c r="Q701" s="2421"/>
      <c r="R701" s="2421"/>
      <c r="S701" s="2421"/>
      <c r="T701" s="2421"/>
      <c r="U701" s="2421"/>
      <c r="V701" s="2421"/>
      <c r="W701" s="2421"/>
      <c r="X701" s="2421"/>
      <c r="Y701" s="2421"/>
      <c r="Z701" s="2421"/>
      <c r="AA701" s="2421"/>
      <c r="AB701" s="2421"/>
      <c r="AC701" s="536"/>
      <c r="AD701" s="536"/>
      <c r="AE701" s="616"/>
      <c r="AF701" s="536"/>
      <c r="AG701" s="536"/>
      <c r="AH701" s="536"/>
      <c r="AI701" s="536"/>
      <c r="AJ701" s="536"/>
      <c r="AK701" s="536"/>
      <c r="AL701" s="536"/>
      <c r="AN701" s="597"/>
    </row>
    <row r="702" spans="1:51" s="550" customFormat="1" ht="12" customHeight="1">
      <c r="B702" s="536"/>
      <c r="C702" s="931"/>
      <c r="D702" s="536"/>
      <c r="E702" s="2421"/>
      <c r="F702" s="2421"/>
      <c r="G702" s="2421"/>
      <c r="H702" s="2421"/>
      <c r="I702" s="2421"/>
      <c r="J702" s="2421"/>
      <c r="K702" s="2421"/>
      <c r="L702" s="2421"/>
      <c r="M702" s="2421"/>
      <c r="N702" s="2421"/>
      <c r="O702" s="2421"/>
      <c r="P702" s="2421"/>
      <c r="Q702" s="2421"/>
      <c r="R702" s="2421"/>
      <c r="S702" s="2421"/>
      <c r="T702" s="2421"/>
      <c r="U702" s="2421"/>
      <c r="V702" s="2421"/>
      <c r="W702" s="2421"/>
      <c r="X702" s="2421"/>
      <c r="Y702" s="2421"/>
      <c r="Z702" s="2421"/>
      <c r="AA702" s="2421"/>
      <c r="AB702" s="2421"/>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1"/>
      <c r="F703" s="2421"/>
      <c r="G703" s="2421"/>
      <c r="H703" s="2421"/>
      <c r="I703" s="2421"/>
      <c r="J703" s="2421"/>
      <c r="K703" s="2421"/>
      <c r="L703" s="2421"/>
      <c r="M703" s="2421"/>
      <c r="N703" s="2421"/>
      <c r="O703" s="2421"/>
      <c r="P703" s="2421"/>
      <c r="Q703" s="2421"/>
      <c r="R703" s="2421"/>
      <c r="S703" s="2421"/>
      <c r="T703" s="2421"/>
      <c r="U703" s="2421"/>
      <c r="V703" s="2421"/>
      <c r="W703" s="2421"/>
      <c r="X703" s="2421"/>
      <c r="Y703" s="2421"/>
      <c r="Z703" s="2421"/>
      <c r="AA703" s="2421"/>
      <c r="AB703" s="2421"/>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1" t="s">
        <v>1694</v>
      </c>
      <c r="F705" s="2421"/>
      <c r="G705" s="2421"/>
      <c r="H705" s="2421"/>
      <c r="I705" s="2421"/>
      <c r="J705" s="2421"/>
      <c r="K705" s="2421"/>
      <c r="L705" s="2421"/>
      <c r="M705" s="2421"/>
      <c r="N705" s="2421"/>
      <c r="O705" s="2421"/>
      <c r="P705" s="2421"/>
      <c r="Q705" s="2421"/>
      <c r="R705" s="2421"/>
      <c r="S705" s="2421"/>
      <c r="T705" s="2421"/>
      <c r="U705" s="2421"/>
      <c r="V705" s="2421"/>
      <c r="W705" s="2421"/>
      <c r="X705" s="2421"/>
      <c r="Y705" s="2421"/>
      <c r="Z705" s="2421"/>
      <c r="AA705" s="2421"/>
      <c r="AB705" s="2421"/>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21"/>
      <c r="F706" s="2421"/>
      <c r="G706" s="2421"/>
      <c r="H706" s="2421"/>
      <c r="I706" s="2421"/>
      <c r="J706" s="2421"/>
      <c r="K706" s="2421"/>
      <c r="L706" s="2421"/>
      <c r="M706" s="2421"/>
      <c r="N706" s="2421"/>
      <c r="O706" s="2421"/>
      <c r="P706" s="2421"/>
      <c r="Q706" s="2421"/>
      <c r="R706" s="2421"/>
      <c r="S706" s="2421"/>
      <c r="T706" s="2421"/>
      <c r="U706" s="2421"/>
      <c r="V706" s="2421"/>
      <c r="W706" s="2421"/>
      <c r="X706" s="2421"/>
      <c r="Y706" s="2421"/>
      <c r="Z706" s="2421"/>
      <c r="AA706" s="2421"/>
      <c r="AB706" s="2421"/>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1"/>
      <c r="F707" s="2421"/>
      <c r="G707" s="2421"/>
      <c r="H707" s="2421"/>
      <c r="I707" s="2421"/>
      <c r="J707" s="2421"/>
      <c r="K707" s="2421"/>
      <c r="L707" s="2421"/>
      <c r="M707" s="2421"/>
      <c r="N707" s="2421"/>
      <c r="O707" s="2421"/>
      <c r="P707" s="2421"/>
      <c r="Q707" s="2421"/>
      <c r="R707" s="2421"/>
      <c r="S707" s="2421"/>
      <c r="T707" s="2421"/>
      <c r="U707" s="2421"/>
      <c r="V707" s="2421"/>
      <c r="W707" s="2421"/>
      <c r="X707" s="2421"/>
      <c r="Y707" s="2421"/>
      <c r="Z707" s="2421"/>
      <c r="AA707" s="2421"/>
      <c r="AB707" s="2421"/>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5" t="s">
        <v>688</v>
      </c>
      <c r="I709" s="244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8">
        <f>VLOOKUP($H$709,$AO$703:$AP$706,2,FALSE)</f>
        <v>3</v>
      </c>
      <c r="AK711" s="2430"/>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3" t="s">
        <v>1696</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521" t="s">
        <v>1353</v>
      </c>
      <c r="AG715" s="2521"/>
      <c r="AH715" s="2521"/>
      <c r="AI715" s="2521"/>
      <c r="AJ715" s="2521"/>
      <c r="AK715" s="2521"/>
      <c r="AL715" s="2521"/>
      <c r="AM715" s="550"/>
      <c r="AN715" s="684"/>
      <c r="AP715" s="570" t="s">
        <v>1433</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4" t="s">
        <v>1436</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521" t="s">
        <v>1409</v>
      </c>
      <c r="AG719" s="2521"/>
      <c r="AH719" s="2521"/>
      <c r="AI719" s="2521"/>
      <c r="AJ719" s="2521"/>
      <c r="AK719" s="2521"/>
      <c r="AL719" s="252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5" t="s">
        <v>592</v>
      </c>
      <c r="I723" s="244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8">
        <f>VLOOKUP($H$723,$AP$720:$AQ$722,2,FALSE)</f>
        <v>0</v>
      </c>
      <c r="AK725" s="2430"/>
      <c r="AL725" s="595"/>
      <c r="AM725" s="550"/>
      <c r="AN725" s="684"/>
      <c r="AP725" s="2428"/>
      <c r="AQ725" s="243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1" t="s">
        <v>1697</v>
      </c>
      <c r="F729" s="2421"/>
      <c r="G729" s="2421"/>
      <c r="H729" s="2421"/>
      <c r="I729" s="2421"/>
      <c r="J729" s="2421"/>
      <c r="K729" s="2421"/>
      <c r="L729" s="2421"/>
      <c r="M729" s="2421"/>
      <c r="N729" s="2421"/>
      <c r="O729" s="2421"/>
      <c r="P729" s="2421"/>
      <c r="Q729" s="2421"/>
      <c r="R729" s="2421"/>
      <c r="S729" s="2421"/>
      <c r="T729" s="2421"/>
      <c r="U729" s="2421"/>
      <c r="V729" s="2421"/>
      <c r="W729" s="2421"/>
      <c r="X729" s="2421"/>
      <c r="Y729" s="2421"/>
      <c r="Z729" s="2421"/>
      <c r="AA729" s="2421"/>
      <c r="AB729" s="2421"/>
      <c r="AC729" s="536"/>
      <c r="AD729" s="536"/>
      <c r="AE729" s="536"/>
      <c r="AF729" s="2521" t="s">
        <v>1353</v>
      </c>
      <c r="AG729" s="2521"/>
      <c r="AH729" s="2521"/>
      <c r="AI729" s="2521"/>
      <c r="AJ729" s="2521"/>
      <c r="AK729" s="2521"/>
      <c r="AL729" s="2521"/>
      <c r="AM729" s="550"/>
      <c r="AN729" s="684"/>
      <c r="AT729" s="14"/>
      <c r="AU729" s="14"/>
      <c r="AV729" s="14"/>
      <c r="AW729" s="14"/>
      <c r="AX729" s="14"/>
      <c r="AY729" s="14"/>
      <c r="AZ729" s="14"/>
    </row>
    <row r="730" spans="1:81" s="570" customFormat="1">
      <c r="A730" s="550"/>
      <c r="B730" s="536"/>
      <c r="C730" s="933"/>
      <c r="D730" s="663"/>
      <c r="E730" s="2421"/>
      <c r="F730" s="2421"/>
      <c r="G730" s="2421"/>
      <c r="H730" s="2421"/>
      <c r="I730" s="2421"/>
      <c r="J730" s="2421"/>
      <c r="K730" s="2421"/>
      <c r="L730" s="2421"/>
      <c r="M730" s="2421"/>
      <c r="N730" s="2421"/>
      <c r="O730" s="2421"/>
      <c r="P730" s="2421"/>
      <c r="Q730" s="2421"/>
      <c r="R730" s="2421"/>
      <c r="S730" s="2421"/>
      <c r="T730" s="2421"/>
      <c r="U730" s="2421"/>
      <c r="V730" s="2421"/>
      <c r="W730" s="2421"/>
      <c r="X730" s="2421"/>
      <c r="Y730" s="2421"/>
      <c r="Z730" s="2421"/>
      <c r="AA730" s="2421"/>
      <c r="AB730" s="242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1" t="s">
        <v>1440</v>
      </c>
      <c r="F732" s="2421"/>
      <c r="G732" s="2421"/>
      <c r="H732" s="2421"/>
      <c r="I732" s="2421"/>
      <c r="J732" s="2421"/>
      <c r="K732" s="2421"/>
      <c r="L732" s="2421"/>
      <c r="M732" s="2421"/>
      <c r="N732" s="2421"/>
      <c r="O732" s="2421"/>
      <c r="P732" s="2421"/>
      <c r="Q732" s="2421"/>
      <c r="R732" s="2421"/>
      <c r="S732" s="2421"/>
      <c r="T732" s="2421"/>
      <c r="U732" s="2421"/>
      <c r="V732" s="2421"/>
      <c r="W732" s="2421"/>
      <c r="X732" s="2421"/>
      <c r="Y732" s="2421"/>
      <c r="Z732" s="2421"/>
      <c r="AA732" s="2421"/>
      <c r="AB732" s="2421"/>
      <c r="AC732" s="536"/>
      <c r="AD732" s="536"/>
      <c r="AE732" s="536"/>
      <c r="AF732" s="2521" t="s">
        <v>1409</v>
      </c>
      <c r="AG732" s="2521"/>
      <c r="AH732" s="2521"/>
      <c r="AI732" s="2521"/>
      <c r="AJ732" s="2521"/>
      <c r="AK732" s="2521"/>
      <c r="AL732" s="2521"/>
      <c r="AM732" s="550"/>
      <c r="AN732" s="684"/>
      <c r="AT732" s="14"/>
      <c r="AU732" s="14"/>
      <c r="AV732" s="14"/>
      <c r="AW732" s="14"/>
      <c r="AX732" s="14"/>
      <c r="AY732" s="14"/>
      <c r="AZ732" s="14"/>
    </row>
    <row r="733" spans="1:81" s="570" customFormat="1">
      <c r="A733" s="550"/>
      <c r="B733" s="536"/>
      <c r="C733" s="933"/>
      <c r="D733" s="536"/>
      <c r="E733" s="2421"/>
      <c r="F733" s="2421"/>
      <c r="G733" s="2421"/>
      <c r="H733" s="2421"/>
      <c r="I733" s="2421"/>
      <c r="J733" s="2421"/>
      <c r="K733" s="2421"/>
      <c r="L733" s="2421"/>
      <c r="M733" s="2421"/>
      <c r="N733" s="2421"/>
      <c r="O733" s="2421"/>
      <c r="P733" s="2421"/>
      <c r="Q733" s="2421"/>
      <c r="R733" s="2421"/>
      <c r="S733" s="2421"/>
      <c r="T733" s="2421"/>
      <c r="U733" s="2421"/>
      <c r="V733" s="2421"/>
      <c r="W733" s="2421"/>
      <c r="X733" s="2421"/>
      <c r="Y733" s="2421"/>
      <c r="Z733" s="2421"/>
      <c r="AA733" s="2421"/>
      <c r="AB733" s="242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5" t="s">
        <v>592</v>
      </c>
      <c r="I735" s="244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8">
        <f>VLOOKUP($H$735,$AO$666:$AP$668,2,FALSE)</f>
        <v>0</v>
      </c>
      <c r="AK737" s="243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1" t="s">
        <v>1443</v>
      </c>
      <c r="F741" s="2421"/>
      <c r="G741" s="2421"/>
      <c r="H741" s="2421"/>
      <c r="I741" s="2421"/>
      <c r="J741" s="2421"/>
      <c r="K741" s="2421"/>
      <c r="L741" s="2421"/>
      <c r="M741" s="2421"/>
      <c r="N741" s="2421"/>
      <c r="O741" s="2421"/>
      <c r="P741" s="2421"/>
      <c r="Q741" s="2421"/>
      <c r="R741" s="2421"/>
      <c r="S741" s="2421"/>
      <c r="T741" s="2421"/>
      <c r="U741" s="2421"/>
      <c r="V741" s="2421"/>
      <c r="W741" s="2421"/>
      <c r="X741" s="2421"/>
      <c r="Y741" s="2421"/>
      <c r="Z741" s="2421"/>
      <c r="AA741" s="2421"/>
      <c r="AB741" s="2421"/>
      <c r="AC741" s="536"/>
      <c r="AD741" s="536"/>
      <c r="AE741" s="536"/>
      <c r="AF741" s="2521" t="s">
        <v>1353</v>
      </c>
      <c r="AG741" s="2521"/>
      <c r="AH741" s="2521"/>
      <c r="AI741" s="2521"/>
      <c r="AJ741" s="2521"/>
      <c r="AK741" s="2521"/>
      <c r="AL741" s="2521"/>
      <c r="AM741" s="550"/>
      <c r="AN741" s="684"/>
      <c r="AT741" s="14"/>
      <c r="AU741" s="14"/>
      <c r="AV741" s="14"/>
      <c r="AW741" s="14"/>
      <c r="AX741" s="14"/>
      <c r="AY741" s="14"/>
      <c r="AZ741" s="14"/>
    </row>
    <row r="742" spans="1:81" s="570" customFormat="1">
      <c r="A742" s="550"/>
      <c r="B742" s="536"/>
      <c r="C742" s="931"/>
      <c r="D742" s="663"/>
      <c r="E742" s="2421"/>
      <c r="F742" s="2421"/>
      <c r="G742" s="2421"/>
      <c r="H742" s="2421"/>
      <c r="I742" s="2421"/>
      <c r="J742" s="2421"/>
      <c r="K742" s="2421"/>
      <c r="L742" s="2421"/>
      <c r="M742" s="2421"/>
      <c r="N742" s="2421"/>
      <c r="O742" s="2421"/>
      <c r="P742" s="2421"/>
      <c r="Q742" s="2421"/>
      <c r="R742" s="2421"/>
      <c r="S742" s="2421"/>
      <c r="T742" s="2421"/>
      <c r="U742" s="2421"/>
      <c r="V742" s="2421"/>
      <c r="W742" s="2421"/>
      <c r="X742" s="2421"/>
      <c r="Y742" s="2421"/>
      <c r="Z742" s="2421"/>
      <c r="AA742" s="2421"/>
      <c r="AB742" s="242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1"/>
      <c r="F743" s="2421"/>
      <c r="G743" s="2421"/>
      <c r="H743" s="2421"/>
      <c r="I743" s="2421"/>
      <c r="J743" s="2421"/>
      <c r="K743" s="2421"/>
      <c r="L743" s="2421"/>
      <c r="M743" s="2421"/>
      <c r="N743" s="2421"/>
      <c r="O743" s="2421"/>
      <c r="P743" s="2421"/>
      <c r="Q743" s="2421"/>
      <c r="R743" s="2421"/>
      <c r="S743" s="2421"/>
      <c r="T743" s="2421"/>
      <c r="U743" s="2421"/>
      <c r="V743" s="2421"/>
      <c r="W743" s="2421"/>
      <c r="X743" s="2421"/>
      <c r="Y743" s="2421"/>
      <c r="Z743" s="2421"/>
      <c r="AA743" s="2421"/>
      <c r="AB743" s="2421"/>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1"/>
      <c r="F744" s="2421"/>
      <c r="G744" s="2421"/>
      <c r="H744" s="2421"/>
      <c r="I744" s="2421"/>
      <c r="J744" s="2421"/>
      <c r="K744" s="2421"/>
      <c r="L744" s="2421"/>
      <c r="M744" s="2421"/>
      <c r="N744" s="2421"/>
      <c r="O744" s="2421"/>
      <c r="P744" s="2421"/>
      <c r="Q744" s="2421"/>
      <c r="R744" s="2421"/>
      <c r="S744" s="2421"/>
      <c r="T744" s="2421"/>
      <c r="U744" s="2421"/>
      <c r="V744" s="2421"/>
      <c r="W744" s="2421"/>
      <c r="X744" s="2421"/>
      <c r="Y744" s="2421"/>
      <c r="Z744" s="2421"/>
      <c r="AA744" s="2421"/>
      <c r="AB744" s="2421"/>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1" t="s">
        <v>1444</v>
      </c>
      <c r="F746" s="2421"/>
      <c r="G746" s="2421"/>
      <c r="H746" s="2421"/>
      <c r="I746" s="2421"/>
      <c r="J746" s="2421"/>
      <c r="K746" s="2421"/>
      <c r="L746" s="2421"/>
      <c r="M746" s="2421"/>
      <c r="N746" s="2421"/>
      <c r="O746" s="2421"/>
      <c r="P746" s="2421"/>
      <c r="Q746" s="2421"/>
      <c r="R746" s="2421"/>
      <c r="S746" s="2421"/>
      <c r="T746" s="2421"/>
      <c r="U746" s="2421"/>
      <c r="V746" s="2421"/>
      <c r="W746" s="2421"/>
      <c r="X746" s="2421"/>
      <c r="Y746" s="2421"/>
      <c r="Z746" s="2421"/>
      <c r="AA746" s="2421"/>
      <c r="AB746" s="575"/>
      <c r="AC746" s="536"/>
      <c r="AD746" s="536"/>
      <c r="AE746" s="536"/>
      <c r="AF746" s="2521" t="s">
        <v>1409</v>
      </c>
      <c r="AG746" s="2521"/>
      <c r="AH746" s="2521"/>
      <c r="AI746" s="2521"/>
      <c r="AJ746" s="2521"/>
      <c r="AK746" s="2521"/>
      <c r="AL746" s="2521"/>
      <c r="AM746" s="550"/>
      <c r="AN746" s="684"/>
      <c r="AO746" s="30"/>
      <c r="AP746" s="14"/>
    </row>
    <row r="747" spans="1:81" s="570" customFormat="1">
      <c r="A747" s="550"/>
      <c r="B747" s="536"/>
      <c r="C747" s="931"/>
      <c r="D747" s="663"/>
      <c r="E747" s="2421"/>
      <c r="F747" s="2421"/>
      <c r="G747" s="2421"/>
      <c r="H747" s="2421"/>
      <c r="I747" s="2421"/>
      <c r="J747" s="2421"/>
      <c r="K747" s="2421"/>
      <c r="L747" s="2421"/>
      <c r="M747" s="2421"/>
      <c r="N747" s="2421"/>
      <c r="O747" s="2421"/>
      <c r="P747" s="2421"/>
      <c r="Q747" s="2421"/>
      <c r="R747" s="2421"/>
      <c r="S747" s="2421"/>
      <c r="T747" s="2421"/>
      <c r="U747" s="2421"/>
      <c r="V747" s="2421"/>
      <c r="W747" s="2421"/>
      <c r="X747" s="2421"/>
      <c r="Y747" s="2421"/>
      <c r="Z747" s="2421"/>
      <c r="AA747" s="2421"/>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1"/>
      <c r="F748" s="2421"/>
      <c r="G748" s="2421"/>
      <c r="H748" s="2421"/>
      <c r="I748" s="2421"/>
      <c r="J748" s="2421"/>
      <c r="K748" s="2421"/>
      <c r="L748" s="2421"/>
      <c r="M748" s="2421"/>
      <c r="N748" s="2421"/>
      <c r="O748" s="2421"/>
      <c r="P748" s="2421"/>
      <c r="Q748" s="2421"/>
      <c r="R748" s="2421"/>
      <c r="S748" s="2421"/>
      <c r="T748" s="2421"/>
      <c r="U748" s="2421"/>
      <c r="V748" s="2421"/>
      <c r="W748" s="2421"/>
      <c r="X748" s="2421"/>
      <c r="Y748" s="2421"/>
      <c r="Z748" s="2421"/>
      <c r="AA748" s="2421"/>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1"/>
      <c r="F749" s="2421"/>
      <c r="G749" s="2421"/>
      <c r="H749" s="2421"/>
      <c r="I749" s="2421"/>
      <c r="J749" s="2421"/>
      <c r="K749" s="2421"/>
      <c r="L749" s="2421"/>
      <c r="M749" s="2421"/>
      <c r="N749" s="2421"/>
      <c r="O749" s="2421"/>
      <c r="P749" s="2421"/>
      <c r="Q749" s="2421"/>
      <c r="R749" s="2421"/>
      <c r="S749" s="2421"/>
      <c r="T749" s="2421"/>
      <c r="U749" s="2421"/>
      <c r="V749" s="2421"/>
      <c r="W749" s="2421"/>
      <c r="X749" s="2421"/>
      <c r="Y749" s="2421"/>
      <c r="Z749" s="2421"/>
      <c r="AA749" s="2421"/>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5" t="s">
        <v>688</v>
      </c>
      <c r="I751" s="244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8">
        <f>VLOOKUP($H$751,$AO$680:$AP$682,2,FALSE)</f>
        <v>3</v>
      </c>
      <c r="AK753" s="243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1" t="s">
        <v>1446</v>
      </c>
      <c r="F757" s="2421"/>
      <c r="G757" s="2421"/>
      <c r="H757" s="2421"/>
      <c r="I757" s="2421"/>
      <c r="J757" s="2421"/>
      <c r="K757" s="2421"/>
      <c r="L757" s="2421"/>
      <c r="M757" s="2421"/>
      <c r="N757" s="2421"/>
      <c r="O757" s="2421"/>
      <c r="P757" s="2421"/>
      <c r="Q757" s="2421"/>
      <c r="R757" s="2421"/>
      <c r="S757" s="2421"/>
      <c r="T757" s="2421"/>
      <c r="U757" s="2421"/>
      <c r="V757" s="2421"/>
      <c r="W757" s="2421"/>
      <c r="X757" s="2421"/>
      <c r="Y757" s="2421"/>
      <c r="Z757" s="2421"/>
      <c r="AA757" s="2421"/>
      <c r="AB757" s="2421"/>
      <c r="AC757" s="536"/>
      <c r="AD757" s="536"/>
      <c r="AE757" s="536"/>
      <c r="AF757" s="2521" t="s">
        <v>1409</v>
      </c>
      <c r="AG757" s="2521"/>
      <c r="AH757" s="2521"/>
      <c r="AI757" s="2521"/>
      <c r="AJ757" s="2521"/>
      <c r="AK757" s="2521"/>
      <c r="AL757" s="252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1"/>
      <c r="F758" s="2421"/>
      <c r="G758" s="2421"/>
      <c r="H758" s="2421"/>
      <c r="I758" s="2421"/>
      <c r="J758" s="2421"/>
      <c r="K758" s="2421"/>
      <c r="L758" s="2421"/>
      <c r="M758" s="2421"/>
      <c r="N758" s="2421"/>
      <c r="O758" s="2421"/>
      <c r="P758" s="2421"/>
      <c r="Q758" s="2421"/>
      <c r="R758" s="2421"/>
      <c r="S758" s="2421"/>
      <c r="T758" s="2421"/>
      <c r="U758" s="2421"/>
      <c r="V758" s="2421"/>
      <c r="W758" s="2421"/>
      <c r="X758" s="2421"/>
      <c r="Y758" s="2421"/>
      <c r="Z758" s="2421"/>
      <c r="AA758" s="2421"/>
      <c r="AB758" s="242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1" t="s">
        <v>1447</v>
      </c>
      <c r="F760" s="2421"/>
      <c r="G760" s="2421"/>
      <c r="H760" s="2421"/>
      <c r="I760" s="2421"/>
      <c r="J760" s="2421"/>
      <c r="K760" s="2421"/>
      <c r="L760" s="2421"/>
      <c r="M760" s="2421"/>
      <c r="N760" s="2421"/>
      <c r="O760" s="2421"/>
      <c r="P760" s="2421"/>
      <c r="Q760" s="2421"/>
      <c r="R760" s="2421"/>
      <c r="S760" s="2421"/>
      <c r="T760" s="2421"/>
      <c r="U760" s="2421"/>
      <c r="V760" s="2421"/>
      <c r="W760" s="2421"/>
      <c r="X760" s="2421"/>
      <c r="Y760" s="2421"/>
      <c r="Z760" s="2421"/>
      <c r="AA760" s="2421"/>
      <c r="AB760" s="2421"/>
      <c r="AC760" s="536"/>
      <c r="AD760" s="536"/>
      <c r="AE760" s="536"/>
      <c r="AF760" s="2521" t="s">
        <v>1426</v>
      </c>
      <c r="AG760" s="2521"/>
      <c r="AH760" s="2521"/>
      <c r="AI760" s="2521"/>
      <c r="AJ760" s="2521"/>
      <c r="AK760" s="2521"/>
      <c r="AL760" s="252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1"/>
      <c r="F761" s="2421"/>
      <c r="G761" s="2421"/>
      <c r="H761" s="2421"/>
      <c r="I761" s="2421"/>
      <c r="J761" s="2421"/>
      <c r="K761" s="2421"/>
      <c r="L761" s="2421"/>
      <c r="M761" s="2421"/>
      <c r="N761" s="2421"/>
      <c r="O761" s="2421"/>
      <c r="P761" s="2421"/>
      <c r="Q761" s="2421"/>
      <c r="R761" s="2421"/>
      <c r="S761" s="2421"/>
      <c r="T761" s="2421"/>
      <c r="U761" s="2421"/>
      <c r="V761" s="2421"/>
      <c r="W761" s="2421"/>
      <c r="X761" s="2421"/>
      <c r="Y761" s="2421"/>
      <c r="Z761" s="2421"/>
      <c r="AA761" s="2421"/>
      <c r="AB761" s="242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5" t="s">
        <v>688</v>
      </c>
      <c r="I763" s="244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8">
        <f>VLOOKUP($H$763,$AO$697:$AP$699,2,FALSE)</f>
        <v>2</v>
      </c>
      <c r="AK765" s="243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1" t="s">
        <v>1693</v>
      </c>
      <c r="F769" s="2421"/>
      <c r="G769" s="2421"/>
      <c r="H769" s="2421"/>
      <c r="I769" s="2421"/>
      <c r="J769" s="2421"/>
      <c r="K769" s="2421"/>
      <c r="L769" s="2421"/>
      <c r="M769" s="2421"/>
      <c r="N769" s="2421"/>
      <c r="O769" s="2421"/>
      <c r="P769" s="2421"/>
      <c r="Q769" s="2421"/>
      <c r="R769" s="2421"/>
      <c r="S769" s="2421"/>
      <c r="T769" s="2421"/>
      <c r="U769" s="2421"/>
      <c r="V769" s="2421"/>
      <c r="W769" s="2421"/>
      <c r="X769" s="2421"/>
      <c r="Y769" s="2421"/>
      <c r="Z769" s="2421"/>
      <c r="AA769" s="2421"/>
      <c r="AB769" s="2421"/>
      <c r="AC769" s="2421"/>
      <c r="AD769" s="2421"/>
      <c r="AE769" s="536"/>
      <c r="AF769" s="2521" t="s">
        <v>1409</v>
      </c>
      <c r="AG769" s="2521"/>
      <c r="AH769" s="2521"/>
      <c r="AI769" s="2521"/>
      <c r="AJ769" s="2521"/>
      <c r="AK769" s="2521"/>
      <c r="AL769" s="2521"/>
      <c r="AM769" s="613"/>
      <c r="AN769" s="684"/>
      <c r="AO769" s="550" t="s">
        <v>592</v>
      </c>
      <c r="AP769" s="673">
        <v>0</v>
      </c>
    </row>
    <row r="770" spans="1:81" s="570" customFormat="1" ht="13.7" customHeight="1">
      <c r="A770" s="550"/>
      <c r="B770" s="616"/>
      <c r="C770" s="940"/>
      <c r="D770" s="663"/>
      <c r="E770" s="2421"/>
      <c r="F770" s="2421"/>
      <c r="G770" s="2421"/>
      <c r="H770" s="2421"/>
      <c r="I770" s="2421"/>
      <c r="J770" s="2421"/>
      <c r="K770" s="2421"/>
      <c r="L770" s="2421"/>
      <c r="M770" s="2421"/>
      <c r="N770" s="2421"/>
      <c r="O770" s="2421"/>
      <c r="P770" s="2421"/>
      <c r="Q770" s="2421"/>
      <c r="R770" s="2421"/>
      <c r="S770" s="2421"/>
      <c r="T770" s="2421"/>
      <c r="U770" s="2421"/>
      <c r="V770" s="2421"/>
      <c r="W770" s="2421"/>
      <c r="X770" s="2421"/>
      <c r="Y770" s="2421"/>
      <c r="Z770" s="2421"/>
      <c r="AA770" s="2421"/>
      <c r="AB770" s="2421"/>
      <c r="AC770" s="2421"/>
      <c r="AD770" s="2421"/>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1"/>
      <c r="F771" s="2421"/>
      <c r="G771" s="2421"/>
      <c r="H771" s="2421"/>
      <c r="I771" s="2421"/>
      <c r="J771" s="2421"/>
      <c r="K771" s="2421"/>
      <c r="L771" s="2421"/>
      <c r="M771" s="2421"/>
      <c r="N771" s="2421"/>
      <c r="O771" s="2421"/>
      <c r="P771" s="2421"/>
      <c r="Q771" s="2421"/>
      <c r="R771" s="2421"/>
      <c r="S771" s="2421"/>
      <c r="T771" s="2421"/>
      <c r="U771" s="2421"/>
      <c r="V771" s="2421"/>
      <c r="W771" s="2421"/>
      <c r="X771" s="2421"/>
      <c r="Y771" s="2421"/>
      <c r="Z771" s="2421"/>
      <c r="AA771" s="2421"/>
      <c r="AB771" s="2421"/>
      <c r="AC771" s="2421"/>
      <c r="AD771" s="2421"/>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1"/>
      <c r="F772" s="2421"/>
      <c r="G772" s="2421"/>
      <c r="H772" s="2421"/>
      <c r="I772" s="2421"/>
      <c r="J772" s="2421"/>
      <c r="K772" s="2421"/>
      <c r="L772" s="2421"/>
      <c r="M772" s="2421"/>
      <c r="N772" s="2421"/>
      <c r="O772" s="2421"/>
      <c r="P772" s="2421"/>
      <c r="Q772" s="2421"/>
      <c r="R772" s="2421"/>
      <c r="S772" s="2421"/>
      <c r="T772" s="2421"/>
      <c r="U772" s="2421"/>
      <c r="V772" s="2421"/>
      <c r="W772" s="2421"/>
      <c r="X772" s="2421"/>
      <c r="Y772" s="2421"/>
      <c r="Z772" s="2421"/>
      <c r="AA772" s="2421"/>
      <c r="AB772" s="2421"/>
      <c r="AC772" s="2421"/>
      <c r="AD772" s="242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2" t="s">
        <v>1698</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6"/>
      <c r="AF774" s="2521" t="s">
        <v>1353</v>
      </c>
      <c r="AG774" s="2521"/>
      <c r="AH774" s="2521"/>
      <c r="AI774" s="2521"/>
      <c r="AJ774" s="2521"/>
      <c r="AK774" s="2521"/>
      <c r="AL774" s="2521"/>
      <c r="AM774" s="613"/>
      <c r="AN774" s="597"/>
    </row>
    <row r="775" spans="1:81" s="550" customFormat="1" ht="12.75" customHeight="1">
      <c r="B775" s="616"/>
      <c r="C775" s="940"/>
      <c r="D775" s="663"/>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4"/>
      <c r="AF775" s="594"/>
      <c r="AG775" s="594"/>
      <c r="AH775" s="594"/>
      <c r="AI775" s="594"/>
      <c r="AJ775" s="594"/>
      <c r="AK775" s="594"/>
      <c r="AL775" s="594"/>
      <c r="AM775" s="613"/>
      <c r="AN775" s="597"/>
    </row>
    <row r="776" spans="1:81" s="550" customFormat="1" ht="12.75" customHeight="1">
      <c r="B776" s="616"/>
      <c r="C776" s="940"/>
      <c r="D776" s="663"/>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4"/>
      <c r="AF776" s="594"/>
      <c r="AG776" s="594"/>
      <c r="AH776" s="594"/>
      <c r="AI776" s="594"/>
      <c r="AJ776" s="594"/>
      <c r="AK776" s="594"/>
      <c r="AL776" s="594"/>
      <c r="AM776" s="613"/>
      <c r="AN776" s="597"/>
    </row>
    <row r="777" spans="1:81" s="550" customFormat="1" ht="12.75" customHeight="1">
      <c r="B777" s="616"/>
      <c r="C777" s="940"/>
      <c r="D777" s="663"/>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5" t="s">
        <v>592</v>
      </c>
      <c r="I779" s="244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8">
        <f>VLOOKUP($H$779,$AO$769:$AP$771,2,FALSE)</f>
        <v>0</v>
      </c>
      <c r="AK781" s="243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1" t="s">
        <v>2033</v>
      </c>
      <c r="F785" s="2421"/>
      <c r="G785" s="2421"/>
      <c r="H785" s="2421"/>
      <c r="I785" s="2421"/>
      <c r="J785" s="2421"/>
      <c r="K785" s="2421"/>
      <c r="L785" s="2421"/>
      <c r="M785" s="2421"/>
      <c r="N785" s="2421"/>
      <c r="O785" s="2421"/>
      <c r="P785" s="2421"/>
      <c r="Q785" s="2421"/>
      <c r="R785" s="2421"/>
      <c r="S785" s="2421"/>
      <c r="T785" s="2421"/>
      <c r="U785" s="2421"/>
      <c r="V785" s="2421"/>
      <c r="W785" s="2421"/>
      <c r="X785" s="2421"/>
      <c r="Y785" s="2421"/>
      <c r="Z785" s="2421"/>
      <c r="AA785" s="2421"/>
      <c r="AB785" s="2421"/>
      <c r="AC785" s="2421"/>
      <c r="AD785" s="2421"/>
      <c r="AE785" s="536"/>
      <c r="AF785" s="2521" t="s">
        <v>1353</v>
      </c>
      <c r="AG785" s="2521"/>
      <c r="AH785" s="2521"/>
      <c r="AI785" s="2521"/>
      <c r="AJ785" s="2521"/>
      <c r="AK785" s="2521"/>
      <c r="AL785" s="2521"/>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1"/>
      <c r="F786" s="2421"/>
      <c r="G786" s="2421"/>
      <c r="H786" s="2421"/>
      <c r="I786" s="2421"/>
      <c r="J786" s="2421"/>
      <c r="K786" s="2421"/>
      <c r="L786" s="2421"/>
      <c r="M786" s="2421"/>
      <c r="N786" s="2421"/>
      <c r="O786" s="2421"/>
      <c r="P786" s="2421"/>
      <c r="Q786" s="2421"/>
      <c r="R786" s="2421"/>
      <c r="S786" s="2421"/>
      <c r="T786" s="2421"/>
      <c r="U786" s="2421"/>
      <c r="V786" s="2421"/>
      <c r="W786" s="2421"/>
      <c r="X786" s="2421"/>
      <c r="Y786" s="2421"/>
      <c r="Z786" s="2421"/>
      <c r="AA786" s="2421"/>
      <c r="AB786" s="2421"/>
      <c r="AC786" s="2421"/>
      <c r="AD786" s="242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1"/>
      <c r="F787" s="2421"/>
      <c r="G787" s="2421"/>
      <c r="H787" s="2421"/>
      <c r="I787" s="2421"/>
      <c r="J787" s="2421"/>
      <c r="K787" s="2421"/>
      <c r="L787" s="2421"/>
      <c r="M787" s="2421"/>
      <c r="N787" s="2421"/>
      <c r="O787" s="2421"/>
      <c r="P787" s="2421"/>
      <c r="Q787" s="2421"/>
      <c r="R787" s="2421"/>
      <c r="S787" s="2421"/>
      <c r="T787" s="2421"/>
      <c r="U787" s="2421"/>
      <c r="V787" s="2421"/>
      <c r="W787" s="2421"/>
      <c r="X787" s="2421"/>
      <c r="Y787" s="2421"/>
      <c r="Z787" s="2421"/>
      <c r="AA787" s="2421"/>
      <c r="AB787" s="2421"/>
      <c r="AC787" s="2421"/>
      <c r="AD787" s="242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1"/>
      <c r="F788" s="2421"/>
      <c r="G788" s="2421"/>
      <c r="H788" s="2421"/>
      <c r="I788" s="2421"/>
      <c r="J788" s="2421"/>
      <c r="K788" s="2421"/>
      <c r="L788" s="2421"/>
      <c r="M788" s="2421"/>
      <c r="N788" s="2421"/>
      <c r="O788" s="2421"/>
      <c r="P788" s="2421"/>
      <c r="Q788" s="2421"/>
      <c r="R788" s="2421"/>
      <c r="S788" s="2421"/>
      <c r="T788" s="2421"/>
      <c r="U788" s="2421"/>
      <c r="V788" s="2421"/>
      <c r="W788" s="2421"/>
      <c r="X788" s="2421"/>
      <c r="Y788" s="2421"/>
      <c r="Z788" s="2421"/>
      <c r="AA788" s="2421"/>
      <c r="AB788" s="2421"/>
      <c r="AC788" s="2421"/>
      <c r="AD788" s="242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5" t="s">
        <v>592</v>
      </c>
      <c r="I790" s="244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8">
        <f>VLOOKUP($H$790,$AO$784:$AP$785,2,FALSE)</f>
        <v>0</v>
      </c>
      <c r="AK792" s="243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8">
        <f>IF(($AJ$621+$AJ$640+$AJ$652+$AJ$687+$AJ$711+$AJ$725+$AJ$737+$AJ$753+$AJ$765+$AJ$781+AJ792)&gt;10,10,($AJ$621+$AJ$640+$AJ$652+$AJ$687+$AJ$711+$AJ$725+$AJ$737+$AJ$753+$AJ$765+$AJ$781+AJ792))</f>
        <v>10</v>
      </c>
      <c r="AL794" s="2429"/>
      <c r="AM794" s="243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2" t="s">
        <v>1569</v>
      </c>
      <c r="B797" s="2513"/>
      <c r="C797" s="2513"/>
      <c r="D797" s="2513"/>
      <c r="E797" s="2513"/>
      <c r="F797" s="2513"/>
      <c r="G797" s="2513"/>
      <c r="H797" s="2513"/>
      <c r="I797" s="2513"/>
      <c r="J797" s="2513"/>
      <c r="K797" s="2513"/>
      <c r="L797" s="2513"/>
      <c r="M797" s="2513"/>
      <c r="N797" s="2513"/>
      <c r="O797" s="2513"/>
      <c r="P797" s="2513"/>
      <c r="Q797" s="2513"/>
      <c r="R797" s="2513"/>
      <c r="S797" s="2513"/>
      <c r="T797" s="2513"/>
      <c r="U797" s="2513"/>
      <c r="V797" s="2513"/>
      <c r="W797" s="2513"/>
      <c r="X797" s="2513"/>
      <c r="Y797" s="2513"/>
      <c r="Z797" s="2513"/>
      <c r="AA797" s="2513"/>
      <c r="AB797" s="2513"/>
      <c r="AC797" s="2513"/>
      <c r="AD797" s="2513"/>
      <c r="AE797" s="2513"/>
      <c r="AF797" s="2513"/>
      <c r="AG797" s="2513"/>
      <c r="AH797" s="2513"/>
      <c r="AI797" s="2513"/>
      <c r="AJ797" s="2513"/>
      <c r="AK797" s="2513"/>
      <c r="AL797" s="2513"/>
      <c r="AM797" s="2513"/>
    </row>
    <row r="798" spans="1:81">
      <c r="A798" s="2514"/>
      <c r="B798" s="2514"/>
      <c r="C798" s="2514"/>
      <c r="D798" s="2514"/>
      <c r="E798" s="2514"/>
      <c r="F798" s="2514"/>
      <c r="G798" s="2514"/>
      <c r="H798" s="2514"/>
      <c r="I798" s="2514"/>
      <c r="J798" s="2514"/>
      <c r="K798" s="2514"/>
      <c r="L798" s="2514"/>
      <c r="M798" s="2514"/>
      <c r="N798" s="2514"/>
      <c r="O798" s="2514"/>
      <c r="P798" s="2514"/>
      <c r="Q798" s="2514"/>
      <c r="R798" s="2514"/>
      <c r="S798" s="2514"/>
      <c r="T798" s="2514"/>
      <c r="U798" s="2514"/>
      <c r="V798" s="2514"/>
      <c r="W798" s="2514"/>
      <c r="X798" s="2514"/>
      <c r="Y798" s="2514"/>
      <c r="Z798" s="2514"/>
      <c r="AA798" s="2514"/>
      <c r="AB798" s="2514"/>
      <c r="AC798" s="2514"/>
      <c r="AD798" s="2514"/>
      <c r="AE798" s="2514"/>
      <c r="AF798" s="2514"/>
      <c r="AG798" s="2514"/>
      <c r="AH798" s="2514"/>
      <c r="AI798" s="2514"/>
      <c r="AJ798" s="2514"/>
      <c r="AK798" s="2514"/>
      <c r="AL798" s="2514"/>
      <c r="AM798" s="251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3"/>
      <c r="B800" s="2443"/>
      <c r="C800" s="2443"/>
      <c r="D800" s="2443"/>
      <c r="E800" s="2443"/>
      <c r="F800" s="2443"/>
      <c r="G800" s="2443"/>
      <c r="H800" s="2443"/>
      <c r="I800" s="2443"/>
      <c r="J800" s="2443"/>
      <c r="K800" s="2443"/>
      <c r="L800" s="2443"/>
      <c r="M800" s="2443"/>
      <c r="N800" s="2443"/>
      <c r="O800" s="2443"/>
      <c r="P800" s="2443"/>
      <c r="Q800" s="2443"/>
      <c r="R800" s="2443"/>
      <c r="S800" s="2443"/>
      <c r="T800" s="2443"/>
      <c r="U800" s="2443"/>
      <c r="V800" s="2443"/>
      <c r="W800" s="2443"/>
      <c r="X800" s="2443"/>
      <c r="Y800" s="2443"/>
      <c r="Z800" s="2443"/>
      <c r="AA800" s="2443"/>
      <c r="AB800" s="2443"/>
      <c r="AC800" s="2443"/>
      <c r="AD800" s="2443"/>
      <c r="AE800" s="2443"/>
      <c r="AF800" s="2443"/>
      <c r="AG800" s="2443"/>
      <c r="AH800" s="2443"/>
      <c r="AI800" s="2443"/>
      <c r="AJ800" s="2443"/>
      <c r="AK800" s="2443"/>
      <c r="AL800" s="2443"/>
      <c r="AM800" s="2443"/>
      <c r="AP800" s="816"/>
      <c r="AQ800" s="816"/>
    </row>
    <row r="801" spans="1:81">
      <c r="A801" s="2443"/>
      <c r="B801" s="2443"/>
      <c r="C801" s="2443"/>
      <c r="D801" s="2443"/>
      <c r="E801" s="2443"/>
      <c r="F801" s="2443"/>
      <c r="G801" s="2443"/>
      <c r="H801" s="2443"/>
      <c r="I801" s="2443"/>
      <c r="J801" s="2443"/>
      <c r="K801" s="2443"/>
      <c r="L801" s="2443"/>
      <c r="M801" s="2443"/>
      <c r="N801" s="2443"/>
      <c r="O801" s="2443"/>
      <c r="P801" s="2443"/>
      <c r="Q801" s="2443"/>
      <c r="R801" s="2443"/>
      <c r="S801" s="2443"/>
      <c r="T801" s="2443"/>
      <c r="U801" s="2443"/>
      <c r="V801" s="2443"/>
      <c r="W801" s="2443"/>
      <c r="X801" s="2443"/>
      <c r="Y801" s="2443"/>
      <c r="Z801" s="2443"/>
      <c r="AA801" s="2443"/>
      <c r="AB801" s="2443"/>
      <c r="AC801" s="2443"/>
      <c r="AD801" s="2443"/>
      <c r="AE801" s="2443"/>
      <c r="AF801" s="2443"/>
      <c r="AG801" s="2443"/>
      <c r="AH801" s="2443"/>
      <c r="AI801" s="2443"/>
      <c r="AJ801" s="2443"/>
      <c r="AK801" s="2443"/>
      <c r="AL801" s="2443"/>
      <c r="AM801" s="244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5" t="s">
        <v>1570</v>
      </c>
      <c r="U802" s="2516"/>
      <c r="V802" s="2516"/>
      <c r="W802" s="2516"/>
      <c r="X802" s="2516"/>
      <c r="Y802" s="2517"/>
      <c r="Z802" s="2515" t="s">
        <v>1571</v>
      </c>
      <c r="AA802" s="2516"/>
      <c r="AB802" s="2516"/>
      <c r="AC802" s="2516"/>
      <c r="AD802" s="2516"/>
      <c r="AE802" s="2517"/>
      <c r="AF802" s="2515" t="s">
        <v>1572</v>
      </c>
      <c r="AG802" s="2516"/>
      <c r="AH802" s="2516"/>
      <c r="AI802" s="2516"/>
      <c r="AJ802" s="2516"/>
      <c r="AK802" s="251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8"/>
      <c r="U803" s="2519"/>
      <c r="V803" s="2519"/>
      <c r="W803" s="2519"/>
      <c r="X803" s="2519"/>
      <c r="Y803" s="2520"/>
      <c r="Z803" s="2518"/>
      <c r="AA803" s="2519"/>
      <c r="AB803" s="2519"/>
      <c r="AC803" s="2519"/>
      <c r="AD803" s="2519"/>
      <c r="AE803" s="2520"/>
      <c r="AF803" s="2518"/>
      <c r="AG803" s="2519"/>
      <c r="AH803" s="2519"/>
      <c r="AI803" s="2519"/>
      <c r="AJ803" s="2519"/>
      <c r="AK803" s="2520"/>
      <c r="AL803" s="818"/>
      <c r="AM803" s="596"/>
      <c r="AO803" s="816"/>
      <c r="AP803" s="816"/>
      <c r="AQ803" s="816"/>
    </row>
    <row r="804" spans="1:81">
      <c r="A804" s="819" t="s">
        <v>758</v>
      </c>
      <c r="B804" s="2472" t="s">
        <v>1305</v>
      </c>
      <c r="C804" s="2472"/>
      <c r="D804" s="2472"/>
      <c r="E804" s="2472"/>
      <c r="F804" s="2472"/>
      <c r="G804" s="2472"/>
      <c r="H804" s="2472"/>
      <c r="I804" s="2472"/>
      <c r="J804" s="2472"/>
      <c r="K804" s="2472"/>
      <c r="L804" s="2472"/>
      <c r="M804" s="2472"/>
      <c r="N804" s="2472"/>
      <c r="O804" s="2472"/>
      <c r="P804" s="2472"/>
      <c r="Q804" s="2472"/>
      <c r="R804" s="2472"/>
      <c r="S804" s="2473"/>
      <c r="T804" s="2500">
        <f>AK62</f>
        <v>0</v>
      </c>
      <c r="U804" s="2476"/>
      <c r="V804" s="2476"/>
      <c r="W804" s="2476"/>
      <c r="X804" s="2476"/>
      <c r="Y804" s="2477"/>
      <c r="Z804" s="2475">
        <v>20</v>
      </c>
      <c r="AA804" s="2476"/>
      <c r="AB804" s="2476"/>
      <c r="AC804" s="2476"/>
      <c r="AD804" s="2476"/>
      <c r="AE804" s="2477"/>
      <c r="AF804" s="2440">
        <f>IF(T804&gt;Z804,Z804,T804)</f>
        <v>0</v>
      </c>
      <c r="AG804" s="2440"/>
      <c r="AH804" s="2440"/>
      <c r="AI804" s="2440"/>
      <c r="AJ804" s="2440"/>
      <c r="AK804" s="2440"/>
      <c r="AL804" s="818"/>
      <c r="AM804" s="596"/>
      <c r="AO804" s="816"/>
      <c r="AP804" s="816"/>
      <c r="AQ804" s="816"/>
    </row>
    <row r="805" spans="1:81">
      <c r="A805" s="819" t="s">
        <v>1542</v>
      </c>
      <c r="B805" s="2472" t="s">
        <v>1314</v>
      </c>
      <c r="C805" s="2472"/>
      <c r="D805" s="2472"/>
      <c r="E805" s="2472"/>
      <c r="F805" s="2472"/>
      <c r="G805" s="2472"/>
      <c r="H805" s="2472"/>
      <c r="I805" s="2472"/>
      <c r="J805" s="2472"/>
      <c r="K805" s="2472"/>
      <c r="L805" s="2472"/>
      <c r="M805" s="2472"/>
      <c r="N805" s="2472"/>
      <c r="O805" s="2472"/>
      <c r="P805" s="2472"/>
      <c r="Q805" s="2472"/>
      <c r="R805" s="2472"/>
      <c r="S805" s="2473"/>
      <c r="T805" s="2500">
        <f>AK84</f>
        <v>10</v>
      </c>
      <c r="U805" s="2476"/>
      <c r="V805" s="2476"/>
      <c r="W805" s="2476"/>
      <c r="X805" s="2476"/>
      <c r="Y805" s="2477"/>
      <c r="Z805" s="2475">
        <v>10</v>
      </c>
      <c r="AA805" s="2476"/>
      <c r="AB805" s="2476"/>
      <c r="AC805" s="2476"/>
      <c r="AD805" s="2476"/>
      <c r="AE805" s="2477"/>
      <c r="AF805" s="2440">
        <f>IF(T805&gt;Z805,Z805,T805)</f>
        <v>10</v>
      </c>
      <c r="AG805" s="2440"/>
      <c r="AH805" s="2440"/>
      <c r="AI805" s="2440"/>
      <c r="AJ805" s="2440"/>
      <c r="AK805" s="2440"/>
      <c r="AL805" s="818"/>
      <c r="AM805" s="596"/>
      <c r="AO805" s="816"/>
      <c r="AP805" s="816"/>
      <c r="AQ805" s="816"/>
    </row>
    <row r="806" spans="1:81">
      <c r="A806" s="819" t="s">
        <v>1551</v>
      </c>
      <c r="B806" s="2472" t="s">
        <v>1324</v>
      </c>
      <c r="C806" s="2472"/>
      <c r="D806" s="2472"/>
      <c r="E806" s="2472"/>
      <c r="F806" s="2472"/>
      <c r="G806" s="2472"/>
      <c r="H806" s="2472"/>
      <c r="I806" s="2472"/>
      <c r="J806" s="2472"/>
      <c r="K806" s="2472"/>
      <c r="L806" s="2472"/>
      <c r="M806" s="2472"/>
      <c r="N806" s="2472"/>
      <c r="O806" s="2472"/>
      <c r="P806" s="2472"/>
      <c r="Q806" s="2472"/>
      <c r="R806" s="2472"/>
      <c r="S806" s="2473"/>
      <c r="T806" s="2500">
        <f ca="1">AK109</f>
        <v>20</v>
      </c>
      <c r="U806" s="2476"/>
      <c r="V806" s="2476"/>
      <c r="W806" s="2476"/>
      <c r="X806" s="2476"/>
      <c r="Y806" s="2477"/>
      <c r="Z806" s="2475">
        <v>20</v>
      </c>
      <c r="AA806" s="2476"/>
      <c r="AB806" s="2476"/>
      <c r="AC806" s="2476"/>
      <c r="AD806" s="2476"/>
      <c r="AE806" s="2477"/>
      <c r="AF806" s="2440">
        <f ca="1">IF(T806&gt;Z806,Z806,T806)</f>
        <v>20</v>
      </c>
      <c r="AG806" s="2440"/>
      <c r="AH806" s="2440"/>
      <c r="AI806" s="2440"/>
      <c r="AJ806" s="2440"/>
      <c r="AK806" s="2440"/>
      <c r="AL806" s="818"/>
      <c r="AM806" s="596"/>
      <c r="AO806" s="816"/>
      <c r="AP806" s="816"/>
      <c r="AQ806" s="816"/>
    </row>
    <row r="807" spans="1:81">
      <c r="A807" s="819" t="s">
        <v>1573</v>
      </c>
      <c r="B807" s="2472" t="s">
        <v>1334</v>
      </c>
      <c r="C807" s="2472"/>
      <c r="D807" s="2472"/>
      <c r="E807" s="2472"/>
      <c r="F807" s="2472"/>
      <c r="G807" s="2472"/>
      <c r="H807" s="2472"/>
      <c r="I807" s="2472"/>
      <c r="J807" s="2472"/>
      <c r="K807" s="2472"/>
      <c r="L807" s="2472"/>
      <c r="M807" s="2472"/>
      <c r="N807" s="2472"/>
      <c r="O807" s="2472"/>
      <c r="P807" s="2472"/>
      <c r="Q807" s="2472"/>
      <c r="R807" s="2472"/>
      <c r="S807" s="2473"/>
      <c r="T807" s="2500">
        <f>AK143</f>
        <v>10</v>
      </c>
      <c r="U807" s="2476"/>
      <c r="V807" s="2476"/>
      <c r="W807" s="2476"/>
      <c r="X807" s="2476"/>
      <c r="Y807" s="2477"/>
      <c r="Z807" s="2475">
        <v>10</v>
      </c>
      <c r="AA807" s="2476"/>
      <c r="AB807" s="2476"/>
      <c r="AC807" s="2476"/>
      <c r="AD807" s="2476"/>
      <c r="AE807" s="2477"/>
      <c r="AF807" s="2440">
        <f>IF(T807&gt;Z807,Z807,T807)</f>
        <v>10</v>
      </c>
      <c r="AG807" s="2440"/>
      <c r="AH807" s="2440"/>
      <c r="AI807" s="2440"/>
      <c r="AJ807" s="2440"/>
      <c r="AK807" s="2440"/>
      <c r="AL807" s="818"/>
      <c r="AM807" s="596"/>
      <c r="AO807" s="816"/>
      <c r="AP807" s="816"/>
      <c r="AQ807" s="816"/>
    </row>
    <row r="808" spans="1:81">
      <c r="A808" s="820" t="s">
        <v>1574</v>
      </c>
      <c r="B808" s="2472" t="s">
        <v>1575</v>
      </c>
      <c r="C808" s="2472"/>
      <c r="D808" s="2472"/>
      <c r="E808" s="2472"/>
      <c r="F808" s="2472"/>
      <c r="G808" s="2472"/>
      <c r="H808" s="2472"/>
      <c r="I808" s="2472"/>
      <c r="J808" s="2472"/>
      <c r="K808" s="2472"/>
      <c r="L808" s="2472"/>
      <c r="M808" s="2472"/>
      <c r="N808" s="2472"/>
      <c r="O808" s="2472"/>
      <c r="P808" s="2472"/>
      <c r="Q808" s="2472"/>
      <c r="R808" s="2472"/>
      <c r="S808" s="2473"/>
      <c r="T808" s="2474">
        <f>SUM(T809:Y810)</f>
        <v>10</v>
      </c>
      <c r="U808" s="2474"/>
      <c r="V808" s="2474"/>
      <c r="W808" s="2474"/>
      <c r="X808" s="2474"/>
      <c r="Y808" s="2474"/>
      <c r="Z808" s="2440">
        <v>10</v>
      </c>
      <c r="AA808" s="2440"/>
      <c r="AB808" s="2440"/>
      <c r="AC808" s="2440"/>
      <c r="AD808" s="2440"/>
      <c r="AE808" s="2440"/>
      <c r="AF808" s="2440">
        <f>IF(T808&gt;Z808,Z808,T808)</f>
        <v>10</v>
      </c>
      <c r="AG808" s="2440"/>
      <c r="AH808" s="2440"/>
      <c r="AI808" s="2440"/>
      <c r="AJ808" s="2440"/>
      <c r="AK808" s="2440"/>
      <c r="AL808" s="818"/>
      <c r="AM808" s="596"/>
    </row>
    <row r="809" spans="1:81">
      <c r="A809" s="535"/>
      <c r="B809" s="601"/>
      <c r="C809" s="2478" t="s">
        <v>1576</v>
      </c>
      <c r="D809" s="2478"/>
      <c r="E809" s="2478"/>
      <c r="F809" s="2478"/>
      <c r="G809" s="2478"/>
      <c r="H809" s="2478"/>
      <c r="I809" s="2478"/>
      <c r="J809" s="2478"/>
      <c r="K809" s="2478"/>
      <c r="L809" s="2478"/>
      <c r="M809" s="2478"/>
      <c r="N809" s="2478"/>
      <c r="O809" s="2478"/>
      <c r="P809" s="2478"/>
      <c r="Q809" s="2478"/>
      <c r="R809" s="2478"/>
      <c r="S809" s="2479"/>
      <c r="T809" s="2480">
        <f>AJ166</f>
        <v>7</v>
      </c>
      <c r="U809" s="2480"/>
      <c r="V809" s="2480"/>
      <c r="W809" s="2480"/>
      <c r="X809" s="2480"/>
      <c r="Y809" s="2480"/>
      <c r="Z809" s="2481">
        <v>7</v>
      </c>
      <c r="AA809" s="2481"/>
      <c r="AB809" s="2481"/>
      <c r="AC809" s="2481"/>
      <c r="AD809" s="2481"/>
      <c r="AE809" s="2481"/>
      <c r="AF809" s="2482"/>
      <c r="AG809" s="2482"/>
      <c r="AH809" s="2482"/>
      <c r="AI809" s="2482"/>
      <c r="AJ809" s="2482"/>
      <c r="AK809" s="2482"/>
      <c r="AL809" s="818"/>
      <c r="AM809" s="596"/>
    </row>
    <row r="810" spans="1:81">
      <c r="A810" s="600"/>
      <c r="B810" s="601"/>
      <c r="C810" s="2478" t="s">
        <v>1577</v>
      </c>
      <c r="D810" s="2478"/>
      <c r="E810" s="2478"/>
      <c r="F810" s="2478"/>
      <c r="G810" s="2478"/>
      <c r="H810" s="2478"/>
      <c r="I810" s="2478"/>
      <c r="J810" s="2478"/>
      <c r="K810" s="2478"/>
      <c r="L810" s="2478"/>
      <c r="M810" s="2478"/>
      <c r="N810" s="2478"/>
      <c r="O810" s="2478"/>
      <c r="P810" s="2478"/>
      <c r="Q810" s="2478"/>
      <c r="R810" s="2478"/>
      <c r="S810" s="2479"/>
      <c r="T810" s="2480">
        <f>AJ180</f>
        <v>3</v>
      </c>
      <c r="U810" s="2480"/>
      <c r="V810" s="2480"/>
      <c r="W810" s="2480"/>
      <c r="X810" s="2480"/>
      <c r="Y810" s="2480"/>
      <c r="Z810" s="2481">
        <v>3</v>
      </c>
      <c r="AA810" s="2481"/>
      <c r="AB810" s="2481"/>
      <c r="AC810" s="2481"/>
      <c r="AD810" s="2481"/>
      <c r="AE810" s="2481"/>
      <c r="AF810" s="2482"/>
      <c r="AG810" s="2482"/>
      <c r="AH810" s="2482"/>
      <c r="AI810" s="2482"/>
      <c r="AJ810" s="2482"/>
      <c r="AK810" s="2482"/>
      <c r="AL810" s="818"/>
      <c r="AM810" s="596"/>
      <c r="AO810" s="550"/>
    </row>
    <row r="811" spans="1:81">
      <c r="A811" s="820" t="s">
        <v>1362</v>
      </c>
      <c r="B811" s="2472" t="s">
        <v>1578</v>
      </c>
      <c r="C811" s="2472"/>
      <c r="D811" s="2472"/>
      <c r="E811" s="2472"/>
      <c r="F811" s="2472"/>
      <c r="G811" s="2472"/>
      <c r="H811" s="2472"/>
      <c r="I811" s="2472"/>
      <c r="J811" s="2472"/>
      <c r="K811" s="2472"/>
      <c r="L811" s="2472"/>
      <c r="M811" s="2472"/>
      <c r="N811" s="2472"/>
      <c r="O811" s="2472"/>
      <c r="P811" s="2472"/>
      <c r="Q811" s="2472"/>
      <c r="R811" s="2472"/>
      <c r="S811" s="2473"/>
      <c r="T811" s="2474">
        <f>AK191</f>
        <v>10</v>
      </c>
      <c r="U811" s="2474"/>
      <c r="V811" s="2474"/>
      <c r="W811" s="2474"/>
      <c r="X811" s="2474"/>
      <c r="Y811" s="2474"/>
      <c r="Z811" s="2440">
        <v>10</v>
      </c>
      <c r="AA811" s="2440"/>
      <c r="AB811" s="2440"/>
      <c r="AC811" s="2440"/>
      <c r="AD811" s="2440"/>
      <c r="AE811" s="2440"/>
      <c r="AF811" s="2440">
        <f>IF(T811&gt;Z811,Z811,T811)</f>
        <v>10</v>
      </c>
      <c r="AG811" s="2440"/>
      <c r="AH811" s="2440"/>
      <c r="AI811" s="2440"/>
      <c r="AJ811" s="2440"/>
      <c r="AK811" s="2440"/>
      <c r="AL811" s="818"/>
      <c r="AM811" s="596"/>
    </row>
    <row r="812" spans="1:81">
      <c r="A812" s="819" t="s">
        <v>1371</v>
      </c>
      <c r="B812" s="2472" t="s">
        <v>1372</v>
      </c>
      <c r="C812" s="2472"/>
      <c r="D812" s="2472"/>
      <c r="E812" s="2472"/>
      <c r="F812" s="2472"/>
      <c r="G812" s="2472"/>
      <c r="H812" s="2472"/>
      <c r="I812" s="2472"/>
      <c r="J812" s="2472"/>
      <c r="K812" s="2472"/>
      <c r="L812" s="2472"/>
      <c r="M812" s="2472"/>
      <c r="N812" s="2472"/>
      <c r="O812" s="2472"/>
      <c r="P812" s="2472"/>
      <c r="Q812" s="2472"/>
      <c r="R812" s="2472"/>
      <c r="S812" s="2473"/>
      <c r="T812" s="2474">
        <f>AK273</f>
        <v>8</v>
      </c>
      <c r="U812" s="2474"/>
      <c r="V812" s="2474"/>
      <c r="W812" s="2474"/>
      <c r="X812" s="2474"/>
      <c r="Y812" s="2474"/>
      <c r="Z812" s="2475">
        <v>8</v>
      </c>
      <c r="AA812" s="2476"/>
      <c r="AB812" s="2476"/>
      <c r="AC812" s="2476"/>
      <c r="AD812" s="2476"/>
      <c r="AE812" s="2477"/>
      <c r="AF812" s="2440">
        <f>IF(T812&gt;Z812,Z812,T812)</f>
        <v>8</v>
      </c>
      <c r="AG812" s="2440"/>
      <c r="AH812" s="2440"/>
      <c r="AI812" s="2440"/>
      <c r="AJ812" s="2440"/>
      <c r="AK812" s="2440"/>
      <c r="AL812" s="818"/>
      <c r="AM812" s="596"/>
    </row>
    <row r="813" spans="1:81" s="534" customFormat="1" hidden="1">
      <c r="A813" s="820" t="s">
        <v>590</v>
      </c>
      <c r="B813" s="2472" t="s">
        <v>1579</v>
      </c>
      <c r="C813" s="2472"/>
      <c r="D813" s="2472"/>
      <c r="E813" s="2472"/>
      <c r="F813" s="2472"/>
      <c r="G813" s="2472"/>
      <c r="H813" s="2472"/>
      <c r="I813" s="2472"/>
      <c r="J813" s="2472"/>
      <c r="K813" s="2472"/>
      <c r="L813" s="2472"/>
      <c r="M813" s="2472"/>
      <c r="N813" s="2472"/>
      <c r="O813" s="2472"/>
      <c r="P813" s="2472"/>
      <c r="Q813" s="2472"/>
      <c r="R813" s="2472"/>
      <c r="S813" s="2473"/>
      <c r="T813" s="2474">
        <f>IF(AK535&gt;5,5,AK535)</f>
        <v>0</v>
      </c>
      <c r="U813" s="2474"/>
      <c r="V813" s="2474"/>
      <c r="W813" s="2474"/>
      <c r="X813" s="2474"/>
      <c r="Y813" s="2474"/>
      <c r="Z813" s="2440">
        <v>5</v>
      </c>
      <c r="AA813" s="2440"/>
      <c r="AB813" s="2440"/>
      <c r="AC813" s="2440"/>
      <c r="AD813" s="2440"/>
      <c r="AE813" s="2440"/>
      <c r="AF813" s="2440">
        <f>IF(T813&gt;Z813,5,T813)</f>
        <v>0</v>
      </c>
      <c r="AG813" s="2440"/>
      <c r="AH813" s="2440"/>
      <c r="AI813" s="2440"/>
      <c r="AJ813" s="2440"/>
      <c r="AK813" s="24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2" t="s">
        <v>1580</v>
      </c>
      <c r="C814" s="2472"/>
      <c r="D814" s="2472"/>
      <c r="E814" s="2472"/>
      <c r="F814" s="2472"/>
      <c r="G814" s="2472"/>
      <c r="H814" s="2472"/>
      <c r="I814" s="2472"/>
      <c r="J814" s="2472"/>
      <c r="K814" s="2472"/>
      <c r="L814" s="2472"/>
      <c r="M814" s="2472"/>
      <c r="N814" s="2472"/>
      <c r="O814" s="2472"/>
      <c r="P814" s="2472"/>
      <c r="Q814" s="2472"/>
      <c r="R814" s="2472"/>
      <c r="S814" s="2473"/>
      <c r="T814" s="2474">
        <f>AK285</f>
        <v>10</v>
      </c>
      <c r="U814" s="2474"/>
      <c r="V814" s="2474"/>
      <c r="W814" s="2474"/>
      <c r="X814" s="2474"/>
      <c r="Y814" s="2474"/>
      <c r="Z814" s="2440">
        <v>10</v>
      </c>
      <c r="AA814" s="2440"/>
      <c r="AB814" s="2440"/>
      <c r="AC814" s="2440"/>
      <c r="AD814" s="2440"/>
      <c r="AE814" s="2440"/>
      <c r="AF814" s="2483">
        <f>IF(T814&gt;Z814,Z814,T814)</f>
        <v>10</v>
      </c>
      <c r="AG814" s="2484"/>
      <c r="AH814" s="2484"/>
      <c r="AI814" s="2484"/>
      <c r="AJ814" s="2484"/>
      <c r="AK814" s="24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2" t="s">
        <v>1382</v>
      </c>
      <c r="C815" s="2472"/>
      <c r="D815" s="2472"/>
      <c r="E815" s="2472"/>
      <c r="F815" s="2472"/>
      <c r="G815" s="2472"/>
      <c r="H815" s="2472"/>
      <c r="I815" s="2472"/>
      <c r="J815" s="2472"/>
      <c r="K815" s="2472"/>
      <c r="L815" s="2472"/>
      <c r="M815" s="2472"/>
      <c r="N815" s="2472"/>
      <c r="O815" s="2472"/>
      <c r="P815" s="2472"/>
      <c r="Q815" s="2472"/>
      <c r="R815" s="2472"/>
      <c r="S815" s="2473"/>
      <c r="T815" s="2474">
        <f>AK338</f>
        <v>9</v>
      </c>
      <c r="U815" s="2474"/>
      <c r="V815" s="2474"/>
      <c r="W815" s="2474"/>
      <c r="X815" s="2474"/>
      <c r="Y815" s="2474"/>
      <c r="Z815" s="2483">
        <v>10</v>
      </c>
      <c r="AA815" s="2484"/>
      <c r="AB815" s="2484"/>
      <c r="AC815" s="2484"/>
      <c r="AD815" s="2484"/>
      <c r="AE815" s="2485"/>
      <c r="AF815" s="2483">
        <f>IF(T815&gt;Z815,Z815,T815)</f>
        <v>9</v>
      </c>
      <c r="AG815" s="2484"/>
      <c r="AH815" s="2484"/>
      <c r="AI815" s="2484"/>
      <c r="AJ815" s="2484"/>
      <c r="AK815" s="24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0">
        <f>AK338</f>
        <v>9</v>
      </c>
      <c r="U816" s="2480"/>
      <c r="V816" s="2480"/>
      <c r="W816" s="2480"/>
      <c r="X816" s="2480"/>
      <c r="Y816" s="2480"/>
      <c r="Z816" s="2428">
        <v>20</v>
      </c>
      <c r="AA816" s="2429"/>
      <c r="AB816" s="2429"/>
      <c r="AC816" s="2429"/>
      <c r="AD816" s="2429"/>
      <c r="AE816" s="2430"/>
      <c r="AF816" s="2482"/>
      <c r="AG816" s="2482"/>
      <c r="AH816" s="2482"/>
      <c r="AI816" s="2482"/>
      <c r="AJ816" s="2482"/>
      <c r="AK816" s="24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2" t="s">
        <v>846</v>
      </c>
      <c r="C817" s="2472"/>
      <c r="D817" s="2472"/>
      <c r="E817" s="2472"/>
      <c r="F817" s="2472"/>
      <c r="G817" s="2472"/>
      <c r="H817" s="2472"/>
      <c r="I817" s="2472"/>
      <c r="J817" s="2472"/>
      <c r="K817" s="2472"/>
      <c r="L817" s="2472"/>
      <c r="M817" s="2472"/>
      <c r="N817" s="2472"/>
      <c r="O817" s="2472"/>
      <c r="P817" s="2472"/>
      <c r="Q817" s="2472"/>
      <c r="R817" s="2472"/>
      <c r="S817" s="2473"/>
      <c r="T817" s="2474">
        <f>AK469</f>
        <v>10</v>
      </c>
      <c r="U817" s="2474"/>
      <c r="V817" s="2474"/>
      <c r="W817" s="2474"/>
      <c r="X817" s="2474"/>
      <c r="Y817" s="2474"/>
      <c r="Z817" s="2483">
        <v>10</v>
      </c>
      <c r="AA817" s="2484"/>
      <c r="AB817" s="2484"/>
      <c r="AC817" s="2484"/>
      <c r="AD817" s="2484"/>
      <c r="AE817" s="2485"/>
      <c r="AF817" s="2440">
        <f>IF(T817&gt;Z817,Z817,T817)</f>
        <v>10</v>
      </c>
      <c r="AG817" s="2440"/>
      <c r="AH817" s="2440"/>
      <c r="AI817" s="2440"/>
      <c r="AJ817" s="2440"/>
      <c r="AK817" s="24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2" t="s">
        <v>1560</v>
      </c>
      <c r="C818" s="2472"/>
      <c r="D818" s="2472"/>
      <c r="E818" s="2472"/>
      <c r="F818" s="2472"/>
      <c r="G818" s="2472"/>
      <c r="H818" s="2472"/>
      <c r="I818" s="2472"/>
      <c r="J818" s="2472"/>
      <c r="K818" s="2472"/>
      <c r="L818" s="2472"/>
      <c r="M818" s="2472"/>
      <c r="N818" s="2472"/>
      <c r="O818" s="2472"/>
      <c r="P818" s="2472"/>
      <c r="Q818" s="2472"/>
      <c r="R818" s="2472"/>
      <c r="S818" s="2473"/>
      <c r="T818" s="2474">
        <f>AK559</f>
        <v>12</v>
      </c>
      <c r="U818" s="2474"/>
      <c r="V818" s="2474"/>
      <c r="W818" s="2474"/>
      <c r="X818" s="2474"/>
      <c r="Y818" s="2474"/>
      <c r="Z818" s="2483">
        <v>12</v>
      </c>
      <c r="AA818" s="2484"/>
      <c r="AB818" s="2484"/>
      <c r="AC818" s="2484"/>
      <c r="AD818" s="2484"/>
      <c r="AE818" s="2485"/>
      <c r="AF818" s="2440">
        <f>IF(T818&gt;Z818,Z818,T818)</f>
        <v>12</v>
      </c>
      <c r="AG818" s="2440"/>
      <c r="AH818" s="2440"/>
      <c r="AI818" s="2440"/>
      <c r="AJ818" s="2440"/>
      <c r="AK818" s="24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2" t="s">
        <v>1582</v>
      </c>
      <c r="C819" s="2472"/>
      <c r="D819" s="2472"/>
      <c r="E819" s="2472"/>
      <c r="F819" s="2472"/>
      <c r="G819" s="2472"/>
      <c r="H819" s="2472"/>
      <c r="I819" s="2472"/>
      <c r="J819" s="2472"/>
      <c r="K819" s="2472"/>
      <c r="L819" s="2472"/>
      <c r="M819" s="2472"/>
      <c r="N819" s="2472"/>
      <c r="O819" s="2472"/>
      <c r="P819" s="2472"/>
      <c r="Q819" s="2472"/>
      <c r="R819" s="2472"/>
      <c r="S819" s="2473"/>
      <c r="T819" s="2474">
        <f>AK794</f>
        <v>10</v>
      </c>
      <c r="U819" s="2474"/>
      <c r="V819" s="2474"/>
      <c r="W819" s="2474"/>
      <c r="X819" s="2474"/>
      <c r="Y819" s="2474"/>
      <c r="Z819" s="2483">
        <v>10</v>
      </c>
      <c r="AA819" s="2484"/>
      <c r="AB819" s="2484"/>
      <c r="AC819" s="2484"/>
      <c r="AD819" s="2484"/>
      <c r="AE819" s="2485"/>
      <c r="AF819" s="2440">
        <f>IF(T819&gt;Z819,Z819,T819)</f>
        <v>10</v>
      </c>
      <c r="AG819" s="2440"/>
      <c r="AH819" s="2440"/>
      <c r="AI819" s="2440"/>
      <c r="AJ819" s="2440"/>
      <c r="AK819" s="24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6" t="s">
        <v>1583</v>
      </c>
      <c r="B820" s="2472"/>
      <c r="C820" s="2472"/>
      <c r="D820" s="2472"/>
      <c r="E820" s="2472"/>
      <c r="F820" s="2472"/>
      <c r="G820" s="2472"/>
      <c r="H820" s="2472"/>
      <c r="I820" s="2472"/>
      <c r="J820" s="2472"/>
      <c r="K820" s="2472"/>
      <c r="L820" s="2472"/>
      <c r="M820" s="2472"/>
      <c r="N820" s="2472"/>
      <c r="O820" s="2472"/>
      <c r="P820" s="2472"/>
      <c r="Q820" s="2472"/>
      <c r="R820" s="2472"/>
      <c r="S820" s="2473"/>
      <c r="T820" s="2487"/>
      <c r="U820" s="2487"/>
      <c r="V820" s="2487"/>
      <c r="W820" s="2487"/>
      <c r="X820" s="2487"/>
      <c r="Y820" s="2487"/>
      <c r="Z820" s="2481" t="s">
        <v>1584</v>
      </c>
      <c r="AA820" s="2481"/>
      <c r="AB820" s="2481"/>
      <c r="AC820" s="2481"/>
      <c r="AD820" s="2481"/>
      <c r="AE820" s="2481"/>
      <c r="AF820" s="2483">
        <f>IF(T820&gt;0,T820,0)</f>
        <v>0</v>
      </c>
      <c r="AG820" s="2484"/>
      <c r="AH820" s="2484"/>
      <c r="AI820" s="2484"/>
      <c r="AJ820" s="2484"/>
      <c r="AK820" s="24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8" t="s">
        <v>1585</v>
      </c>
      <c r="B821" s="2489"/>
      <c r="C821" s="2489"/>
      <c r="D821" s="2489"/>
      <c r="E821" s="2489"/>
      <c r="F821" s="2489"/>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90"/>
      <c r="AF821" s="2494">
        <f ca="1">SUM(AF804:AK819)-AF820</f>
        <v>119</v>
      </c>
      <c r="AG821" s="2495"/>
      <c r="AH821" s="2495"/>
      <c r="AI821" s="2495"/>
      <c r="AJ821" s="2495"/>
      <c r="AK821" s="24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1"/>
      <c r="B822" s="2492"/>
      <c r="C822" s="2492"/>
      <c r="D822" s="2492"/>
      <c r="E822" s="2492"/>
      <c r="F822" s="2492"/>
      <c r="G822" s="2492"/>
      <c r="H822" s="2492"/>
      <c r="I822" s="2492"/>
      <c r="J822" s="2492"/>
      <c r="K822" s="2492"/>
      <c r="L822" s="2492"/>
      <c r="M822" s="2492"/>
      <c r="N822" s="2492"/>
      <c r="O822" s="2492"/>
      <c r="P822" s="2492"/>
      <c r="Q822" s="2492"/>
      <c r="R822" s="2492"/>
      <c r="S822" s="2492"/>
      <c r="T822" s="2492"/>
      <c r="U822" s="2492"/>
      <c r="V822" s="2492"/>
      <c r="W822" s="2492"/>
      <c r="X822" s="2492"/>
      <c r="Y822" s="2492"/>
      <c r="Z822" s="2492"/>
      <c r="AA822" s="2492"/>
      <c r="AB822" s="2492"/>
      <c r="AC822" s="2492"/>
      <c r="AD822" s="2492"/>
      <c r="AE822" s="2493"/>
      <c r="AF822" s="2497"/>
      <c r="AG822" s="2498"/>
      <c r="AH822" s="2498"/>
      <c r="AI822" s="2498"/>
      <c r="AJ822" s="2498"/>
      <c r="AK822" s="24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 Bovee</cp:lastModifiedBy>
  <cp:lastPrinted>2025-08-26T19:00:24Z</cp:lastPrinted>
  <dcterms:created xsi:type="dcterms:W3CDTF">2007-12-27T18:26:28Z</dcterms:created>
  <dcterms:modified xsi:type="dcterms:W3CDTF">2025-09-05T19:06:35Z</dcterms:modified>
</cp:coreProperties>
</file>