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Plummer Village - North Hills, CA/05. Financing/Bonds/Bonds &amp; TC App/Draft App/"/>
    </mc:Choice>
  </mc:AlternateContent>
  <xr:revisionPtr revIDLastSave="1" documentId="8_{3BA9B7D5-1A8E-4A59-9CA8-A71562C64E95}" xr6:coauthVersionLast="47" xr6:coauthVersionMax="47" xr10:uidLastSave="{DC06EECB-29A8-4DDD-8CC5-B62097E678E5}"/>
  <bookViews>
    <workbookView xWindow="-11025" yWindow="-16320" windowWidth="29040" windowHeight="1572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7" l="1"/>
  <c r="A42" i="7"/>
  <c r="A41" i="7"/>
  <c r="E93" i="4"/>
  <c r="E49" i="4"/>
  <c r="E60" i="4"/>
  <c r="E58" i="4"/>
  <c r="E48" i="4"/>
  <c r="M961" i="3"/>
  <c r="W869" i="3" l="1"/>
  <c r="H4" i="4"/>
  <c r="I9" i="4"/>
  <c r="E66" i="4" l="1"/>
  <c r="W631"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T45" i="21"/>
  <c r="S45"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E69" i="4" s="1"/>
  <c r="R69" i="4" s="1"/>
  <c r="R66" i="4"/>
  <c r="R67" i="4"/>
  <c r="R68" i="4"/>
  <c r="A104" i="11"/>
  <c r="C101" i="11"/>
  <c r="C102" i="11"/>
  <c r="C104" i="11"/>
  <c r="B101" i="11"/>
  <c r="B102" i="11"/>
  <c r="B104" i="11"/>
  <c r="C85" i="11"/>
  <c r="C86" i="11"/>
  <c r="C87" i="11"/>
  <c r="C88" i="11"/>
  <c r="C89" i="11"/>
  <c r="C90" i="11"/>
  <c r="C91" i="11"/>
  <c r="C92" i="11"/>
  <c r="C93" i="11"/>
  <c r="C95" i="11"/>
  <c r="C96" i="11"/>
  <c r="B85" i="11"/>
  <c r="B86" i="11"/>
  <c r="B87" i="11"/>
  <c r="B88" i="11"/>
  <c r="B89" i="11"/>
  <c r="B90" i="11"/>
  <c r="B91" i="11"/>
  <c r="B92" i="11"/>
  <c r="B93"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B25"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3" i="13"/>
  <c r="B100" i="13"/>
  <c r="B101"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C81"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T81" i="4"/>
  <c r="H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6" i="13"/>
  <c r="E85" i="13"/>
  <c r="E84" i="13"/>
  <c r="E65" i="13"/>
  <c r="E53" i="13"/>
  <c r="E52" i="13"/>
  <c r="E51" i="13"/>
  <c r="E50" i="13"/>
  <c r="E49" i="13"/>
  <c r="E48" i="13"/>
  <c r="E47" i="13"/>
  <c r="E43" i="13"/>
  <c r="E41" i="13"/>
  <c r="E40" i="13"/>
  <c r="E37" i="13"/>
  <c r="E35" i="13"/>
  <c r="E34" i="13"/>
  <c r="E33" i="13"/>
  <c r="E32" i="13"/>
  <c r="E31" i="13"/>
  <c r="E30" i="13"/>
  <c r="E29" i="13"/>
  <c r="E27" i="13"/>
  <c r="E25" i="13"/>
  <c r="E23" i="13"/>
  <c r="E22" i="13"/>
  <c r="E17" i="13"/>
  <c r="E15" i="13"/>
  <c r="E14" i="13"/>
  <c r="E10" i="13"/>
  <c r="B95" i="13"/>
  <c r="B94" i="13"/>
  <c r="B92" i="13"/>
  <c r="B91" i="13"/>
  <c r="B90" i="13"/>
  <c r="B89" i="13"/>
  <c r="B88" i="13"/>
  <c r="B87" i="13"/>
  <c r="B86" i="13"/>
  <c r="B85" i="13"/>
  <c r="B84" i="13"/>
  <c r="B74" i="13"/>
  <c r="B73" i="13"/>
  <c r="B72" i="13"/>
  <c r="B65" i="13"/>
  <c r="B61" i="13"/>
  <c r="B60" i="13"/>
  <c r="B59" i="13"/>
  <c r="B58" i="13"/>
  <c r="B53" i="13"/>
  <c r="B48" i="13"/>
  <c r="B47" i="13"/>
  <c r="B43" i="13"/>
  <c r="C42" i="4"/>
  <c r="B42" i="13" s="1"/>
  <c r="B41" i="13"/>
  <c r="B40" i="13"/>
  <c r="B37" i="13"/>
  <c r="B35" i="13"/>
  <c r="B34" i="13"/>
  <c r="B33" i="13"/>
  <c r="B32" i="13"/>
  <c r="B31" i="13"/>
  <c r="B30" i="13"/>
  <c r="B29" i="13"/>
  <c r="B27" i="13"/>
  <c r="B23" i="13"/>
  <c r="B22" i="13"/>
  <c r="B17" i="13"/>
  <c r="B5" i="13"/>
  <c r="B6" i="13"/>
  <c r="B7" i="13"/>
  <c r="C8" i="4"/>
  <c r="B8" i="13" s="1"/>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1" i="4"/>
  <c r="R95" i="4"/>
  <c r="R88" i="4"/>
  <c r="R87" i="4"/>
  <c r="R85" i="4"/>
  <c r="R76" i="4"/>
  <c r="R72" i="4"/>
  <c r="R73" i="4"/>
  <c r="R74" i="4"/>
  <c r="R60" i="4"/>
  <c r="R59" i="4"/>
  <c r="R58" i="4"/>
  <c r="R48" i="4"/>
  <c r="R37" i="4"/>
  <c r="R35" i="4"/>
  <c r="R34" i="4"/>
  <c r="R33" i="4"/>
  <c r="R32" i="4"/>
  <c r="R31" i="4"/>
  <c r="R30" i="4"/>
  <c r="R29" i="4"/>
  <c r="R25" i="4"/>
  <c r="R23" i="4"/>
  <c r="R22" i="4"/>
  <c r="R15" i="4"/>
  <c r="R14" i="4"/>
  <c r="R7" i="4"/>
  <c r="R6" i="4"/>
  <c r="R5" i="4"/>
  <c r="R4" i="4"/>
  <c r="B5" i="11"/>
  <c r="C5" i="11"/>
  <c r="B6" i="11"/>
  <c r="C6" i="11"/>
  <c r="B7" i="11"/>
  <c r="C7" i="11"/>
  <c r="C8" i="11"/>
  <c r="B8" i="11"/>
  <c r="B11" i="11"/>
  <c r="C11" i="11"/>
  <c r="B15" i="11"/>
  <c r="C15" i="11"/>
  <c r="B16" i="11"/>
  <c r="C16" i="11"/>
  <c r="B18" i="11"/>
  <c r="C18" i="11"/>
  <c r="B23" i="11"/>
  <c r="C23" i="11"/>
  <c r="B24" i="11"/>
  <c r="B28" i="11"/>
  <c r="C28" i="11"/>
  <c r="B30" i="11"/>
  <c r="C30" i="11"/>
  <c r="B41" i="11"/>
  <c r="C41" i="11"/>
  <c r="C42" i="11"/>
  <c r="B42" i="11"/>
  <c r="B44" i="11"/>
  <c r="C44" i="11"/>
  <c r="B48" i="11"/>
  <c r="B49" i="11"/>
  <c r="C48" i="11"/>
  <c r="C49" i="11"/>
  <c r="B59" i="11"/>
  <c r="C59" i="11"/>
  <c r="B60" i="11"/>
  <c r="C60" i="11"/>
  <c r="B61" i="11"/>
  <c r="C61" i="11"/>
  <c r="B62" i="11"/>
  <c r="C62" i="11"/>
  <c r="B66" i="11"/>
  <c r="C66" i="11"/>
  <c r="B73" i="11"/>
  <c r="C73" i="11"/>
  <c r="B74" i="11"/>
  <c r="C74" i="11"/>
  <c r="B75" i="11"/>
  <c r="C75"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38" i="4"/>
  <c r="B38" i="13" s="1"/>
  <c r="D8" i="4"/>
  <c r="D11" i="4"/>
  <c r="D26" i="4"/>
  <c r="D38" i="4"/>
  <c r="D42" i="4"/>
  <c r="D54" i="4"/>
  <c r="D62" i="4"/>
  <c r="D77" i="4"/>
  <c r="D96" i="4"/>
  <c r="D104" i="4"/>
  <c r="S38" i="4"/>
  <c r="E38" i="13" s="1"/>
  <c r="S42" i="4"/>
  <c r="E42" i="13" s="1"/>
  <c r="F2" i="4"/>
  <c r="G2" i="4"/>
  <c r="H2" i="4"/>
  <c r="I2" i="4"/>
  <c r="J2" i="4"/>
  <c r="K2" i="4"/>
  <c r="L2" i="4"/>
  <c r="M2" i="4"/>
  <c r="N2" i="4"/>
  <c r="O2" i="4"/>
  <c r="P2" i="4"/>
  <c r="Q2" i="4"/>
  <c r="B4" i="4"/>
  <c r="B5" i="4"/>
  <c r="B6" i="4"/>
  <c r="B7" i="4"/>
  <c r="E8" i="4"/>
  <c r="F8" i="4"/>
  <c r="G8" i="4"/>
  <c r="H8" i="4"/>
  <c r="I8" i="4"/>
  <c r="I11" i="4"/>
  <c r="J8" i="4"/>
  <c r="J26" i="4"/>
  <c r="J38" i="4"/>
  <c r="J42" i="4"/>
  <c r="J54" i="4"/>
  <c r="J62" i="4"/>
  <c r="J70" i="4"/>
  <c r="J77" i="4"/>
  <c r="K8" i="4"/>
  <c r="L8" i="4"/>
  <c r="L11" i="4"/>
  <c r="M8" i="4"/>
  <c r="M11" i="4"/>
  <c r="N8" i="4"/>
  <c r="O8" i="4"/>
  <c r="Q8" i="4"/>
  <c r="Q11" i="4"/>
  <c r="B10" i="4"/>
  <c r="F26" i="4"/>
  <c r="F38" i="4"/>
  <c r="F42" i="4"/>
  <c r="F54" i="4"/>
  <c r="F62" i="4"/>
  <c r="N11" i="4"/>
  <c r="O11" i="4"/>
  <c r="B14" i="4"/>
  <c r="B15" i="4"/>
  <c r="AD210" i="20" s="1"/>
  <c r="B17" i="4"/>
  <c r="E17" i="4" s="1"/>
  <c r="B22" i="4"/>
  <c r="B23" i="4"/>
  <c r="G26" i="4"/>
  <c r="H26" i="4"/>
  <c r="I26" i="4"/>
  <c r="I38" i="4"/>
  <c r="I42" i="4"/>
  <c r="I54" i="4"/>
  <c r="I62"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7" i="4"/>
  <c r="R47" i="4" s="1"/>
  <c r="B48" i="4"/>
  <c r="B53" i="4"/>
  <c r="E53" i="4" s="1"/>
  <c r="R53" i="4" s="1"/>
  <c r="G54" i="4"/>
  <c r="H54" i="4"/>
  <c r="K54" i="4"/>
  <c r="L54" i="4"/>
  <c r="O54" i="4"/>
  <c r="Q54" i="4"/>
  <c r="B58" i="4"/>
  <c r="B60" i="4"/>
  <c r="B61" i="4"/>
  <c r="E61" i="4" s="1"/>
  <c r="G62" i="4"/>
  <c r="H62" i="4"/>
  <c r="K62" i="4"/>
  <c r="L62" i="4"/>
  <c r="O62" i="4"/>
  <c r="O70" i="4"/>
  <c r="O77" i="4"/>
  <c r="O96" i="4"/>
  <c r="O104" i="4"/>
  <c r="Q62" i="4"/>
  <c r="B65" i="4"/>
  <c r="E65" i="4" s="1"/>
  <c r="R65" i="4" s="1"/>
  <c r="F70" i="4"/>
  <c r="G70" i="4"/>
  <c r="H70" i="4"/>
  <c r="I70" i="4"/>
  <c r="K70" i="4"/>
  <c r="L70" i="4"/>
  <c r="Q70" i="4"/>
  <c r="B72" i="4"/>
  <c r="B73" i="4"/>
  <c r="B74" i="4"/>
  <c r="F77" i="4"/>
  <c r="G77" i="4"/>
  <c r="H77" i="4"/>
  <c r="I77" i="4"/>
  <c r="K77" i="4"/>
  <c r="L77" i="4"/>
  <c r="Q77" i="4"/>
  <c r="B84" i="4"/>
  <c r="E84" i="4" s="1"/>
  <c r="R84" i="4" s="1"/>
  <c r="B85" i="4"/>
  <c r="B86" i="4"/>
  <c r="E86" i="4" s="1"/>
  <c r="R86" i="4" s="1"/>
  <c r="B87" i="4"/>
  <c r="B88" i="4"/>
  <c r="B89" i="4"/>
  <c r="E89" i="4" s="1"/>
  <c r="B90" i="4"/>
  <c r="E90" i="4" s="1"/>
  <c r="R90" i="4" s="1"/>
  <c r="B91" i="4"/>
  <c r="E91" i="4" s="1"/>
  <c r="R91" i="4" s="1"/>
  <c r="B92" i="4"/>
  <c r="E92" i="4" s="1"/>
  <c r="R92" i="4" s="1"/>
  <c r="B94" i="4"/>
  <c r="R94" i="4" s="1"/>
  <c r="B95" i="4"/>
  <c r="F96" i="4"/>
  <c r="G96" i="4"/>
  <c r="H96" i="4"/>
  <c r="I96" i="4"/>
  <c r="K96" i="4"/>
  <c r="L96" i="4"/>
  <c r="Q96" i="4"/>
  <c r="B101" i="4"/>
  <c r="B103" i="4"/>
  <c r="F104" i="4"/>
  <c r="G104" i="4"/>
  <c r="H104" i="4"/>
  <c r="I104" i="4"/>
  <c r="K104" i="4"/>
  <c r="L104" i="4"/>
  <c r="Q104" i="4"/>
  <c r="I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E23" i="3" l="1"/>
  <c r="J6" i="8"/>
  <c r="J5" i="8"/>
  <c r="J4" i="8"/>
  <c r="E42" i="4"/>
  <c r="R17" i="4"/>
  <c r="E70" i="4"/>
  <c r="R61" i="4"/>
  <c r="D35" i="11"/>
  <c r="AO18" i="20"/>
  <c r="D36" i="11"/>
  <c r="D86" i="11"/>
  <c r="D87" i="11"/>
  <c r="D34" i="11"/>
  <c r="D6" i="11"/>
  <c r="D25" i="11"/>
  <c r="D91" i="11"/>
  <c r="D54" i="11"/>
  <c r="D90" i="11"/>
  <c r="D70" i="11"/>
  <c r="D93" i="11"/>
  <c r="D85" i="11"/>
  <c r="D89" i="11"/>
  <c r="D101" i="11"/>
  <c r="D32" i="11"/>
  <c r="D33" i="11"/>
  <c r="D92" i="11"/>
  <c r="D96" i="11"/>
  <c r="D88" i="11"/>
  <c r="D104" i="11"/>
  <c r="B8" i="4"/>
  <c r="N189" i="23" s="1"/>
  <c r="D95" i="11"/>
  <c r="D75" i="11"/>
  <c r="D62" i="11"/>
  <c r="L12" i="4"/>
  <c r="D38" i="11"/>
  <c r="B42" i="4"/>
  <c r="D49" i="11"/>
  <c r="D48" i="11"/>
  <c r="D15" i="11"/>
  <c r="D8" i="11"/>
  <c r="D41" i="11"/>
  <c r="D12" i="13"/>
  <c r="D74" i="11"/>
  <c r="C12" i="13"/>
  <c r="D73" i="11"/>
  <c r="D16" i="11"/>
  <c r="D5" i="11"/>
  <c r="D66" i="11"/>
  <c r="D59" i="11"/>
  <c r="D42" i="11"/>
  <c r="D28" i="11"/>
  <c r="N63" i="4"/>
  <c r="N97" i="4" s="1"/>
  <c r="N105" i="4" s="1"/>
  <c r="D12" i="4"/>
  <c r="C43" i="11"/>
  <c r="D11" i="11"/>
  <c r="F63" i="13"/>
  <c r="F97" i="13" s="1"/>
  <c r="F105" i="13" s="1"/>
  <c r="F107" i="13" s="1"/>
  <c r="D24" i="11"/>
  <c r="B39" i="11"/>
  <c r="B71" i="11"/>
  <c r="O12" i="4"/>
  <c r="B43" i="11"/>
  <c r="Q12" i="4"/>
  <c r="D61" i="11"/>
  <c r="B9" i="11"/>
  <c r="D30" i="11"/>
  <c r="D31" i="11"/>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G58" i="7"/>
  <c r="I63" i="4"/>
  <c r="I97" i="4" s="1"/>
  <c r="I105" i="4" s="1"/>
  <c r="L63" i="4"/>
  <c r="L97" i="4" s="1"/>
  <c r="L105" i="4" s="1"/>
  <c r="D44" i="11"/>
  <c r="D18" i="11"/>
  <c r="Q63" i="4"/>
  <c r="Q97" i="4" s="1"/>
  <c r="Q105" i="4" s="1"/>
  <c r="C39" i="11"/>
  <c r="J63" i="13"/>
  <c r="J97" i="13" s="1"/>
  <c r="J105" i="13" s="1"/>
  <c r="J107" i="13" s="1"/>
  <c r="D81" i="11"/>
  <c r="D60" i="11"/>
  <c r="M12" i="4"/>
  <c r="D63" i="4"/>
  <c r="D97" i="4" s="1"/>
  <c r="D105" i="4" s="1"/>
  <c r="BE68" i="3" s="1"/>
  <c r="R42" i="4"/>
  <c r="D63" i="13"/>
  <c r="D97" i="13" s="1"/>
  <c r="D105" i="13" s="1"/>
  <c r="D23" i="11"/>
  <c r="D7" i="11"/>
  <c r="R8" i="4"/>
  <c r="G63" i="13"/>
  <c r="G97" i="13" s="1"/>
  <c r="G105" i="13" s="1"/>
  <c r="G107" i="13" s="1"/>
  <c r="M53" i="7"/>
  <c r="K58" i="7"/>
  <c r="N188" i="23"/>
  <c r="I58" i="7"/>
  <c r="C9" i="11"/>
  <c r="T63" i="4"/>
  <c r="B38" i="4"/>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AA29" i="7"/>
  <c r="O29" i="7"/>
  <c r="AY1003" i="3"/>
  <c r="I1048" i="3" s="1"/>
  <c r="C798" i="3"/>
  <c r="G40" i="7"/>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S40"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I40" i="7"/>
  <c r="P43" i="21" a="1"/>
  <c r="P43" i="21" s="1"/>
  <c r="G33" i="7"/>
  <c r="I33" i="7" s="1"/>
  <c r="K33" i="7" s="1"/>
  <c r="M33" i="7" s="1"/>
  <c r="O33" i="7" s="1"/>
  <c r="Q33" i="7" s="1"/>
  <c r="S33" i="7" s="1"/>
  <c r="U33" i="7" s="1"/>
  <c r="W33" i="7" s="1"/>
  <c r="Y33" i="7" s="1"/>
  <c r="AA33" i="7" s="1"/>
  <c r="AC33" i="7" s="1"/>
  <c r="AE33" i="7" s="1"/>
  <c r="AG33" i="7" s="1"/>
  <c r="K40"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T30" i="21"/>
  <c r="T7" i="15"/>
  <c r="AC29" i="7"/>
  <c r="M29" i="7"/>
  <c r="Q40" i="7"/>
  <c r="U40" i="7"/>
  <c r="G29" i="7"/>
  <c r="Q29" i="7"/>
  <c r="AA40" i="7"/>
  <c r="Y40" i="7"/>
  <c r="M40" i="7"/>
  <c r="AE29" i="7"/>
  <c r="P36" i="21" a="1"/>
  <c r="P36" i="21" s="1"/>
  <c r="T28" i="21"/>
  <c r="AE40" i="7"/>
  <c r="W40" i="7"/>
  <c r="W29" i="7"/>
  <c r="P40" i="21" a="1"/>
  <c r="P40" i="21" s="1"/>
  <c r="O40" i="7"/>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6" i="7" s="1"/>
  <c r="AJ621" i="20"/>
  <c r="AK794" i="20" s="1"/>
  <c r="T819" i="20" s="1"/>
  <c r="AF819" i="20" s="1"/>
  <c r="BE82" i="3" s="1"/>
  <c r="G94" i="21"/>
  <c r="D43" i="11"/>
  <c r="D71" i="11"/>
  <c r="N195" i="23"/>
  <c r="D39" i="11"/>
  <c r="T97" i="4"/>
  <c r="H63" i="13"/>
  <c r="AO39" i="20"/>
  <c r="AK62" i="20" s="1"/>
  <c r="T804" i="20" s="1"/>
  <c r="AF804" i="20" s="1"/>
  <c r="BE71" i="3" s="1"/>
  <c r="D9" i="1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E29" i="21"/>
  <c r="G24" i="21"/>
  <c r="O23" i="21" l="1"/>
  <c r="P23" i="21" s="1" a="1"/>
  <c r="P23" i="21" s="1"/>
  <c r="S23" i="21" s="1"/>
  <c r="O22" i="21"/>
  <c r="O21" i="21"/>
  <c r="P21" i="21" s="1" a="1"/>
  <c r="P21" i="21" s="1"/>
  <c r="S21"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P22" i="21" a="1"/>
  <c r="P22" i="21" s="1"/>
  <c r="S22"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O15" i="7"/>
  <c r="M9" i="7"/>
  <c r="O8" i="7"/>
  <c r="G27" i="21"/>
  <c r="F26" i="21"/>
  <c r="AD11" i="15" l="1"/>
  <c r="AD23" i="15" s="1"/>
  <c r="AD26" i="15" s="1"/>
  <c r="AD28" i="15" s="1"/>
  <c r="AI11" i="15"/>
  <c r="AI23" i="15" s="1"/>
  <c r="AI26" i="15" s="1"/>
  <c r="AI28" i="15" s="1"/>
  <c r="S58" i="7"/>
  <c r="U53" i="7"/>
  <c r="AJ1045" i="3"/>
  <c r="AJ1049" i="3"/>
  <c r="AP553" i="20" s="1"/>
  <c r="AP550" i="20"/>
  <c r="K4" i="7"/>
  <c r="M4" i="7" s="1"/>
  <c r="K6" i="7"/>
  <c r="I7" i="7"/>
  <c r="I11" i="7" s="1"/>
  <c r="G26" i="21"/>
  <c r="F29" i="21"/>
  <c r="G29" i="21"/>
  <c r="Q15" i="7"/>
  <c r="O9" i="7"/>
  <c r="Q8" i="7"/>
  <c r="U58" i="7" l="1"/>
  <c r="W53" i="7"/>
  <c r="AJ1053" i="3"/>
  <c r="AP552" i="20"/>
  <c r="AP554" i="20" s="1"/>
  <c r="K5" i="7"/>
  <c r="O4" i="7"/>
  <c r="M5" i="7"/>
  <c r="M6" i="7"/>
  <c r="K7"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U15" i="7"/>
  <c r="U8" i="7"/>
  <c r="S9" i="7"/>
  <c r="AA53" i="7" l="1"/>
  <c r="Y58" i="7"/>
  <c r="G115" i="21"/>
  <c r="E17" i="21" s="1"/>
  <c r="E14" i="21" s="1"/>
  <c r="E18" i="21" s="1"/>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53" i="3" l="1"/>
  <c r="AC753" i="3" s="1"/>
  <c r="BE42" i="3" l="1"/>
  <c r="E93" i="20"/>
  <c r="E94" i="20" s="1"/>
  <c r="E95" i="20" s="1"/>
  <c r="E103" i="20"/>
  <c r="H3" i="21" l="1"/>
  <c r="E16" i="7" l="1"/>
  <c r="AC883" i="3"/>
  <c r="AC885" i="3" s="1"/>
  <c r="G16" i="7" l="1"/>
  <c r="E22" i="7"/>
  <c r="E35" i="7" s="1"/>
  <c r="E37" i="7" s="1"/>
  <c r="I16" i="7" l="1"/>
  <c r="G22" i="7"/>
  <c r="G35" i="7" s="1"/>
  <c r="G37" i="7" s="1"/>
  <c r="BA1038" i="3"/>
  <c r="BA1048" i="3" s="1" a="1"/>
  <c r="BA1048" i="3" s="1"/>
  <c r="AZ1048" i="3" s="1"/>
  <c r="C19" i="11"/>
  <c r="B18" i="13"/>
  <c r="B19" i="11"/>
  <c r="B18" i="4"/>
  <c r="K16" i="7" l="1"/>
  <c r="I22" i="7"/>
  <c r="I35" i="7" s="1"/>
  <c r="I37" i="7" s="1"/>
  <c r="B25" i="13"/>
  <c r="B25" i="4"/>
  <c r="C26" i="11"/>
  <c r="B26" i="11"/>
  <c r="D19" i="11"/>
  <c r="D26" i="11" l="1"/>
  <c r="M16" i="7"/>
  <c r="K22" i="7"/>
  <c r="K35" i="7" s="1"/>
  <c r="K37" i="7" s="1"/>
  <c r="O16" i="7" l="1"/>
  <c r="M22" i="7"/>
  <c r="M35" i="7" s="1"/>
  <c r="M37" i="7" s="1"/>
  <c r="Q16" i="7" l="1"/>
  <c r="O22" i="7"/>
  <c r="O35" i="7" s="1"/>
  <c r="O37" i="7" s="1"/>
  <c r="S16" i="7" l="1"/>
  <c r="Q22" i="7"/>
  <c r="Q35" i="7" s="1"/>
  <c r="Q37" i="7" s="1"/>
  <c r="U16" i="7" l="1"/>
  <c r="S22" i="7"/>
  <c r="S35" i="7" s="1"/>
  <c r="S37" i="7" s="1"/>
  <c r="W16" i="7" l="1"/>
  <c r="U22" i="7"/>
  <c r="U35" i="7" s="1"/>
  <c r="U37" i="7" s="1"/>
  <c r="Y16" i="7" l="1"/>
  <c r="W22" i="7"/>
  <c r="W35" i="7" s="1"/>
  <c r="W37" i="7" s="1"/>
  <c r="AA16" i="7" l="1"/>
  <c r="Y22" i="7"/>
  <c r="Y35" i="7" s="1"/>
  <c r="Y37" i="7" s="1"/>
  <c r="AC16" i="7" l="1"/>
  <c r="AA22" i="7"/>
  <c r="AA35" i="7" s="1"/>
  <c r="AA37" i="7" s="1"/>
  <c r="AE16" i="7" l="1"/>
  <c r="AC22" i="7"/>
  <c r="AC35" i="7" s="1"/>
  <c r="AC37" i="7" s="1"/>
  <c r="AG16" i="7" l="1"/>
  <c r="AG22" i="7" s="1"/>
  <c r="AG35" i="7" s="1"/>
  <c r="AG37" i="7" s="1"/>
  <c r="AE22" i="7"/>
  <c r="AE35" i="7" s="1"/>
  <c r="AE37" i="7" s="1"/>
  <c r="C10" i="11" l="1"/>
  <c r="B9" i="4"/>
  <c r="C11" i="4"/>
  <c r="B9" i="13"/>
  <c r="B10" i="11"/>
  <c r="B12" i="11" s="1"/>
  <c r="B13" i="11" l="1"/>
  <c r="B11" i="13"/>
  <c r="C12" i="4"/>
  <c r="B12" i="13" s="1"/>
  <c r="B11" i="4"/>
  <c r="D10" i="11"/>
  <c r="C12" i="11"/>
  <c r="C13" i="11" l="1"/>
  <c r="D13" i="11" s="1"/>
  <c r="D12" i="11"/>
  <c r="B12" i="4"/>
  <c r="B77" i="11" l="1"/>
  <c r="C77" i="11"/>
  <c r="B76" i="13"/>
  <c r="B76" i="4"/>
  <c r="D77" i="11" l="1"/>
  <c r="K11" i="4" l="1"/>
  <c r="K12" i="4" l="1"/>
  <c r="R89" i="4"/>
  <c r="J96" i="4"/>
  <c r="Y64" i="15"/>
  <c r="Y68" i="15" s="1"/>
  <c r="Y69" i="15" s="1"/>
  <c r="E13" i="13"/>
  <c r="E18" i="13"/>
  <c r="BE21" i="3"/>
  <c r="I9" i="21"/>
  <c r="B51" i="11"/>
  <c r="C51" i="11"/>
  <c r="B56" i="13"/>
  <c r="B49" i="4"/>
  <c r="R49" i="4" s="1"/>
  <c r="B49" i="13"/>
  <c r="B50" i="13"/>
  <c r="B56" i="4"/>
  <c r="E56" i="4" s="1"/>
  <c r="B57" i="11"/>
  <c r="B58" i="11"/>
  <c r="D51" i="11" l="1"/>
  <c r="B63" i="11"/>
  <c r="R56" i="4"/>
  <c r="G143" i="21"/>
  <c r="G144" i="21"/>
  <c r="N10" i="23"/>
  <c r="F108" i="4"/>
  <c r="C62" i="4"/>
  <c r="F9" i="4"/>
  <c r="C50" i="11"/>
  <c r="B50" i="4"/>
  <c r="R50" i="4" s="1"/>
  <c r="B50" i="11"/>
  <c r="B57" i="4"/>
  <c r="R57" i="4" s="1"/>
  <c r="B57" i="13"/>
  <c r="C57" i="11"/>
  <c r="C58" i="11"/>
  <c r="D58" i="11" s="1"/>
  <c r="E62" i="4" l="1"/>
  <c r="R62" i="4"/>
  <c r="D57" i="11"/>
  <c r="C63" i="11"/>
  <c r="D63" i="11" s="1"/>
  <c r="B62" i="4"/>
  <c r="B62" i="13"/>
  <c r="D50" i="11"/>
  <c r="F11" i="4"/>
  <c r="F63" i="4" l="1"/>
  <c r="F97" i="4" s="1"/>
  <c r="F105" i="4" s="1"/>
  <c r="F12" i="4"/>
  <c r="B20" i="4"/>
  <c r="E20" i="4" s="1"/>
  <c r="R20" i="4" s="1"/>
  <c r="E20" i="13"/>
  <c r="B22" i="11"/>
  <c r="E21" i="13"/>
  <c r="B103" i="11"/>
  <c r="E102" i="13"/>
  <c r="C103" i="11" l="1"/>
  <c r="D103" i="11" s="1"/>
  <c r="B102" i="4"/>
  <c r="E102" i="4" s="1"/>
  <c r="R102" i="4" s="1"/>
  <c r="B102" i="13"/>
  <c r="C22" i="11"/>
  <c r="D22" i="11" s="1"/>
  <c r="B21" i="4"/>
  <c r="E21" i="4" s="1"/>
  <c r="R21" i="4" s="1"/>
  <c r="B21" i="11"/>
  <c r="C21" i="11"/>
  <c r="B20" i="13"/>
  <c r="B21" i="13"/>
  <c r="D21" i="11" l="1"/>
  <c r="B20" i="11" l="1"/>
  <c r="B27" i="11" s="1"/>
  <c r="B19" i="13"/>
  <c r="B19" i="4"/>
  <c r="E19" i="4" s="1"/>
  <c r="R19" i="4" s="1"/>
  <c r="C26" i="4"/>
  <c r="C20" i="11"/>
  <c r="C27" i="11" l="1"/>
  <c r="D20" i="11"/>
  <c r="D27" i="11" s="1"/>
  <c r="B26" i="13"/>
  <c r="B26" i="4"/>
  <c r="E19" i="13"/>
  <c r="S26" i="4"/>
  <c r="C80" i="11"/>
  <c r="B79" i="13"/>
  <c r="B80" i="11"/>
  <c r="B82" i="11" s="1"/>
  <c r="B79" i="4"/>
  <c r="E79" i="4" s="1"/>
  <c r="C81" i="4"/>
  <c r="B93" i="13"/>
  <c r="B93" i="4"/>
  <c r="R93" i="4" s="1"/>
  <c r="B94" i="11"/>
  <c r="C94" i="11"/>
  <c r="D94" i="11" l="1"/>
  <c r="S81" i="4"/>
  <c r="E81" i="13" s="1"/>
  <c r="E79" i="13"/>
  <c r="B81" i="13"/>
  <c r="B81" i="4"/>
  <c r="R79" i="4"/>
  <c r="R81" i="4" s="1"/>
  <c r="E81" i="4"/>
  <c r="E26" i="13"/>
  <c r="E93" i="13"/>
  <c r="S96" i="4"/>
  <c r="E96" i="13" s="1"/>
  <c r="D80" i="11"/>
  <c r="C82" i="11"/>
  <c r="D82" i="11" s="1"/>
  <c r="B52" i="11" l="1"/>
  <c r="C52" i="11"/>
  <c r="B53" i="11"/>
  <c r="C53" i="11"/>
  <c r="B51" i="13"/>
  <c r="B52" i="13"/>
  <c r="B51" i="4"/>
  <c r="R51" i="4"/>
  <c r="B52" i="4"/>
  <c r="R52" i="4"/>
  <c r="D53" i="11" l="1"/>
  <c r="D52" i="11"/>
  <c r="E11" i="4"/>
  <c r="E12" i="4" s="1"/>
  <c r="J11" i="4"/>
  <c r="J12" i="4" s="1"/>
  <c r="J63" i="4" l="1"/>
  <c r="J97" i="4" s="1"/>
  <c r="BE62" i="3"/>
  <c r="E104" i="20" l="1"/>
  <c r="E105" i="20"/>
  <c r="E106" i="20" l="1"/>
  <c r="AP106" i="20" s="1"/>
  <c r="AK109" i="20" s="1"/>
  <c r="T806" i="20" s="1"/>
  <c r="AF806" i="20" s="1"/>
  <c r="BE73" i="3" s="1"/>
  <c r="E41" i="7"/>
  <c r="G41" i="7"/>
  <c r="I41" i="7"/>
  <c r="K41" i="7"/>
  <c r="M41" i="7"/>
  <c r="O41" i="7"/>
  <c r="Q41" i="7"/>
  <c r="S41" i="7"/>
  <c r="U41" i="7"/>
  <c r="W41" i="7"/>
  <c r="Y41" i="7"/>
  <c r="AA41" i="7"/>
  <c r="AC41" i="7"/>
  <c r="AE41" i="7"/>
  <c r="AG41" i="7"/>
  <c r="E42" i="7"/>
  <c r="I42" i="7" s="1"/>
  <c r="I43" i="7" s="1"/>
  <c r="E66" i="7"/>
  <c r="AM566" i="3"/>
  <c r="AO639" i="3"/>
  <c r="AO641" i="3"/>
  <c r="BA1058" i="3"/>
  <c r="AB48" i="15"/>
  <c r="AD211" i="20"/>
  <c r="B14" i="11"/>
  <c r="C14" i="11"/>
  <c r="B46" i="11"/>
  <c r="D46" i="11" s="1"/>
  <c r="C46" i="11"/>
  <c r="B47" i="11"/>
  <c r="C47" i="11"/>
  <c r="D47" i="11" s="1"/>
  <c r="B55" i="11"/>
  <c r="C55" i="11"/>
  <c r="D55" i="11"/>
  <c r="B64" i="11"/>
  <c r="B76" i="11"/>
  <c r="C76" i="11"/>
  <c r="D76" i="11"/>
  <c r="B78" i="11"/>
  <c r="C78" i="11"/>
  <c r="D78" i="11" s="1"/>
  <c r="B84" i="11"/>
  <c r="C84" i="11"/>
  <c r="C97" i="11"/>
  <c r="B100" i="11"/>
  <c r="C100" i="11"/>
  <c r="D100" i="11" s="1"/>
  <c r="B105" i="11"/>
  <c r="B13" i="13"/>
  <c r="B45" i="13"/>
  <c r="E45" i="13"/>
  <c r="B46" i="13"/>
  <c r="E46" i="13"/>
  <c r="B75" i="13"/>
  <c r="B77" i="13"/>
  <c r="B83" i="13"/>
  <c r="B96" i="13"/>
  <c r="B99" i="13"/>
  <c r="E99" i="13"/>
  <c r="B104" i="13"/>
  <c r="E104" i="13"/>
  <c r="G9" i="4"/>
  <c r="B13" i="4"/>
  <c r="E18" i="4"/>
  <c r="R18" i="4"/>
  <c r="E26" i="4"/>
  <c r="K26" i="4"/>
  <c r="K63" i="4" s="1"/>
  <c r="R26" i="4"/>
  <c r="B45" i="4"/>
  <c r="E45" i="4" s="1"/>
  <c r="E54" i="4" s="1"/>
  <c r="R45" i="4"/>
  <c r="B46" i="4"/>
  <c r="E46" i="4"/>
  <c r="R46" i="4" s="1"/>
  <c r="C54" i="4"/>
  <c r="B54" i="13" s="1"/>
  <c r="S54" i="4"/>
  <c r="E54" i="13" s="1"/>
  <c r="C63" i="4"/>
  <c r="S63" i="4"/>
  <c r="E63" i="13" s="1"/>
  <c r="B75" i="4"/>
  <c r="E75" i="4"/>
  <c r="B77" i="4"/>
  <c r="C77" i="4"/>
  <c r="B83" i="4"/>
  <c r="E83" i="4"/>
  <c r="R83" i="4"/>
  <c r="C96" i="4"/>
  <c r="B96" i="4" s="1"/>
  <c r="E96" i="4"/>
  <c r="R96" i="4"/>
  <c r="K97" i="4"/>
  <c r="K105" i="4" s="1"/>
  <c r="S97" i="4"/>
  <c r="B99" i="4"/>
  <c r="E99" i="4"/>
  <c r="J99" i="4"/>
  <c r="C104" i="4"/>
  <c r="B104" i="4" s="1"/>
  <c r="J104" i="4"/>
  <c r="S104" i="4"/>
  <c r="J105" i="4"/>
  <c r="E108" i="4"/>
  <c r="G108" i="4"/>
  <c r="H108" i="4"/>
  <c r="J108" i="4"/>
  <c r="K108" i="4"/>
  <c r="I45" i="7" l="1"/>
  <c r="I49" i="7"/>
  <c r="R99" i="4"/>
  <c r="R104" i="4" s="1"/>
  <c r="E104" i="4"/>
  <c r="AA43" i="7"/>
  <c r="U43" i="7"/>
  <c r="AZ1046" i="3"/>
  <c r="E97" i="13"/>
  <c r="D14" i="11"/>
  <c r="C64" i="11"/>
  <c r="H9" i="4"/>
  <c r="R9" i="4"/>
  <c r="R11" i="4" s="1"/>
  <c r="G11" i="4"/>
  <c r="S105" i="4"/>
  <c r="B98" i="11"/>
  <c r="B106" i="11" s="1"/>
  <c r="B63" i="4"/>
  <c r="D84" i="11"/>
  <c r="B97" i="11"/>
  <c r="K42" i="7"/>
  <c r="K43" i="7" s="1"/>
  <c r="U42" i="7"/>
  <c r="M42" i="7"/>
  <c r="M43" i="7" s="1"/>
  <c r="AA42" i="7"/>
  <c r="O42" i="7"/>
  <c r="O43" i="7" s="1"/>
  <c r="Q42" i="7"/>
  <c r="Q43" i="7" s="1"/>
  <c r="S42" i="7"/>
  <c r="S43" i="7" s="1"/>
  <c r="W42" i="7"/>
  <c r="W43" i="7" s="1"/>
  <c r="AC42" i="7"/>
  <c r="AC43" i="7" s="1"/>
  <c r="Y42" i="7"/>
  <c r="Y43" i="7" s="1"/>
  <c r="AE42" i="7"/>
  <c r="AE43" i="7" s="1"/>
  <c r="AG42" i="7"/>
  <c r="AG43" i="7" s="1"/>
  <c r="E43" i="7"/>
  <c r="G42" i="7"/>
  <c r="G43" i="7" s="1"/>
  <c r="R54" i="4"/>
  <c r="D97" i="11"/>
  <c r="E77" i="4"/>
  <c r="R75" i="4"/>
  <c r="R77" i="4" s="1"/>
  <c r="B63" i="13"/>
  <c r="C97" i="4"/>
  <c r="C105" i="11"/>
  <c r="D105" i="11" s="1"/>
  <c r="B54" i="4"/>
  <c r="AG45" i="7" l="1"/>
  <c r="AG49" i="7"/>
  <c r="AC49" i="7"/>
  <c r="AC45" i="7"/>
  <c r="AE45" i="7"/>
  <c r="AE49" i="7"/>
  <c r="Y49" i="7"/>
  <c r="Y45" i="7"/>
  <c r="W49" i="7"/>
  <c r="W45" i="7"/>
  <c r="Q45" i="7"/>
  <c r="Q49" i="7"/>
  <c r="AZ1051" i="3"/>
  <c r="BA1055" i="3" s="1"/>
  <c r="BA1059" i="3" s="1"/>
  <c r="BA1056" i="3"/>
  <c r="S45" i="7"/>
  <c r="S49" i="7"/>
  <c r="O45" i="7"/>
  <c r="O49" i="7"/>
  <c r="G12" i="4"/>
  <c r="G63" i="4"/>
  <c r="G97" i="4" s="1"/>
  <c r="G105" i="4" s="1"/>
  <c r="G45" i="7"/>
  <c r="G49" i="7"/>
  <c r="E45" i="7"/>
  <c r="E49" i="7"/>
  <c r="M45" i="7"/>
  <c r="M49" i="7"/>
  <c r="H11" i="4"/>
  <c r="H13" i="4"/>
  <c r="E13" i="4" s="1"/>
  <c r="U49" i="7"/>
  <c r="U45" i="7"/>
  <c r="S107" i="4"/>
  <c r="E105" i="13"/>
  <c r="R12" i="4"/>
  <c r="C98" i="11"/>
  <c r="D64" i="11"/>
  <c r="AA49" i="7"/>
  <c r="AA45" i="7"/>
  <c r="B97" i="13"/>
  <c r="B97" i="4"/>
  <c r="C105" i="4"/>
  <c r="K45" i="7"/>
  <c r="K49" i="7"/>
  <c r="I60" i="7"/>
  <c r="I47" i="7"/>
  <c r="I48" i="7"/>
  <c r="E63" i="4" l="1"/>
  <c r="E97" i="4" s="1"/>
  <c r="E105" i="4" s="1"/>
  <c r="R13" i="4"/>
  <c r="R63" i="4" s="1"/>
  <c r="R97" i="4" s="1"/>
  <c r="R105" i="4" s="1"/>
  <c r="D98" i="11"/>
  <c r="C106" i="11"/>
  <c r="D106" i="11" s="1"/>
  <c r="S48" i="7"/>
  <c r="S47" i="7"/>
  <c r="S60" i="7"/>
  <c r="AC456" i="3"/>
  <c r="AA1056" i="3"/>
  <c r="AA1057" i="3" s="1"/>
  <c r="G1058" i="3" s="1"/>
  <c r="AF551" i="20"/>
  <c r="AF553" i="20" s="1"/>
  <c r="AK559" i="20" s="1"/>
  <c r="T818" i="20" s="1"/>
  <c r="AF818" i="20" s="1"/>
  <c r="BE81" i="3" s="1"/>
  <c r="E107" i="13"/>
  <c r="U48" i="7"/>
  <c r="U47" i="7"/>
  <c r="U60" i="7"/>
  <c r="E47" i="7"/>
  <c r="E60" i="7"/>
  <c r="E48" i="7"/>
  <c r="H12" i="4"/>
  <c r="H63" i="4"/>
  <c r="H97" i="4" s="1"/>
  <c r="H105" i="4" s="1"/>
  <c r="M48" i="7"/>
  <c r="M47" i="7"/>
  <c r="M60" i="7"/>
  <c r="AE60" i="7"/>
  <c r="AE48" i="7"/>
  <c r="AE47" i="7"/>
  <c r="AC48" i="7"/>
  <c r="AC47" i="7"/>
  <c r="AC60" i="7"/>
  <c r="K48" i="7"/>
  <c r="K47" i="7"/>
  <c r="K60" i="7"/>
  <c r="AA48" i="7"/>
  <c r="AA47" i="7"/>
  <c r="AA60" i="7"/>
  <c r="O48" i="7"/>
  <c r="O47" i="7"/>
  <c r="O60" i="7"/>
  <c r="Q47" i="7"/>
  <c r="Q48" i="7"/>
  <c r="Q60" i="7"/>
  <c r="W48" i="7"/>
  <c r="W47" i="7"/>
  <c r="W60" i="7"/>
  <c r="Y48" i="7"/>
  <c r="Y47" i="7"/>
  <c r="Y60" i="7"/>
  <c r="I67" i="7"/>
  <c r="I66" i="7"/>
  <c r="I70" i="7" s="1"/>
  <c r="AG269" i="20"/>
  <c r="B105" i="4"/>
  <c r="BE101" i="3"/>
  <c r="B105" i="13"/>
  <c r="AC455" i="3"/>
  <c r="G47" i="7"/>
  <c r="G60" i="7"/>
  <c r="G48" i="7"/>
  <c r="AG60" i="7"/>
  <c r="AG48" i="7"/>
  <c r="AG47" i="7"/>
  <c r="U67" i="7" l="1"/>
  <c r="U66" i="7"/>
  <c r="U70" i="7" s="1"/>
  <c r="U72" i="7"/>
  <c r="Q67" i="7"/>
  <c r="Q66" i="7"/>
  <c r="Q70" i="7" s="1"/>
  <c r="Q72" i="7"/>
  <c r="K67" i="7"/>
  <c r="K66" i="7"/>
  <c r="G67" i="7"/>
  <c r="G62" i="7"/>
  <c r="I62" i="7" s="1"/>
  <c r="I72" i="7" s="1"/>
  <c r="G66" i="7"/>
  <c r="G70" i="7" s="1"/>
  <c r="G72" i="7"/>
  <c r="AB266" i="20"/>
  <c r="AG268" i="20" s="1"/>
  <c r="AG270" i="20" s="1"/>
  <c r="AK273" i="20" s="1"/>
  <c r="T812" i="20" s="1"/>
  <c r="AF812" i="20" s="1"/>
  <c r="N185" i="23"/>
  <c r="AB47" i="15"/>
  <c r="AB49" i="15" s="1"/>
  <c r="BE22" i="3"/>
  <c r="AC454" i="3"/>
  <c r="Y11" i="15"/>
  <c r="Y23" i="15" s="1"/>
  <c r="Y26" i="15" s="1"/>
  <c r="Y28" i="15" s="1"/>
  <c r="T11" i="15"/>
  <c r="T23" i="15" s="1"/>
  <c r="AG67" i="7"/>
  <c r="AG66" i="7"/>
  <c r="AG70" i="7" s="1"/>
  <c r="AG72" i="7" s="1"/>
  <c r="O67" i="7"/>
  <c r="O66" i="7"/>
  <c r="O70" i="7" s="1"/>
  <c r="O72" i="7"/>
  <c r="E67" i="7"/>
  <c r="E70" i="7" s="1"/>
  <c r="E62" i="7"/>
  <c r="E72" i="7"/>
  <c r="AA67" i="7"/>
  <c r="AA66" i="7"/>
  <c r="AA70" i="7" s="1"/>
  <c r="AA72" i="7" s="1"/>
  <c r="AC67" i="7"/>
  <c r="AC66" i="7"/>
  <c r="AC70" i="7" s="1"/>
  <c r="AC72" i="7" s="1"/>
  <c r="S67" i="7"/>
  <c r="S66" i="7"/>
  <c r="S70" i="7" s="1"/>
  <c r="S72" i="7"/>
  <c r="Y67" i="7"/>
  <c r="Y66" i="7"/>
  <c r="W67" i="7"/>
  <c r="W66" i="7"/>
  <c r="W70" i="7" s="1"/>
  <c r="W72" i="7"/>
  <c r="AE67" i="7"/>
  <c r="AE66" i="7"/>
  <c r="AE70" i="7" s="1"/>
  <c r="AE72" i="7" s="1"/>
  <c r="M67" i="7"/>
  <c r="M66" i="7"/>
  <c r="M70" i="7" s="1"/>
  <c r="M72" i="7"/>
  <c r="AB54" i="15" l="1"/>
  <c r="AB55" i="15" s="1"/>
  <c r="AD38" i="15"/>
  <c r="AD40" i="15" s="1"/>
  <c r="T26" i="15"/>
  <c r="T28" i="15" s="1"/>
  <c r="T29" i="15" s="1"/>
  <c r="F457" i="3"/>
  <c r="BE44" i="3"/>
  <c r="N186" i="23"/>
  <c r="N196" i="23"/>
  <c r="BE77" i="3"/>
  <c r="AF821" i="20"/>
  <c r="BE70" i="3" s="1"/>
  <c r="K70" i="7"/>
  <c r="K72" i="7" s="1"/>
  <c r="Y70" i="7"/>
  <c r="Y72" i="7" s="1"/>
  <c r="Y38" i="15" l="1"/>
  <c r="Y40" i="15" s="1"/>
  <c r="Y41" i="15" s="1"/>
  <c r="AB56" i="15" s="1"/>
  <c r="M26" i="3" l="1"/>
  <c r="AB57" i="15"/>
  <c r="AB59" i="15" l="1"/>
  <c r="AB77" i="15" s="1"/>
  <c r="AB78" i="15" s="1"/>
  <c r="BE19" i="3"/>
  <c r="P204" i="3"/>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<sst xmlns="http://schemas.openxmlformats.org/spreadsheetml/2006/main" count="5035" uniqueCount="2747">
  <si>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</si>
  <si>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</si>
  <si>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</si>
  <si>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</si>
  <si>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</si>
  <si>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</si>
  <si>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</si>
  <si>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</si>
  <si>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</si>
  <si>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</si>
  <si>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</si>
  <si>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</si>
  <si>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</si>
  <si>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</si>
  <si>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</si>
  <si>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</si>
  <si>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</si>
  <si>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</si>
  <si>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</si>
  <si>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</si>
  <si>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</si>
  <si>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</si>
  <si>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</si>
  <si>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</si>
  <si>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</si>
  <si>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</si>
  <si>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</si>
  <si>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</si>
  <si>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</si>
  <si>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</si>
  <si>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</si>
  <si>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</si>
  <si>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</si>
  <si>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</si>
  <si>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</si>
  <si>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</si>
  <si>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</si>
  <si>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</si>
  <si>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</si>
  <si>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</si>
  <si>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</si>
  <si>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</si>
  <si>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</si>
  <si>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</si>
  <si>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</si>
  <si>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</si>
  <si>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</si>
  <si>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</si>
  <si>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</si>
  <si>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</si>
  <si>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</si>
  <si>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</si>
  <si>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</si>
  <si>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</si>
  <si>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</si>
  <si>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</si>
  <si>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</si>
  <si>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</si>
  <si>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</si>
  <si>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</si>
  <si>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</si>
  <si>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</si>
  <si>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</si>
  <si>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</si>
  <si>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</si>
  <si>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</si>
  <si>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</si>
  <si>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</si>
  <si>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</si>
  <si>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</si>
  <si>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</si>
  <si>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</si>
  <si>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</si>
  <si>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</si>
  <si>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</si>
  <si>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</si>
  <si>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</si>
  <si>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</si>
  <si>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</si>
  <si>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</si>
  <si>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</si>
  <si>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</si>
  <si>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</si>
  <si>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</si>
  <si>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</si>
  <si>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</si>
  <si>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</si>
  <si>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</si>
  <si>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</si>
  <si>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</si>
  <si>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</si>
  <si>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</si>
  <si>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</si>
  <si>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</si>
  <si>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</si>
  <si>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</si>
  <si>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</si>
  <si>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</si>
  <si>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</si>
  <si>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</si>
  <si>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</si>
  <si>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</si>
  <si>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</si>
  <si>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</si>
  <si>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</si>
  <si>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</si>
  <si>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</si>
  <si>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</si>
  <si>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</si>
  <si>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</si>
  <si>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</si>
  <si>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</si>
  <si>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</si>
  <si>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</si>
  <si>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</si>
  <si>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</si>
  <si>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</si>
  <si>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</si>
  <si>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</si>
  <si>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</si>
  <si>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</si>
  <si>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</si>
  <si>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</si>
  <si>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</si>
  <si>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</si>
  <si>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</si>
  <si>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</si>
  <si>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</si>
  <si>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</si>
  <si>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</si>
  <si>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</si>
  <si>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</si>
  <si>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</si>
  <si>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</si>
  <si>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</si>
  <si>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</si>
  <si>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</si>
  <si>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</si>
  <si>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</si>
  <si>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</si>
  <si>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</si>
  <si>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</si>
  <si>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</si>
  <si>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</si>
  <si>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</si>
  <si>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</si>
  <si>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</si>
  <si>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</si>
  <si>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</si>
  <si>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</si>
  <si>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</si>
  <si>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</si>
  <si>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</si>
  <si>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</si>
  <si>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</si>
  <si>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</si>
  <si>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</si>
  <si>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</si>
  <si>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</si>
  <si>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</si>
  <si>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</si>
  <si>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</si>
  <si>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</si>
  <si>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</si>
  <si>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</si>
  <si>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</si>
  <si>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</si>
  <si>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</si>
  <si>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</si>
  <si>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</si>
  <si>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</si>
  <si>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</si>
  <si>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</si>
  <si>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</si>
  <si>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</si>
  <si>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</si>
  <si>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</si>
  <si>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</si>
  <si>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</si>
  <si>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</si>
  <si>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</si>
  <si>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</si>
  <si>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</si>
  <si>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</si>
  <si>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</si>
  <si>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</si>
  <si>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</si>
  <si>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</si>
  <si>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</si>
  <si>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</si>
  <si>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</si>
  <si>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</si>
  <si>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</si>
  <si>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</si>
  <si>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</si>
  <si>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</si>
  <si>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</si>
  <si>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</si>
  <si>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</si>
  <si>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</si>
  <si>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</si>
  <si>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</si>
  <si>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</si>
  <si>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</si>
  <si>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</si>
  <si>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</si>
  <si>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</si>
  <si>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</si>
  <si>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</si>
  <si>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</si>
  <si>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</si>
  <si>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</si>
  <si>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</si>
  <si>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</si>
  <si>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</si>
  <si>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</si>
  <si>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</si>
  <si>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</si>
  <si>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</si>
  <si>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</si>
  <si>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</si>
  <si>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</si>
  <si>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</si>
  <si>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</si>
  <si>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</si>
  <si>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</si>
  <si>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</si>
  <si>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</si>
  <si>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</si>
  <si>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</si>
  <si>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</si>
  <si>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</si>
  <si>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</si>
  <si>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</si>
  <si>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</si>
  <si>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</si>
  <si>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</si>
  <si>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</si>
  <si>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</si>
  <si>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</si>
  <si>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</si>
  <si>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</si>
  <si>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</si>
  <si>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</si>
  <si>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</si>
  <si>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</si>
  <si>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</si>
  <si>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</si>
  <si>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</si>
  <si>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</si>
  <si>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</si>
  <si>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</si>
  <si>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</si>
  <si>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</si>
  <si>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</si>
  <si>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</si>
  <si>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</si>
  <si>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</si>
  <si>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</si>
  <si>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</si>
  <si>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</si>
  <si>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</si>
  <si>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</si>
  <si>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</si>
  <si>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</si>
  <si>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</si>
  <si>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</si>
  <si>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</si>
  <si>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</si>
  <si>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</si>
  <si>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</si>
  <si>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</si>
  <si>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</si>
  <si>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</si>
  <si>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</si>
  <si>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</si>
  <si>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</si>
  <si>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</si>
  <si>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</si>
  <si>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</si>
  <si>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</si>
  <si>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</si>
  <si>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</si>
  <si>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</si>
  <si>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</si>
  <si>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</si>
  <si>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</si>
  <si>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</si>
  <si>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</si>
  <si>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</si>
  <si>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</si>
  <si>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</si>
  <si>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</si>
  <si>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</si>
  <si>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</si>
  <si>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</si>
  <si>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</si>
  <si>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</si>
  <si>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</si>
  <si>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</si>
  <si>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</si>
  <si>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</si>
  <si>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</si>
  <si>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</si>
  <si>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</si>
  <si>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</si>
  <si>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</si>
  <si>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</si>
  <si>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</si>
  <si>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</si>
  <si>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</si>
  <si>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</si>
  <si>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</si>
  <si>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</si>
  <si>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</si>
  <si>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</si>
  <si>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</si>
  <si>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</si>
  <si>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</si>
  <si>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</si>
  <si>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</si>
  <si>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</si>
  <si>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</si>
  <si>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</si>
  <si>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</si>
  <si>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</si>
  <si>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</si>
  <si>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</si>
  <si>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</si>
  <si>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</si>
  <si>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</si>
  <si>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</si>
  <si>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</si>
  <si>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</si>
  <si>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</si>
  <si>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</si>
  <si>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</si>
  <si>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</si>
  <si>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</si>
  <si>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</si>
  <si>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</si>
  <si>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</si>
  <si>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</si>
  <si>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</si>
  <si>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</si>
  <si>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</si>
  <si>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</si>
  <si>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</si>
  <si>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</si>
  <si>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</si>
  <si>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</si>
  <si>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</si>
  <si>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</si>
  <si>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</si>
  <si>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</si>
  <si>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</si>
  <si>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</si>
  <si>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</si>
  <si>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</si>
  <si>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</si>
  <si>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</si>
  <si>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</si>
  <si>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</si>
  <si>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</si>
  <si>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</si>
  <si>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</si>
  <si>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</si>
  <si>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</si>
  <si>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</si>
  <si>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</si>
  <si>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</si>
  <si>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</si>
  <si>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</si>
  <si>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</si>
  <si>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</si>
  <si>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</si>
  <si>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</si>
  <si>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</si>
  <si>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</si>
  <si>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</si>
  <si>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</si>
  <si>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</si>
  <si>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</si>
  <si>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</si>
  <si>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</si>
  <si>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</si>
  <si>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</si>
  <si>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</si>
  <si>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</si>
  <si>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</si>
  <si>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</si>
  <si>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</si>
  <si>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</si>
  <si>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</si>
  <si>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</si>
  <si>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</si>
  <si>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</si>
  <si>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</si>
  <si>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</si>
  <si>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</si>
  <si>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</si>
  <si>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</si>
  <si>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</si>
  <si>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</si>
  <si>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</si>
  <si>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</si>
  <si>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</si>
  <si>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</si>
  <si>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</si>
  <si>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</si>
  <si>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</si>
  <si>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</si>
  <si>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</si>
  <si>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</si>
  <si>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</si>
  <si>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</si>
  <si>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</si>
  <si>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</si>
  <si>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</si>
  <si>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</si>
  <si>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</si>
  <si>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</si>
  <si>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</si>
  <si>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</si>
  <si>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</si>
  <si>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</si>
  <si>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</si>
  <si>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</si>
  <si>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</si>
  <si>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</si>
  <si>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</si>
  <si>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</si>
  <si>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</si>
  <si>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</si>
  <si>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</si>
  <si>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</si>
  <si>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</si>
  <si>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</si>
  <si>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</si>
  <si>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</si>
  <si>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</si>
  <si>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</si>
  <si>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</si>
  <si>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</si>
  <si>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</si>
  <si>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</si>
  <si>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</si>
  <si>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</si>
  <si>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</si>
  <si>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</si>
  <si>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</si>
  <si>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</si>
  <si>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</si>
  <si>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</si>
  <si>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</si>
  <si>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</si>
  <si>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</si>
  <si>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</si>
  <si>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</si>
  <si>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</si>
  <si>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</si>
  <si>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</si>
  <si>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</si>
  <si>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</si>
  <si>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</si>
  <si>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</si>
  <si>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</si>
  <si>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</si>
  <si>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</si>
  <si>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</si>
  <si>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</si>
  <si>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</si>
  <si>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</si>
  <si>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</si>
  <si>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</si>
  <si>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</si>
  <si>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</si>
  <si>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</si>
  <si>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</si>
  <si>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</si>
  <si>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</si>
  <si>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</si>
  <si>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</si>
  <si>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</si>
  <si>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</si>
  <si>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</si>
  <si>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</si>
  <si>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</si>
  <si>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</si>
  <si>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</si>
  <si>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</si>
  <si>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</si>
  <si>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</si>
  <si>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</si>
  <si>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</si>
  <si>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</si>
  <si>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</si>
  <si>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</si>
  <si>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</si>
  <si>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</si>
  <si>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</si>
  <si>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</si>
  <si>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</si>
  <si>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</si>
  <si>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</si>
  <si>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</si>
  <si>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</si>
  <si>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</si>
  <si>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</si>
  <si>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</si>
  <si>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</si>
  <si>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</si>
  <si>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</si>
  <si>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</si>
  <si>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</si>
  <si>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</si>
  <si>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</si>
  <si>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</si>
  <si>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</si>
  <si>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</si>
  <si>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</si>
  <si>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</si>
  <si>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</si>
  <si>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</si>
  <si>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</si>
  <si>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</si>
  <si>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</si>
  <si>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</si>
  <si>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</si>
  <si>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</si>
  <si>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</si>
  <si>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</si>
  <si>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</si>
  <si>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</si>
  <si>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</si>
  <si>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</si>
  <si>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</si>
  <si>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</si>
  <si>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</si>
  <si>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</si>
  <si>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</si>
  <si>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</si>
  <si>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</si>
  <si>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</si>
  <si>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</si>
  <si>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</si>
  <si>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</si>
  <si>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</si>
  <si>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</si>
  <si>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</si>
  <si>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</si>
  <si>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</si>
  <si>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</si>
  <si>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</si>
  <si>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</si>
  <si>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</si>
  <si>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</si>
  <si>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</si>
  <si>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</si>
  <si>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</si>
  <si>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</si>
  <si>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</si>
  <si>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</si>
  <si>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</si>
  <si>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</si>
  <si>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</si>
  <si>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</si>
  <si>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</si>
  <si>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</si>
  <si>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</si>
  <si>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</si>
  <si>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</si>
  <si>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</si>
  <si>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</si>
  <si>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</si>
  <si>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</si>
  <si>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</si>
  <si>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</si>
  <si>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</si>
  <si>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</si>
  <si>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</si>
  <si>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</si>
  <si>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</si>
  <si>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</si>
  <si>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</si>
  <si>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</si>
  <si>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</si>
  <si>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</si>
  <si>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</si>
  <si>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</si>
  <si>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</si>
  <si>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</si>
  <si>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</si>
  <si>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</si>
  <si>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</si>
  <si>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</si>
  <si>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</si>
  <si>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</si>
  <si>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</si>
  <si>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</si>
  <si>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</si>
  <si>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</si>
  <si>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</si>
  <si>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</si>
  <si>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</si>
  <si>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</si>
  <si>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</si>
  <si>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</si>
  <si>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</si>
  <si>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</si>
  <si>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</si>
  <si>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</si>
  <si>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</si>
  <si>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</si>
  <si>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</si>
  <si>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</si>
  <si>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</si>
  <si>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</si>
  <si>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</si>
  <si>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</si>
  <si>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</si>
  <si>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</si>
  <si>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</si>
  <si>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</si>
  <si>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</si>
  <si>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</si>
  <si>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</si>
  <si>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</si>
  <si>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</si>
  <si>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</si>
  <si>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</si>
  <si>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</si>
  <si>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</si>
  <si>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</si>
  <si>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</si>
  <si>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</si>
  <si>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</si>
  <si>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</si>
  <si>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</si>
  <si>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</si>
  <si>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</si>
  <si>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</si>
  <si>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</si>
  <si>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</si>
  <si>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</si>
  <si>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</si>
  <si>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</si>
  <si>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</si>
  <si>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</si>
  <si>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</si>
  <si>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</si>
  <si>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</si>
  <si>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</si>
  <si>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</si>
  <si>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</si>
  <si>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</si>
  <si>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</si>
  <si>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</si>
  <si>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</si>
  <si>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</si>
  <si>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</si>
  <si>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</si>
  <si>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</si>
  <si>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</si>
  <si>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</si>
  <si>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</si>
  <si>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</si>
  <si>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</si>
  <si>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</si>
  <si>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</si>
  <si>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</si>
  <si>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</si>
  <si>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</si>
  <si>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</si>
  <si>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</si>
  <si>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</si>
  <si>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</si>
  <si>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</si>
  <si>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</si>
  <si>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</si>
  <si>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</si>
  <si>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</si>
  <si>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</si>
  <si>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</si>
  <si>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</si>
  <si>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</si>
  <si>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</si>
  <si>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</si>
  <si>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</si>
  <si>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</si>
  <si>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</si>
  <si>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</si>
  <si>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</si>
  <si>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</si>
  <si>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</si>
  <si>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</si>
  <si>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</si>
  <si>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</si>
  <si>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</si>
  <si>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</si>
  <si>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</si>
  <si>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</si>
  <si>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</si>
  <si>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</si>
  <si>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</si>
  <si>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</si>
  <si>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</si>
  <si>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</si>
  <si>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</si>
  <si>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</si>
  <si>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</si>
  <si>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</si>
  <si>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</si>
  <si>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</si>
  <si>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</si>
  <si>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</si>
  <si>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</si>
  <si>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</si>
  <si>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</si>
  <si>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</si>
  <si>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</si>
  <si>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</si>
  <si>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</si>
  <si>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</si>
  <si>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</si>
  <si>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</si>
  <si>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</si>
  <si>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</si>
  <si>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</si>
  <si>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</si>
  <si>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</si>
  <si>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</si>
  <si>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</si>
  <si>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</si>
  <si>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</si>
  <si>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</si>
  <si>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</si>
  <si>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</si>
  <si>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</si>
  <si>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</si>
  <si>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</si>
  <si>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</si>
  <si>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</si>
  <si>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</si>
  <si>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</si>
  <si>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</si>
  <si>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</si>
  <si>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</si>
  <si>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</si>
  <si>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</si>
  <si>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</si>
  <si>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</si>
  <si>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</si>
  <si>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</si>
  <si>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</si>
  <si>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</si>
  <si>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</si>
  <si>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</si>
  <si>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</si>
  <si>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</si>
  <si>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</si>
  <si>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</si>
  <si>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</si>
  <si>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</si>
  <si>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</si>
  <si>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</si>
  <si>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</si>
  <si>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</si>
  <si>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</si>
  <si>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</si>
  <si>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</si>
  <si>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</si>
  <si>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</si>
  <si>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</si>
  <si>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</si>
  <si>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</si>
  <si>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</si>
  <si>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</si>
  <si>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</si>
  <si>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</si>
  <si>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</si>
  <si>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</si>
  <si>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</si>
  <si>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</si>
  <si>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</si>
  <si>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</si>
  <si>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</si>
  <si>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</si>
  <si>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</si>
  <si>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</si>
  <si>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</si>
  <si>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</si>
  <si>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</si>
  <si>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</si>
  <si>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</si>
  <si>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</si>
  <si>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</si>
  <si>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</si>
  <si>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</si>
  <si>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</si>
  <si>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</si>
  <si>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</si>
  <si>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</si>
  <si>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</si>
  <si>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</si>
  <si>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</si>
  <si>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</si>
  <si>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</si>
  <si>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</si>
  <si>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</si>
  <si>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</si>
  <si>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</si>
  <si>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</si>
  <si>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</si>
  <si>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</si>
  <si>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</si>
  <si>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</si>
  <si>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</si>
  <si>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</si>
  <si>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</si>
  <si>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</si>
  <si>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</si>
  <si>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</si>
  <si>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</si>
  <si>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</si>
  <si>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</si>
  <si>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</si>
  <si>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</si>
  <si>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</si>
  <si>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</si>
  <si>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</si>
  <si>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</si>
  <si>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</si>
  <si>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</si>
  <si>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</si>
  <si>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</si>
  <si>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</si>
  <si>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</si>
  <si>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</si>
  <si>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</si>
  <si>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</si>
  <si>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</si>
  <si>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</si>
  <si>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</si>
  <si>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</si>
  <si>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</si>
  <si>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</si>
  <si>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</si>
  <si>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</si>
  <si>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</si>
  <si>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</si>
  <si>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</si>
  <si>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</si>
  <si>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</si>
  <si>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</si>
  <si>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</si>
  <si>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</si>
  <si>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</si>
  <si>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</si>
  <si>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</si>
  <si>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</si>
  <si>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</si>
  <si>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</si>
  <si>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</si>
  <si>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</si>
  <si>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</si>
  <si>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</si>
  <si>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</si>
  <si>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</si>
  <si>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</si>
  <si>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</si>
  <si>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</si>
  <si>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</si>
  <si>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</si>
  <si>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</si>
  <si>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</si>
  <si>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</si>
  <si>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</si>
  <si>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</si>
  <si>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</si>
  <si>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</si>
  <si>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</si>
  <si>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</si>
  <si>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</si>
  <si>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</si>
  <si>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</si>
  <si>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</si>
  <si>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</si>
  <si>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</si>
  <si>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</si>
  <si>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</si>
  <si>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</si>
  <si>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</si>
  <si>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</si>
  <si>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</si>
  <si>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</si>
  <si>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</si>
  <si>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</si>
  <si>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</si>
  <si>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</si>
  <si>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</si>
  <si>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</si>
  <si>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</si>
  <si>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</si>
  <si>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</si>
  <si>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</si>
  <si>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</si>
  <si>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</si>
  <si>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</si>
  <si>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</si>
  <si>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</si>
  <si>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</si>
  <si>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</si>
  <si>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</si>
  <si>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</si>
  <si>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</si>
  <si>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</si>
  <si>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</si>
  <si>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</si>
  <si>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</si>
  <si>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</si>
  <si>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</si>
  <si>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</si>
  <si>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</si>
  <si>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</si>
  <si>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</si>
  <si>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</si>
  <si>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</si>
  <si>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</si>
  <si>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</si>
  <si>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</si>
  <si>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</si>
  <si>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</si>
  <si>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</si>
  <si>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</si>
  <si>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</si>
  <si>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</si>
  <si>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</si>
  <si>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</si>
  <si>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</si>
  <si>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</si>
  <si>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</si>
  <si>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</si>
  <si>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</si>
  <si>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</si>
  <si>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</si>
  <si>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</si>
  <si>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</si>
  <si>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</si>
  <si>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</si>
  <si>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</si>
  <si>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</si>
  <si>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</si>
  <si>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</si>
  <si>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</si>
  <si>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</si>
  <si>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</si>
  <si>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</si>
  <si>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</si>
  <si>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</si>
  <si>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</si>
  <si>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</si>
  <si>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</si>
  <si>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</si>
  <si>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</si>
  <si>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</si>
  <si>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</si>
  <si>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</si>
  <si>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</si>
  <si>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</si>
  <si>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</si>
  <si>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</si>
  <si>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</si>
  <si>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</si>
  <si>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</si>
  <si>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</si>
  <si>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</si>
  <si>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</si>
  <si>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</si>
  <si>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</si>
  <si>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</si>
  <si>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</si>
  <si>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</si>
  <si>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</si>
  <si>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</si>
  <si>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</si>
  <si>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</si>
  <si>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</si>
  <si>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</si>
  <si>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</si>
  <si>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</si>
  <si>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</si>
  <si>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</si>
  <si>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</si>
  <si>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</si>
  <si>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</si>
  <si>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</si>
  <si>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</si>
  <si>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</si>
  <si>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</si>
  <si>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</si>
  <si>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</si>
  <si>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</si>
  <si>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</si>
  <si>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</si>
  <si>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</si>
  <si>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</si>
  <si>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</si>
  <si>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</si>
  <si>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</si>
  <si>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</si>
  <si>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</si>
  <si>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</si>
  <si>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</si>
  <si>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</si>
  <si>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</si>
  <si>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</si>
  <si>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</si>
  <si>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</si>
  <si>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</si>
  <si>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</si>
  <si>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</si>
  <si>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</si>
  <si>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</si>
  <si>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</si>
  <si>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</si>
  <si>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</si>
  <si>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</si>
  <si>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</si>
  <si>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</si>
  <si>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</si>
  <si>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</si>
  <si>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</si>
  <si>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</si>
  <si>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</si>
  <si>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</si>
  <si>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</si>
  <si>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</si>
  <si>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</si>
  <si>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</si>
  <si>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</si>
  <si>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</si>
  <si>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</si>
  <si>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</si>
  <si>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</si>
  <si>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</si>
  <si>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</si>
  <si>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</si>
  <si>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</si>
  <si>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</si>
  <si>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</si>
  <si>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</si>
  <si>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</si>
  <si>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</si>
  <si>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</si>
  <si>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</si>
  <si>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</si>
  <si>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</si>
  <si>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</si>
  <si>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</si>
  <si>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</si>
  <si>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</si>
  <si>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</si>
  <si>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</si>
  <si>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</si>
  <si>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</si>
  <si>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</si>
  <si>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</si>
  <si>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</si>
  <si>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</si>
  <si>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</si>
  <si>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</si>
  <si>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</si>
  <si>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</si>
  <si>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</si>
  <si>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</si>
  <si>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</si>
  <si>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</si>
  <si>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</si>
  <si>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</si>
  <si>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</si>
  <si>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</si>
  <si>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</si>
  <si>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</si>
  <si>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</si>
  <si>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</si>
  <si>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</si>
  <si>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</si>
  <si>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</si>
  <si>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</si>
  <si>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</si>
  <si>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</si>
  <si>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</si>
  <si>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</si>
  <si>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</si>
  <si>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</si>
  <si>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</si>
  <si>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</si>
  <si>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</si>
  <si>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</si>
  <si>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</si>
  <si>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</si>
  <si>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</si>
  <si>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</si>
  <si>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</si>
  <si>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</si>
  <si>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</si>
  <si>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</si>
  <si>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</si>
  <si>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</si>
  <si>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</si>
  <si>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</si>
  <si>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</si>
  <si>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</si>
  <si>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</si>
  <si>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</si>
  <si>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</si>
  <si>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</si>
  <si>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</si>
  <si>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</si>
  <si>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</si>
  <si>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</si>
  <si>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</si>
  <si>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</si>
  <si>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</si>
  <si>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</si>
  <si>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</si>
  <si>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</si>
  <si>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</si>
  <si>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</si>
  <si>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</si>
  <si>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</si>
  <si>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</si>
  <si>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</si>
  <si>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</si>
  <si>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</si>
  <si>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</si>
  <si>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</si>
  <si>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</si>
  <si>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</si>
  <si>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</si>
  <si>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</si>
  <si>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</si>
  <si>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</si>
  <si>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</si>
  <si>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</si>
  <si>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</si>
  <si>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</si>
  <si>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</si>
  <si>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</si>
  <si>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</si>
  <si>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</si>
  <si>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</si>
  <si>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</si>
  <si>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</si>
  <si>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</si>
  <si>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</si>
  <si>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</si>
  <si>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</si>
  <si>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</si>
  <si>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</si>
  <si>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</si>
  <si>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</si>
  <si>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</si>
  <si>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</si>
  <si>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</si>
  <si>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</si>
  <si>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</si>
  <si>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</si>
  <si>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</si>
  <si>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</si>
  <si>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</si>
  <si>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</si>
  <si>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</si>
  <si>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</si>
  <si>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</si>
  <si>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</si>
  <si>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</si>
  <si>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</si>
  <si>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</si>
  <si>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</si>
  <si>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</si>
  <si>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</si>
  <si>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</si>
  <si>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</si>
  <si>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</si>
  <si>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</si>
  <si>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</si>
  <si>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</si>
  <si>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</si>
  <si>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</si>
  <si>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</si>
  <si>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</si>
  <si>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</si>
  <si>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</si>
  <si>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</si>
  <si>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</si>
  <si>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</si>
  <si>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</si>
  <si>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</si>
  <si>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</si>
  <si>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</si>
  <si>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</si>
  <si>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</si>
  <si>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</si>
  <si>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</si>
  <si>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</si>
  <si>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</si>
  <si>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</si>
  <si>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</si>
  <si>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</si>
  <si>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</si>
  <si>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</si>
  <si>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</si>
  <si>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</si>
  <si>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</si>
  <si>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</si>
  <si>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</si>
  <si>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</si>
  <si>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</si>
  <si>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</si>
  <si>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</si>
  <si>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</si>
  <si>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</si>
  <si>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</si>
  <si>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</si>
  <si>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</si>
  <si>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</si>
  <si>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</si>
  <si>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</si>
  <si>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</si>
  <si>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</si>
  <si>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</si>
  <si>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</si>
  <si>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</si>
  <si>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</si>
  <si>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</si>
  <si>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</si>
  <si>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</si>
  <si>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</si>
  <si>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</si>
  <si>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</si>
  <si>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</si>
  <si>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</si>
  <si>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</si>
  <si>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</si>
  <si>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</si>
  <si>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</si>
  <si>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</si>
  <si>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</si>
  <si>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</si>
  <si>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</si>
  <si>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</si>
  <si>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</si>
  <si>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</si>
  <si>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</si>
  <si>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</si>
  <si>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</si>
  <si>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</si>
  <si>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</si>
  <si>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</si>
  <si>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</si>
  <si>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</si>
  <si>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</si>
  <si>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</si>
  <si>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</si>
  <si>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</si>
  <si>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</si>
  <si>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</si>
  <si>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</si>
  <si>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</si>
  <si>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</si>
  <si>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</si>
  <si>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</si>
  <si>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</si>
  <si>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</si>
  <si>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</si>
  <si>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</si>
  <si>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</si>
  <si>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</si>
  <si>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</si>
  <si>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</si>
  <si>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</si>
  <si>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</si>
  <si>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</si>
  <si>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</si>
  <si>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</si>
  <si>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</si>
  <si>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</si>
  <si>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</si>
  <si>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</si>
  <si>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</si>
  <si>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</si>
  <si>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</si>
  <si>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</si>
  <si>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</si>
  <si>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</si>
  <si>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</si>
  <si>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</si>
  <si>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</si>
  <si>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</si>
  <si>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</si>
  <si>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</si>
  <si>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</si>
  <si>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</si>
  <si>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</si>
  <si>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</si>
  <si>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</si>
  <si>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</si>
  <si>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</si>
  <si>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</si>
  <si>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</si>
  <si>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</si>
  <si>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</si>
  <si>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</si>
  <si>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</si>
  <si>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</si>
  <si>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</si>
  <si>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</si>
  <si>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</si>
  <si>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</si>
  <si>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</si>
  <si>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</si>
  <si>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</si>
  <si>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</si>
  <si>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</si>
  <si>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</si>
  <si>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</si>
  <si>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</si>
  <si>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</si>
  <si>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</si>
  <si>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</si>
  <si>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</si>
  <si>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</si>
  <si>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</si>
  <si>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</si>
  <si>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</si>
  <si>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</si>
  <si>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</si>
  <si>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</si>
  <si>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</si>
  <si>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</si>
  <si>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</si>
  <si>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</si>
  <si>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</si>
  <si>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</si>
  <si>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</si>
  <si>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</si>
  <si>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</si>
  <si>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</si>
  <si>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</si>
  <si>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</si>
  <si>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</si>
  <si>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</si>
  <si>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</si>
  <si>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</si>
  <si>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</si>
  <si>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</si>
  <si>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</si>
  <si>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</si>
  <si>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</si>
  <si>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</si>
  <si>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</si>
  <si>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</si>
  <si>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</si>
  <si>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</si>
  <si>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</si>
  <si>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</si>
  <si>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</si>
  <si>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</si>
  <si>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</si>
  <si>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</si>
  <si>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</si>
  <si>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</si>
  <si>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</si>
  <si>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</si>
  <si>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</si>
  <si>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</si>
  <si>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</si>
  <si>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</si>
  <si>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</si>
  <si>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</si>
  <si>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</si>
  <si>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</si>
  <si>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</si>
  <si>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</si>
  <si>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</si>
  <si>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</si>
  <si>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</si>
  <si>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</si>
  <si>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</si>
  <si>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</si>
  <si>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</si>
  <si>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</si>
  <si>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</si>
  <si>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</si>
  <si>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</si>
  <si>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</si>
  <si>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</si>
  <si>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</si>
  <si>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</si>
  <si>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</si>
  <si>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</si>
  <si>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</si>
  <si>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</si>
  <si>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</si>
  <si>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</si>
  <si>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</si>
  <si>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</si>
  <si>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</si>
  <si>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</si>
  <si>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</si>
  <si>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</si>
  <si>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</si>
  <si>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</si>
  <si>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</si>
  <si>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</si>
  <si>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</si>
  <si>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</si>
  <si>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</si>
  <si>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</si>
  <si>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</si>
  <si>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</si>
  <si>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</si>
  <si>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</si>
  <si>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</si>
  <si>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</si>
  <si>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</si>
  <si>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</si>
  <si>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</si>
  <si>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</si>
  <si>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</si>
  <si>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</si>
  <si>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</si>
  <si>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</si>
  <si>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</si>
  <si>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</si>
  <si>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</si>
  <si>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</si>
  <si>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</si>
  <si>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</si>
  <si>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</si>
  <si>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</si>
  <si>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</si>
  <si>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</si>
  <si>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</si>
  <si>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</si>
  <si>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</si>
  <si>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</si>
  <si>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</si>
  <si>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</si>
  <si>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</si>
  <si>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</si>
  <si>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</si>
  <si>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</si>
  <si>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</si>
  <si>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</si>
  <si>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</si>
  <si>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</si>
  <si>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</si>
  <si>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</si>
  <si>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</si>
  <si>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</si>
  <si>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</si>
  <si>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</si>
  <si>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</si>
  <si>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</si>
  <si>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</si>
  <si>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</si>
  <si>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</si>
  <si>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</si>
  <si>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</si>
  <si>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</si>
  <si>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</si>
  <si>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</si>
  <si>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</si>
  <si>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</si>
  <si>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</si>
  <si>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</si>
  <si>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</si>
  <si>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</si>
  <si>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</si>
  <si>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</si>
  <si>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</si>
  <si>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</si>
  <si>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</si>
  <si>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</si>
  <si>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</si>
  <si>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</si>
  <si>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</si>
  <si>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</si>
  <si>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</si>
  <si>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</si>
  <si>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</si>
  <si>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</si>
  <si>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</si>
  <si>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</si>
  <si>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</si>
  <si>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</si>
  <si>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</si>
  <si>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</si>
  <si>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</si>
  <si>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</si>
  <si>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</si>
  <si>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</si>
  <si>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</si>
  <si>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</si>
  <si>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</si>
  <si>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</si>
  <si>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</si>
  <si>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</si>
  <si>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</si>
  <si>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</si>
  <si>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</si>
  <si>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</si>
  <si>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</si>
  <si>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</si>
  <si>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</si>
  <si>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</si>
  <si>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</si>
  <si>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</si>
  <si>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</si>
  <si>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</si>
  <si>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</si>
  <si>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</si>
  <si>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</si>
  <si>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</si>
  <si>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</si>
  <si>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</si>
  <si>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</si>
  <si>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</si>
  <si>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</si>
  <si>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</si>
  <si>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</si>
  <si>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</si>
  <si>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</si>
  <si>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</si>
  <si>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</si>
  <si>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</si>
  <si>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</si>
  <si>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</si>
  <si>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</si>
  <si>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</si>
  <si>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</si>
  <si>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</si>
  <si>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</si>
  <si>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</si>
  <si>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</si>
  <si>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</si>
  <si>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</si>
  <si>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</si>
  <si>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</si>
  <si>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</si>
  <si>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</si>
  <si>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</si>
  <si>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</si>
  <si>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</si>
  <si>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</si>
  <si>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</si>
  <si>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</si>
  <si>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</si>
  <si>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</si>
  <si>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</si>
  <si>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</si>
  <si>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</si>
  <si>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</si>
  <si>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</si>
  <si>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</si>
  <si>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</si>
  <si>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</si>
  <si>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</si>
  <si>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</si>
  <si>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</si>
  <si>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</si>
  <si>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</si>
  <si>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</si>
  <si>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</si>
  <si>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</si>
  <si>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</si>
  <si>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</si>
  <si>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</si>
  <si>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</si>
  <si>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</si>
  <si>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</si>
  <si>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</si>
  <si>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</si>
  <si>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</si>
  <si>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</si>
  <si>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</si>
  <si>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</si>
  <si>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</si>
  <si>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</si>
  <si>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</si>
  <si>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</si>
  <si>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</si>
  <si>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</si>
  <si>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</si>
  <si>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</si>
  <si>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</si>
  <si>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</si>
  <si>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</si>
  <si>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</si>
  <si>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</si>
  <si>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</si>
  <si>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</si>
  <si>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</si>
  <si>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</si>
  <si>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</si>
  <si>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</si>
  <si>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</si>
  <si>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</si>
  <si>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</si>
  <si>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</si>
  <si>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</si>
  <si>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</si>
  <si>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</si>
  <si>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</si>
  <si>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</si>
  <si>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</si>
  <si>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</si>
  <si>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</si>
  <si>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</si>
  <si>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</si>
  <si>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</si>
  <si>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</si>
  <si>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</si>
  <si>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</si>
  <si>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</si>
  <si>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</si>
  <si>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</si>
  <si>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</si>
  <si>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</si>
  <si>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</si>
  <si>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</si>
  <si>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</si>
  <si>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</si>
  <si>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</si>
  <si>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</si>
  <si>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</si>
  <si>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</si>
  <si>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</si>
  <si>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</si>
  <si>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</si>
  <si>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</si>
  <si>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</si>
  <si>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</si>
  <si>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</si>
  <si>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</si>
  <si>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</si>
  <si>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</si>
  <si>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</si>
  <si>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</si>
  <si>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</si>
  <si>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</si>
  <si>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</si>
  <si>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</si>
  <si>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</si>
  <si>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</si>
  <si>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</si>
  <si>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</si>
  <si>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</si>
  <si>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</si>
  <si>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</si>
  <si>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</si>
  <si>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</si>
  <si>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</si>
  <si>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</si>
  <si>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</si>
  <si>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</si>
  <si>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</si>
  <si>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</si>
  <si>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</si>
  <si>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</si>
  <si>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</si>
  <si>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</si>
  <si>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</si>
  <si>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</si>
  <si>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</si>
  <si>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</si>
  <si>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</si>
  <si>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</si>
  <si>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</si>
  <si>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</si>
  <si>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</si>
  <si>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</si>
  <si>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</si>
  <si>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</si>
  <si>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</si>
  <si>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</si>
  <si>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</si>
  <si>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</si>
  <si>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</si>
  <si>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</si>
  <si>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</si>
  <si>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</si>
  <si>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</si>
  <si>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</si>
  <si>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</si>
  <si>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</si>
  <si>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</si>
  <si>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</si>
  <si>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</si>
  <si>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</si>
  <si>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</si>
  <si>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</si>
  <si>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</si>
  <si>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</si>
  <si>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</si>
  <si>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</si>
  <si>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</si>
  <si>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</si>
  <si>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</si>
  <si>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</si>
  <si>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</si>
  <si>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</si>
  <si>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</si>
  <si>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</si>
  <si>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</si>
  <si>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</si>
  <si>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</si>
  <si>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</si>
  <si>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</si>
  <si>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</si>
  <si>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</si>
  <si>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</si>
  <si>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</si>
  <si>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</si>
  <si>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</si>
  <si>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</si>
  <si>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</si>
  <si>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</si>
  <si>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</si>
  <si>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</si>
  <si>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</si>
  <si>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</si>
  <si>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</si>
  <si>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</si>
  <si>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</si>
  <si>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</si>
  <si>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</si>
  <si>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</si>
  <si>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</si>
  <si>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</si>
  <si>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</si>
  <si>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</si>
  <si>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</si>
  <si>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</si>
  <si>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</si>
  <si>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</si>
  <si>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</si>
  <si>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</si>
  <si>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</si>
  <si>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</si>
  <si>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</si>
  <si>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</si>
  <si>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</si>
  <si>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</si>
  <si>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</si>
  <si>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</si>
  <si>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</si>
  <si>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</si>
  <si>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</si>
  <si>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</si>
  <si>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</si>
  <si>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</si>
  <si>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</si>
  <si>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</si>
  <si>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</si>
  <si>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</si>
  <si>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</si>
  <si>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</si>
  <si>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</si>
  <si>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</si>
  <si>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</si>
  <si>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</si>
  <si>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</si>
  <si>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</si>
  <si>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</si>
  <si>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</si>
  <si>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</si>
  <si>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</si>
  <si>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</si>
  <si>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</si>
  <si>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</si>
  <si>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</si>
  <si>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</si>
  <si>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</si>
  <si>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</si>
  <si>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</si>
  <si>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</si>
  <si>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</si>
  <si>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</si>
  <si>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</si>
  <si>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</si>
  <si>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</si>
  <si>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</si>
  <si>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</si>
  <si>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</si>
  <si>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</si>
  <si>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</si>
  <si>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</si>
  <si>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</si>
  <si>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</si>
  <si>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</si>
  <si>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</si>
  <si>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</si>
  <si>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</si>
  <si>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</si>
  <si>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</si>
  <si>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</si>
  <si>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</si>
  <si>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</si>
  <si>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</si>
  <si>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</si>
  <si>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</si>
  <si>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</si>
  <si>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</si>
  <si>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</si>
  <si>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</si>
  <si>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</si>
  <si>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</si>
  <si>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</si>
  <si>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</si>
  <si>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</si>
  <si>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</si>
  <si>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</si>
  <si>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</si>
  <si>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</si>
  <si>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</si>
  <si>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</si>
  <si>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</si>
  <si>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</si>
  <si>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</si>
  <si>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</si>
  <si>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</si>
  <si>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</si>
  <si>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</si>
  <si>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</si>
  <si>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</si>
  <si>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</si>
  <si>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</si>
  <si>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</si>
  <si>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</si>
  <si>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</si>
  <si>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</si>
  <si>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</si>
  <si>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</si>
  <si>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</si>
  <si>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</si>
  <si>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</si>
  <si>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</si>
  <si>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</si>
  <si>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</si>
  <si>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</si>
  <si>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</si>
  <si>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</si>
  <si>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</si>
  <si>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</si>
  <si>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</si>
  <si>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</si>
  <si>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</si>
  <si>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</si>
  <si>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</si>
  <si>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</si>
  <si>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</si>
  <si>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</si>
  <si>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</si>
  <si>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</si>
  <si>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</si>
  <si>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</si>
  <si>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</si>
  <si>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</si>
  <si>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</si>
  <si>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</si>
  <si>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</si>
  <si>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</si>
  <si>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</si>
  <si>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</si>
  <si>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</si>
  <si>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</si>
  <si>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</si>
  <si>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</si>
  <si>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</si>
  <si>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</si>
  <si>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</si>
  <si>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</si>
  <si>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</si>
  <si>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</si>
  <si>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</si>
  <si>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</si>
  <si>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</si>
  <si>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</si>
  <si>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</si>
  <si>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</si>
  <si>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</si>
  <si>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</si>
  <si>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</si>
  <si>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</si>
  <si>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</si>
  <si>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</si>
  <si>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</si>
  <si>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</si>
  <si>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</si>
  <si>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</si>
  <si>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</si>
  <si>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</si>
  <si>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</si>
  <si>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</si>
  <si>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</si>
  <si>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</si>
  <si>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</si>
  <si>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</si>
  <si>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</si>
  <si>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</si>
  <si>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</si>
  <si>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</si>
  <si>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</si>
  <si>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</si>
  <si>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</si>
  <si>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</si>
  <si>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</si>
  <si>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</si>
  <si>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</si>
  <si>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</si>
  <si>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</si>
  <si>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</si>
  <si>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</si>
  <si>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</si>
  <si>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</si>
  <si>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</si>
  <si>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</si>
  <si>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</si>
  <si>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</si>
  <si>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</si>
  <si>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</si>
  <si>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</si>
  <si>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</si>
  <si>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</si>
  <si>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</si>
  <si>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</si>
  <si>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</si>
  <si>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</si>
  <si>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</si>
  <si>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</si>
  <si>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</si>
  <si>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</si>
  <si>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</si>
  <si>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</si>
  <si>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</si>
  <si>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</si>
  <si>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</si>
  <si>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</si>
  <si>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</si>
  <si>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</si>
  <si>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</si>
  <si>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</si>
  <si>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</si>
  <si>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</si>
  <si>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</si>
  <si>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</si>
  <si>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</si>
  <si>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</si>
  <si>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</si>
  <si>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</si>
  <si>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</si>
  <si>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</si>
  <si>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</si>
  <si>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</si>
  <si>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</si>
  <si>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</si>
  <si>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</si>
  <si>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</si>
  <si>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</si>
  <si>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</si>
  <si>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</si>
  <si>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</si>
  <si>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</si>
  <si>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</si>
  <si>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</si>
  <si>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</si>
  <si>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</si>
  <si>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</si>
  <si>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</si>
  <si>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</si>
  <si>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</si>
  <si>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</si>
  <si>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</si>
  <si>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</si>
  <si>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</si>
  <si>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</si>
  <si>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</si>
  <si>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</si>
  <si>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</si>
  <si>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</si>
  <si>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</si>
  <si>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</si>
  <si>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</si>
  <si>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</si>
  <si>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</si>
  <si>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</si>
  <si>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</si>
  <si>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</si>
  <si>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</si>
  <si>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</si>
  <si>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</si>
  <si>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</si>
  <si>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</si>
  <si>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</si>
  <si>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</si>
  <si>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</si>
  <si>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</si>
  <si>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</si>
  <si>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</si>
  <si>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</si>
  <si>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</si>
  <si>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</si>
  <si>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</si>
  <si>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</si>
  <si>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</si>
  <si>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</si>
  <si>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</si>
  <si>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</si>
  <si>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</si>
  <si>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</si>
  <si>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</si>
  <si>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</si>
  <si>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</si>
  <si>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</si>
  <si>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</si>
  <si>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</si>
  <si>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</si>
  <si>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</si>
  <si>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</si>
  <si>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</si>
  <si>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</si>
  <si>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</si>
  <si>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</si>
  <si>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</si>
  <si>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</si>
  <si>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</si>
  <si>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</si>
  <si>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</si>
  <si>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</si>
  <si>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</si>
  <si>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</si>
  <si>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</si>
  <si>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</si>
  <si>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</si>
  <si>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</si>
  <si>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</si>
  <si>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</si>
  <si>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</si>
  <si>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</si>
  <si>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</si>
  <si>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</si>
  <si>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</si>
  <si>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</si>
  <si>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</si>
  <si>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</si>
  <si>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</si>
  <si>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</si>
  <si>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</si>
  <si>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</si>
  <si>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</si>
  <si>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</si>
  <si>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</si>
  <si>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</si>
  <si>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</si>
  <si>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</si>
  <si>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</si>
  <si>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</si>
  <si>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</si>
  <si>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</si>
  <si>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</si>
  <si>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</si>
  <si>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</si>
  <si>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</si>
  <si>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</si>
  <si>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</si>
  <si>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</si>
  <si>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</si>
  <si>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</si>
  <si>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</si>
  <si>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</si>
  <si>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</si>
  <si>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</si>
  <si>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</si>
  <si>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</si>
  <si>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</si>
  <si>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</si>
  <si>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</si>
  <si>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</si>
  <si>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</si>
  <si>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</si>
  <si>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</si>
  <si>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</si>
  <si>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</si>
  <si>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</si>
  <si>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</si>
  <si>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</si>
  <si>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</si>
  <si>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</si>
  <si>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</si>
  <si>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</si>
  <si>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</si>
  <si>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</si>
  <si>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</si>
  <si>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</si>
  <si>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</si>
  <si>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</si>
  <si>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</si>
  <si>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</si>
  <si>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</si>
  <si>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</si>
  <si>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</si>
  <si>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</si>
  <si>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</si>
  <si>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</si>
  <si>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</si>
  <si>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</si>
  <si>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</si>
  <si>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</si>
  <si>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</si>
  <si>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</si>
  <si>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</si>
  <si>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</si>
  <si>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</si>
  <si>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</si>
  <si>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</si>
  <si>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</si>
  <si>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</si>
  <si>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</si>
  <si>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</si>
  <si>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</si>
  <si>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</si>
  <si>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</si>
  <si>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</si>
  <si>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</si>
  <si>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</si>
  <si>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</si>
  <si>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</si>
  <si>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</si>
  <si>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</si>
  <si>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</si>
  <si>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</si>
  <si>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</si>
  <si>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</si>
  <si>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</si>
  <si>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</si>
  <si>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</si>
  <si>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</si>
  <si>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</si>
  <si>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</si>
  <si>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</si>
  <si>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</si>
  <si>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</si>
  <si>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</si>
  <si>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</si>
  <si>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</si>
  <si>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</si>
  <si>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</si>
  <si>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</si>
  <si>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</si>
  <si>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</si>
  <si>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</si>
  <si>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</si>
  <si>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</si>
  <si>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</si>
  <si>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</si>
  <si>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</si>
  <si>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</si>
  <si>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</si>
  <si>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</si>
  <si>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</si>
  <si>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</si>
  <si>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</si>
  <si>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</si>
  <si>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</si>
  <si>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</si>
  <si>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</si>
  <si>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</si>
  <si>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</si>
  <si>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</si>
  <si>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</si>
  <si>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</si>
  <si>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</si>
  <si>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</si>
  <si>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</si>
  <si>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</si>
  <si>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</si>
  <si>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</si>
  <si>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</si>
  <si>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</si>
  <si>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</si>
  <si>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</si>
  <si>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</si>
  <si>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</si>
  <si>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</si>
  <si>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</si>
  <si>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</si>
  <si>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</si>
  <si>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</si>
  <si>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</si>
  <si>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</si>
  <si>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</si>
  <si>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</si>
  <si>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</si>
  <si>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</si>
  <si>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</si>
  <si>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</si>
  <si>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</si>
  <si>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</si>
  <si>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</si>
  <si>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</si>
  <si>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</si>
  <si>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</si>
  <si>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</si>
  <si>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</si>
  <si>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</si>
  <si>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</si>
  <si>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</si>
  <si>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</si>
  <si>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</si>
  <si>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</si>
  <si>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</si>
  <si>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</si>
  <si>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</si>
  <si>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</si>
  <si>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</si>
  <si>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</si>
  <si>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</si>
  <si>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</si>
  <si>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</si>
  <si>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</si>
  <si>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</si>
  <si>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</si>
  <si>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</si>
  <si>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</si>
  <si>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</si>
  <si>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</si>
  <si>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</si>
  <si>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</si>
  <si>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</si>
  <si>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</si>
  <si>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</si>
  <si>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</si>
  <si>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</si>
  <si>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</si>
  <si>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</si>
  <si>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</si>
  <si>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</si>
  <si>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</si>
  <si>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</si>
  <si>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</si>
  <si>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</si>
  <si>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</si>
  <si>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</si>
  <si>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</si>
  <si>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</si>
  <si>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</si>
  <si>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</si>
  <si>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</si>
  <si>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</si>
  <si>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</si>
  <si>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</si>
  <si>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</si>
  <si>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</si>
  <si>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</si>
  <si>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</si>
  <si>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</si>
  <si>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</si>
  <si>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</si>
  <si>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</si>
  <si>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</si>
  <si>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</si>
  <si>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</si>
  <si>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</si>
  <si>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</si>
  <si>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</si>
  <si>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</si>
  <si>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</si>
  <si>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</si>
  <si>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</si>
  <si>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</si>
  <si>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</si>
  <si>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</si>
  <si>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</si>
  <si>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</si>
  <si>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</si>
  <si>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</si>
  <si>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</si>
  <si>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</si>
  <si>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</si>
  <si>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</si>
  <si>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</si>
  <si>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</si>
  <si>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</si>
  <si>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</si>
  <si>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</si>
  <si>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</si>
  <si>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</si>
  <si>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</si>
  <si>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</si>
  <si>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</si>
  <si>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</si>
  <si>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</si>
  <si>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</si>
  <si>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</si>
  <si>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</si>
  <si>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</si>
  <si>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</si>
  <si>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</si>
  <si>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</si>
  <si>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</si>
  <si>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</si>
  <si>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</si>
  <si>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</si>
  <si>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</si>
  <si>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</si>
  <si>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</si>
  <si>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</si>
  <si>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</si>
  <si>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</si>
  <si>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</si>
  <si>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</si>
  <si>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</si>
  <si>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</si>
  <si>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</si>
  <si>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</si>
  <si>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</si>
  <si>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</si>
  <si>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</si>
  <si>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</si>
  <si>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</si>
  <si>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</si>
  <si>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</si>
  <si>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</si>
  <si>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</si>
  <si>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</si>
  <si>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</si>
  <si>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</si>
  <si>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</si>
  <si>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</si>
  <si>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</si>
  <si>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</si>
  <si>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</si>
  <si>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</si>
  <si>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</si>
  <si>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</si>
  <si>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</si>
  <si>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</si>
  <si>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</si>
  <si>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</si>
  <si>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</si>
  <si>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</si>
  <si>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</si>
  <si>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</si>
  <si>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</si>
  <si>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</si>
  <si>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</si>
  <si>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</si>
  <si>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</si>
  <si>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</si>
  <si>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</si>
  <si>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</si>
  <si>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</si>
  <si>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</si>
  <si>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</si>
  <si>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</si>
  <si>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</si>
  <si>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</si>
  <si>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</si>
  <si>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</si>
  <si>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</si>
  <si>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</si>
  <si>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</si>
  <si>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</si>
  <si>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</si>
  <si>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</si>
  <si>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</si>
  <si>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</si>
  <si>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</si>
  <si>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</si>
  <si>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</si>
  <si>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</si>
  <si>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</si>
  <si>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</si>
  <si>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</si>
  <si>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</si>
  <si>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</si>
  <si>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</si>
  <si>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</si>
  <si>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</si>
  <si>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</si>
  <si>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</si>
  <si>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</si>
  <si>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</si>
  <si>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</si>
  <si>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</si>
  <si>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</si>
  <si>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</si>
  <si>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</si>
  <si>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</si>
  <si>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</si>
  <si>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</si>
  <si>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</si>
  <si>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</si>
  <si>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</si>
  <si>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</si>
  <si>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</si>
  <si>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</si>
  <si>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</si>
  <si>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</si>
  <si>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</si>
  <si>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</si>
  <si>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</si>
  <si>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</si>
  <si>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</si>
  <si>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</si>
  <si>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</si>
  <si>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</si>
  <si>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</si>
  <si>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</si>
  <si>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</si>
  <si>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</si>
  <si>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</si>
  <si>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</si>
  <si>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</si>
  <si>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</si>
  <si>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</si>
  <si>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</si>
  <si>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</si>
  <si>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</si>
  <si>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</si>
  <si>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</si>
  <si>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</si>
  <si>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</si>
  <si>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</si>
  <si>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</si>
  <si>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</si>
  <si>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</si>
  <si>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</si>
  <si>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</si>
  <si>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</si>
  <si>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</si>
  <si>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</si>
  <si>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</si>
  <si>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</si>
  <si>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</si>
  <si>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</si>
  <si>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</si>
  <si>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</si>
  <si>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</si>
  <si>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</si>
  <si>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</si>
  <si>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</si>
  <si>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</si>
  <si>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</si>
  <si>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</si>
  <si>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</si>
  <si>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</si>
  <si>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</si>
  <si>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</si>
  <si>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</si>
  <si>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</si>
  <si>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</si>
  <si>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</si>
  <si>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</si>
  <si>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</si>
  <si>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</si>
  <si>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</si>
  <si>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</si>
  <si>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</si>
  <si>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</si>
  <si>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</si>
  <si>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</si>
  <si>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</si>
  <si>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</si>
  <si>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</si>
  <si>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</si>
  <si>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</si>
  <si>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</si>
  <si>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</si>
  <si>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</si>
  <si>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</si>
  <si>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</si>
  <si>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</si>
  <si>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</si>
  <si>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</si>
  <si>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</si>
  <si>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</si>
  <si>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</si>
  <si>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</si>
  <si>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</si>
  <si>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</si>
  <si>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</si>
  <si>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</si>
  <si>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</si>
  <si>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</si>
  <si>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</si>
  <si>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</si>
  <si>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</si>
  <si>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</si>
  <si>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</si>
  <si>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</si>
  <si>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</si>
  <si>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</si>
  <si>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</si>
  <si>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</si>
  <si>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</si>
  <si>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</si>
  <si>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</si>
  <si>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</si>
  <si>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</si>
  <si>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</si>
  <si>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</si>
  <si>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</si>
  <si>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</si>
  <si>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</si>
  <si>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</si>
  <si>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</si>
  <si>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</si>
  <si>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</si>
  <si>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</si>
  <si>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</si>
  <si>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</si>
  <si>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</si>
  <si>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</si>
  <si>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</si>
  <si>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</si>
  <si>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</si>
  <si>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</si>
  <si>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</si>
  <si>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</si>
  <si>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</si>
  <si>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</si>
  <si>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</si>
  <si>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</si>
  <si>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</si>
  <si>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</si>
  <si>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</si>
  <si>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</si>
  <si>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</si>
  <si>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</si>
  <si>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</si>
  <si>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</si>
  <si>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</si>
  <si>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</si>
  <si>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</si>
  <si>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</si>
  <si>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</si>
  <si>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</si>
  <si>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</si>
  <si>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</si>
  <si>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</si>
  <si>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</si>
  <si>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</si>
  <si>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</si>
  <si>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</si>
  <si>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</si>
  <si>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</si>
  <si>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</si>
  <si>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</si>
  <si>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</si>
  <si>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</si>
  <si>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</si>
  <si>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</si>
  <si>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</si>
  <si>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</si>
  <si>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</si>
  <si>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</si>
  <si>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</si>
  <si>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</si>
  <si>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</si>
  <si>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</si>
  <si>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</si>
  <si>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</si>
  <si>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</si>
  <si>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</si>
  <si>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</si>
  <si>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</si>
  <si>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</si>
  <si>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</si>
  <si>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</si>
  <si>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</si>
  <si>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</si>
  <si>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</si>
  <si>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</si>
  <si>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</si>
  <si>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</si>
  <si>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</si>
  <si>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</si>
  <si>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</si>
  <si>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</si>
  <si>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</si>
  <si>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</si>
  <si>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</si>
  <si>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</si>
  <si>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</si>
  <si>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</si>
  <si>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</si>
  <si>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</si>
  <si>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</si>
  <si>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</si>
  <si>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</si>
  <si>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</si>
  <si>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</si>
  <si>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</si>
  <si>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</si>
  <si>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</si>
  <si>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</si>
  <si>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Plummer Village Apartments LP</t>
  </si>
  <si>
    <t>Plummer Village Apartments</t>
  </si>
  <si>
    <t>15450 Plummer St</t>
  </si>
  <si>
    <t>North Hills</t>
  </si>
  <si>
    <t>Timothy Elliott</t>
  </si>
  <si>
    <t>Community Housing Program Manager</t>
  </si>
  <si>
    <t>(213) 808-8596</t>
  </si>
  <si>
    <t>(213) 808-8910</t>
  </si>
  <si>
    <t>timothy.elliott@lacity.org</t>
  </si>
  <si>
    <t>1200 W. 7th Street, 8th Floor</t>
  </si>
  <si>
    <t>2656-016-010</t>
  </si>
  <si>
    <t>40%/60%</t>
  </si>
  <si>
    <t>401 Wilshire Blvd, 11th Floor</t>
  </si>
  <si>
    <t>Santa Monica</t>
  </si>
  <si>
    <t>CA</t>
  </si>
  <si>
    <t>Brandon Hodge</t>
  </si>
  <si>
    <t>(424) 222-8253</t>
  </si>
  <si>
    <t>bhodge@lincolnavenue.com</t>
  </si>
  <si>
    <t>Lincoln Avenue Capital LLC</t>
  </si>
  <si>
    <t>Pacific Housing, Inc.</t>
  </si>
  <si>
    <t>Managing GP</t>
  </si>
  <si>
    <t>2115 J Street #201</t>
  </si>
  <si>
    <t>Santa Monica, CA 90401</t>
  </si>
  <si>
    <t>FPI Management, Inc.</t>
  </si>
  <si>
    <t>800 Iron Point Road</t>
  </si>
  <si>
    <t>Folsom, CA 95630</t>
  </si>
  <si>
    <t>Appraisal</t>
  </si>
  <si>
    <t>Partner Engineering and Science, Inc.</t>
  </si>
  <si>
    <t>2800 Dallas Parkway, Suite 200</t>
  </si>
  <si>
    <t>Plano, TX, 75093</t>
  </si>
  <si>
    <t>Peralta Energy</t>
  </si>
  <si>
    <t>4180 Emerald St.</t>
  </si>
  <si>
    <t>Oakland, CA 94609</t>
  </si>
  <si>
    <t>Ben Thompson</t>
  </si>
  <si>
    <t>ben@peraltaenergy.com</t>
  </si>
  <si>
    <t>Basis Architecture and Consulting, Inc.</t>
  </si>
  <si>
    <t>2130 4th Street, Suite B</t>
  </si>
  <si>
    <t>San Rafael, CA 94901</t>
  </si>
  <si>
    <t>Charlie Pick</t>
  </si>
  <si>
    <t>cpick@basisarch.com</t>
  </si>
  <si>
    <t>Multifamily Residential</t>
  </si>
  <si>
    <t>Plummer Village Preservation, L.P.</t>
  </si>
  <si>
    <t>Matthew Finkle</t>
  </si>
  <si>
    <t>Vice President of General Partner</t>
  </si>
  <si>
    <t>30 Hudson Yards, Fl 72</t>
  </si>
  <si>
    <t>New York, NY 10001</t>
  </si>
  <si>
    <t>Other (Specify below)</t>
  </si>
  <si>
    <t>RA-1</t>
  </si>
  <si>
    <t>Minimum 5,000 SF per lot</t>
  </si>
  <si>
    <t>No change</t>
  </si>
  <si>
    <t>35 feet</t>
  </si>
  <si>
    <t>One parking space per unit; legal nonconfirming with 31 spaces</t>
  </si>
  <si>
    <t>Fannie Mae / Berkadia</t>
  </si>
  <si>
    <t>Fixed</t>
  </si>
  <si>
    <t>Berkadia Affordable Tax Credit Solutions</t>
  </si>
  <si>
    <t>HUD</t>
  </si>
  <si>
    <t>Project-based contract (PBC)</t>
  </si>
  <si>
    <t>Internet, Renter's Insurance, Late Fees, etc.</t>
  </si>
  <si>
    <t>Recycled Bonds</t>
  </si>
  <si>
    <t>Other (Specify)</t>
  </si>
  <si>
    <t>Other: Borrower Counsel</t>
  </si>
  <si>
    <t>Other: Third Party Reports</t>
  </si>
  <si>
    <t>Paragon Construction Company</t>
  </si>
  <si>
    <t>2656 East Denim Trail</t>
  </si>
  <si>
    <t>San Tan Valley, AZ 85143</t>
  </si>
  <si>
    <t>Kyle Weaver</t>
  </si>
  <si>
    <t>602-695-5319</t>
  </si>
  <si>
    <t>CBRE</t>
  </si>
  <si>
    <t>4520 Main Street Suite 600</t>
  </si>
  <si>
    <t>Kansas City, MO 64111</t>
  </si>
  <si>
    <t xml:space="preserve">Matt Hummel </t>
  </si>
  <si>
    <t>816-968-5891</t>
  </si>
  <si>
    <t>matt.hummel@cbre.com</t>
  </si>
  <si>
    <t>kyle.weaver@paragonconstructionco.com</t>
  </si>
  <si>
    <t>Mark Wiese</t>
  </si>
  <si>
    <t>mwiese@pacifichousing.org</t>
  </si>
  <si>
    <t>Project Developer/Owner</t>
  </si>
  <si>
    <t>Bocarsly Emden Cowan Esmail &amp; Arndt LLP</t>
  </si>
  <si>
    <t>633 W. Fifth Street, 64th Floor</t>
  </si>
  <si>
    <t>Los Angeles, CA 90071</t>
  </si>
  <si>
    <t>Kyle Arndt</t>
  </si>
  <si>
    <t>213-239-5048</t>
  </si>
  <si>
    <t>213-239-0410</t>
  </si>
  <si>
    <t>karndt@bocarsly.com</t>
  </si>
  <si>
    <t>BDO USA</t>
  </si>
  <si>
    <t>1801 Market Street, Suite 1200</t>
  </si>
  <si>
    <t>Philadelphia, PA 19103</t>
  </si>
  <si>
    <t>Kyle Paisley</t>
  </si>
  <si>
    <t>kpaisley@bdo.com</t>
  </si>
  <si>
    <t>5960 Berkshire Lane, Suite 1000</t>
  </si>
  <si>
    <t>Dallas, TX 75225</t>
  </si>
  <si>
    <t>Tim Leonhard</t>
  </si>
  <si>
    <t>tim.leonhard@berkadia.com</t>
  </si>
  <si>
    <t>Melissa Dahl</t>
  </si>
  <si>
    <t>mdahl@partneresi.com</t>
  </si>
  <si>
    <t>curtis.tumbaga@fpimgt.com</t>
  </si>
  <si>
    <t>Curtis Tumbaga</t>
  </si>
  <si>
    <t>(916) 850-4457</t>
  </si>
  <si>
    <t>California Municipal Finance Authority</t>
  </si>
  <si>
    <t>211 Palomar Airport RD, Suite 320</t>
  </si>
  <si>
    <t>Carlsbad, CA 92011</t>
  </si>
  <si>
    <t>Anthony Stubbs</t>
  </si>
  <si>
    <t>astubbs@cmfa-ca.com</t>
  </si>
  <si>
    <t>450 Main Street, Suite 1600</t>
  </si>
  <si>
    <t>Matt Hummel</t>
  </si>
  <si>
    <t>Welfare Exemption</t>
  </si>
  <si>
    <t>Secured by Fee Interest</t>
  </si>
  <si>
    <t>Three story elevator-serviced.</t>
  </si>
  <si>
    <t>Equity Bridge Loan</t>
  </si>
  <si>
    <t>Deferred Costs During Construction</t>
  </si>
  <si>
    <t>Pacific Housing, Inc</t>
  </si>
  <si>
    <t>Tax Exempt Construction Loan</t>
  </si>
  <si>
    <t>Tax-Exempt Recycled Bonds</t>
  </si>
  <si>
    <t>Taxable Loan</t>
  </si>
  <si>
    <t>LIHTC Equity</t>
  </si>
  <si>
    <t>401 Wilshire Blvd., 11th Floor</t>
  </si>
  <si>
    <t>General Partner Equity</t>
  </si>
  <si>
    <t>Cash Flow From Operations</t>
  </si>
  <si>
    <t>Loan, Tax-Exempt, Recycled Bonds</t>
  </si>
  <si>
    <t>HUD Rent Schedule</t>
  </si>
  <si>
    <t>General Administrative</t>
  </si>
  <si>
    <t>Employee Benefits</t>
  </si>
  <si>
    <t>Other Contract Services</t>
  </si>
  <si>
    <t>Tax Exempt Recycled Bonds</t>
  </si>
  <si>
    <t>Other: Lender Third Party</t>
  </si>
  <si>
    <t>Other Operating Expenses: Additional Resident Services</t>
  </si>
  <si>
    <t>Plummer Village Developer LLC</t>
  </si>
  <si>
    <t>Reserved Cash Flow From Operations</t>
  </si>
  <si>
    <t xml:space="preserve">Berkadia </t>
  </si>
  <si>
    <t>Berkadia</t>
  </si>
  <si>
    <t>Deferred Costs</t>
  </si>
  <si>
    <t>Fannie Mae</t>
  </si>
  <si>
    <t>Fannie Mae Guaranty</t>
  </si>
  <si>
    <t>Provided</t>
  </si>
  <si>
    <t>Not Applicable</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</si>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</sst>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wrapText="1"/>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84364</xdr:colOff>
      <xdr:row>7</xdr:row>
      <xdr:rowOff>11118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workbookViewId="0">
      <selection activeCell="D15" sqref="D15:AK1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4"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4"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4" customHeight="1">
      <c r="A40" s="4"/>
      <c r="B40"/>
      <c r="C40" s="2"/>
      <c r="D40" s="4"/>
      <c r="E40" s="4" t="s">
        <v>653</v>
      </c>
      <c r="F40" s="1262" t="s">
        <v>1163</v>
      </c>
    </row>
    <row r="41" spans="1:38" s="1262" customFormat="1" ht="13.4"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4"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687</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4"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509</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4"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1014</v>
      </c>
      <c r="G117" s="4"/>
    </row>
    <row r="118" spans="2:10" ht="13">
      <c r="F118" s="99" t="s">
        <v>1186</v>
      </c>
      <c r="G118" s="99"/>
    </row>
    <row r="119" spans="2:10" ht="13">
      <c r="G119" s="99"/>
    </row>
    <row r="120" spans="2:10">
      <c r="E120" s="4" t="s">
        <v>763</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303</v>
      </c>
      <c r="E138" s="2" t="s">
        <v>2040</v>
      </c>
      <c r="F138" s="2"/>
      <c r="G138" s="2"/>
      <c r="H138" s="2"/>
    </row>
    <row r="139" spans="4:37">
      <c r="E139" t="s">
        <v>112</v>
      </c>
      <c r="F139" t="s">
        <v>52</v>
      </c>
    </row>
    <row r="140" spans="4:37">
      <c r="E140" t="s">
        <v>113</v>
      </c>
      <c r="F140" t="s">
        <v>466</v>
      </c>
    </row>
    <row r="141" spans="4:37"/>
    <row r="142" spans="4:37" ht="13">
      <c r="D142" s="2" t="s">
        <v>429</v>
      </c>
      <c r="E142" s="2" t="s">
        <v>2041</v>
      </c>
    </row>
    <row r="143" spans="4:37">
      <c r="E143" s="204" t="s">
        <v>2042</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4"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1257</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4"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86" sqref="H86"/>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0" t="s">
        <v>1584</v>
      </c>
      <c r="B1" s="2660"/>
      <c r="C1" s="2660"/>
      <c r="D1" s="2660"/>
      <c r="E1" s="2660"/>
      <c r="F1" s="2660"/>
      <c r="G1" s="2660"/>
      <c r="H1" s="2660"/>
      <c r="I1" s="2660"/>
      <c r="J1" s="2660"/>
    </row>
    <row r="2" spans="1:13" ht="15" customHeight="1" thickBot="1">
      <c r="A2" s="1046"/>
      <c r="B2" s="1046"/>
      <c r="I2" s="1047"/>
      <c r="K2" s="1048"/>
    </row>
    <row r="3" spans="1:13" s="1051" customFormat="1" ht="20.149999999999999" customHeight="1">
      <c r="A3" s="1100"/>
      <c r="B3" s="1101"/>
      <c r="C3" s="1102"/>
      <c r="D3" s="1107"/>
      <c r="E3" s="1102"/>
      <c r="F3" s="1103" t="s">
        <v>1988</v>
      </c>
      <c r="G3" s="1102"/>
      <c r="H3" s="1104">
        <f>E18</f>
        <v>26520280</v>
      </c>
      <c r="I3" s="1105"/>
    </row>
    <row r="4" spans="1:13" s="1051" customFormat="1" ht="20.149999999999999" customHeight="1">
      <c r="B4" s="1094"/>
      <c r="D4" s="1108"/>
      <c r="F4" s="1092" t="s">
        <v>1990</v>
      </c>
      <c r="G4" s="1091" t="s">
        <v>1989</v>
      </c>
      <c r="H4" s="1093">
        <f>I18</f>
        <v>8358292.4836601308</v>
      </c>
      <c r="I4" s="1095"/>
      <c r="K4" s="1055"/>
    </row>
    <row r="5" spans="1:13" s="1051" customFormat="1" ht="20.149999999999999" customHeight="1" thickBot="1">
      <c r="B5" s="1096"/>
      <c r="C5" s="1097"/>
      <c r="D5" s="1109"/>
      <c r="E5" s="1098"/>
      <c r="F5" s="1109" t="s">
        <v>1940</v>
      </c>
      <c r="G5" s="1110"/>
      <c r="H5" s="1106">
        <f>IFERROR(H3/H4,0)</f>
        <v>3.1729303624927301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1938</v>
      </c>
      <c r="C8" s="2664"/>
      <c r="D8" s="2664"/>
      <c r="E8" s="2665"/>
      <c r="G8" s="2666" t="s">
        <v>1939</v>
      </c>
      <c r="H8" s="2667"/>
      <c r="I8" s="2668"/>
      <c r="K8" s="1057"/>
    </row>
    <row r="9" spans="1:13" ht="15" customHeight="1">
      <c r="A9" s="1046"/>
      <c r="B9" s="2661" t="s">
        <v>1972</v>
      </c>
      <c r="C9" s="2661"/>
      <c r="D9" s="2661"/>
      <c r="E9" s="1059">
        <f>G33</f>
        <v>3700000</v>
      </c>
      <c r="G9" s="2669" t="s">
        <v>1970</v>
      </c>
      <c r="H9" s="2669"/>
      <c r="I9" s="1060">
        <f>SUMIF(Application!M554:M565,"Loan, Tax-Exempt",Application!AM554:AM565)</f>
        <v>8900000</v>
      </c>
      <c r="K9" s="1061"/>
      <c r="M9" s="1062"/>
    </row>
    <row r="10" spans="1:13" ht="15" customHeight="1" thickBot="1">
      <c r="A10" s="1046"/>
      <c r="B10" s="2661" t="s">
        <v>1973</v>
      </c>
      <c r="C10" s="2661"/>
      <c r="D10" s="2661"/>
      <c r="E10" s="1060">
        <f>G47</f>
        <v>16370280</v>
      </c>
      <c r="G10" s="2673" t="s">
        <v>1941</v>
      </c>
      <c r="H10" s="2673"/>
      <c r="I10" s="1140">
        <f>'Basis &amp; Credits'!AB78</f>
        <v>0</v>
      </c>
      <c r="M10" s="1062"/>
    </row>
    <row r="11" spans="1:13" ht="15" customHeight="1">
      <c r="A11" s="1046"/>
      <c r="B11" s="2677" t="s">
        <v>2261</v>
      </c>
      <c r="C11" s="2678"/>
      <c r="D11" s="2679"/>
      <c r="E11" s="1060">
        <f>SUM(E12,E13)</f>
        <v>160000</v>
      </c>
      <c r="G11" s="2676" t="s">
        <v>1981</v>
      </c>
      <c r="H11" s="2676"/>
      <c r="I11" s="1139">
        <f>I9+I10</f>
        <v>8900000</v>
      </c>
      <c r="M11" s="1062"/>
    </row>
    <row r="12" spans="1:13" ht="15" customHeight="1">
      <c r="A12" s="1063"/>
      <c r="B12" s="2662" t="s">
        <v>2263</v>
      </c>
      <c r="C12" s="2662"/>
      <c r="D12" s="2662"/>
      <c r="E12" s="1165">
        <f>G56</f>
        <v>0</v>
      </c>
      <c r="M12" s="1062"/>
    </row>
    <row r="13" spans="1:13" ht="15" customHeight="1">
      <c r="A13" s="1049"/>
      <c r="B13" s="2662" t="s">
        <v>2264</v>
      </c>
      <c r="C13" s="2662"/>
      <c r="D13" s="2662"/>
      <c r="E13" s="1165">
        <f>G65</f>
        <v>160000</v>
      </c>
      <c r="G13" s="2666" t="s">
        <v>2004</v>
      </c>
      <c r="H13" s="2667"/>
      <c r="I13" s="2668"/>
      <c r="M13" s="1062"/>
    </row>
    <row r="14" spans="1:13" ht="15" customHeight="1">
      <c r="A14" s="1049"/>
      <c r="B14" s="2677" t="s">
        <v>2262</v>
      </c>
      <c r="C14" s="2678"/>
      <c r="D14" s="2679"/>
      <c r="E14" s="1167">
        <f>MAX(E15,E16)+E17</f>
        <v>6290000</v>
      </c>
      <c r="G14" s="2669" t="s">
        <v>139</v>
      </c>
      <c r="H14" s="2669"/>
      <c r="I14" s="1064">
        <f>15%*(AND(G120="Yes",G122&lt;&gt;""))</f>
        <v>0</v>
      </c>
      <c r="M14" s="1062"/>
    </row>
    <row r="15" spans="1:13" ht="15" customHeight="1">
      <c r="A15" s="1049"/>
      <c r="B15" s="2680" t="s">
        <v>2268</v>
      </c>
      <c r="C15" s="2681"/>
      <c r="D15" s="2682"/>
      <c r="E15" s="1165">
        <f>G80</f>
        <v>0</v>
      </c>
      <c r="G15" s="1137" t="s">
        <v>1982</v>
      </c>
      <c r="H15" s="1137"/>
      <c r="I15" s="1064">
        <f>IF(Application!AJ1032&gt;0,10%,IF(Application!AJ1036&gt;0,5%,0))</f>
        <v>0</v>
      </c>
      <c r="M15" s="1062"/>
    </row>
    <row r="16" spans="1:13" ht="15" customHeight="1">
      <c r="A16" s="1049"/>
      <c r="B16" s="2680" t="s">
        <v>2267</v>
      </c>
      <c r="C16" s="2681"/>
      <c r="D16" s="2682"/>
      <c r="E16" s="1165">
        <f>G90</f>
        <v>1480000</v>
      </c>
      <c r="G16" s="2669" t="s">
        <v>1983</v>
      </c>
      <c r="H16" s="2669"/>
      <c r="I16" s="1064">
        <f>G132</f>
        <v>6.0866013071895424E-2</v>
      </c>
    </row>
    <row r="17" spans="1:21" ht="15" customHeight="1" thickBot="1">
      <c r="A17" s="1049"/>
      <c r="B17" s="2680" t="s">
        <v>2266</v>
      </c>
      <c r="C17" s="2681"/>
      <c r="D17" s="2682"/>
      <c r="E17" s="1165">
        <f>G115</f>
        <v>4810000</v>
      </c>
      <c r="G17" s="2669" t="s">
        <v>2276</v>
      </c>
      <c r="H17" s="2669"/>
      <c r="I17" s="1064">
        <f>IF(AND(G139="Yes",OR(G136,G137)),IF(G143&gt;15%,15%,G143),0)</f>
        <v>0</v>
      </c>
    </row>
    <row r="18" spans="1:21" ht="15" customHeight="1">
      <c r="A18" s="1046"/>
      <c r="B18" s="2672" t="s">
        <v>1937</v>
      </c>
      <c r="C18" s="2672"/>
      <c r="D18" s="2672"/>
      <c r="E18" s="1111">
        <f>SUM(E9:E11,E14)</f>
        <v>26520280</v>
      </c>
      <c r="G18" s="1138" t="s">
        <v>1971</v>
      </c>
      <c r="H18" s="1138"/>
      <c r="I18" s="1112">
        <f>I11-((I11*I14)+(I11*I15)+(I11*I16)+(I11*I17))</f>
        <v>8358292.4836601308</v>
      </c>
      <c r="M18" s="1065">
        <f>SUM(Cdlac[Quantity])</f>
        <v>74</v>
      </c>
      <c r="O18" s="1084" t="s">
        <v>582</v>
      </c>
      <c r="P18" s="1044">
        <f>MATCH(Application!T189,Application!CB160:CB217,0)</f>
        <v>19</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8</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8</v>
      </c>
      <c r="N21" s="1071">
        <f>Application!AC719</f>
        <v>0.4</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70" t="s">
        <v>1985</v>
      </c>
      <c r="D22" s="2670" t="s">
        <v>1986</v>
      </c>
      <c r="E22" s="2670" t="s">
        <v>1987</v>
      </c>
      <c r="F22" s="2670" t="s">
        <v>2607</v>
      </c>
      <c r="G22" s="2670" t="s">
        <v>1984</v>
      </c>
      <c r="H22" s="1070"/>
      <c r="I22" s="1069"/>
      <c r="L22" s="1044">
        <f>IFERROR(MIN(4,MATCH(Application!B720,UnitSizes,0)-1),"")</f>
        <v>1</v>
      </c>
      <c r="M22" s="1065">
        <f>Application!G720</f>
        <v>38</v>
      </c>
      <c r="N22" s="1071">
        <f>Application!AC720</f>
        <v>0.5</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71"/>
      <c r="D23" s="2671"/>
      <c r="E23" s="2671"/>
      <c r="F23" s="2671"/>
      <c r="G23" s="2671"/>
      <c r="H23" s="1070"/>
      <c r="I23" s="1069"/>
      <c r="L23" s="1044">
        <f>IFERROR(MIN(4,MATCH(Application!B721,UnitSizes,0)-1),"")</f>
        <v>1</v>
      </c>
      <c r="M23" s="1065">
        <f>Application!G721</f>
        <v>20</v>
      </c>
      <c r="N23" s="1071">
        <f>Application!AC721</f>
        <v>0.6</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74</v>
      </c>
      <c r="F25" s="1072">
        <f>E25</f>
        <v>74</v>
      </c>
      <c r="G25" s="1072">
        <f>D25*F25</f>
        <v>74</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4" t="s">
        <v>1585</v>
      </c>
      <c r="D29" s="2685"/>
      <c r="E29" s="1089">
        <f>SUM(E24:E28)</f>
        <v>74</v>
      </c>
      <c r="F29" s="1089">
        <f>SUM(F24:F28)</f>
        <v>74</v>
      </c>
      <c r="G29" s="1090">
        <f>SUMPRODUCT(D24:D28,F24:F28)</f>
        <v>74</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74</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3700000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90946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16370280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37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8</v>
      </c>
    </row>
    <row r="61" spans="2:21" ht="15" customHeight="1">
      <c r="E61" s="1117" t="s">
        <v>1993</v>
      </c>
      <c r="G61" s="1079">
        <f>ROUNDDOWN(E29*50%,0)</f>
        <v>37</v>
      </c>
    </row>
    <row r="62" spans="2:21" ht="15" customHeight="1">
      <c r="E62" s="1117"/>
      <c r="G62" s="1079"/>
    </row>
    <row r="63" spans="2:21" ht="15" customHeight="1">
      <c r="E63" s="1117" t="s">
        <v>1953</v>
      </c>
      <c r="G63" s="1114">
        <f>MIN(G60:G61)</f>
        <v>8</v>
      </c>
    </row>
    <row r="64" spans="2:21" ht="15" customHeight="1">
      <c r="E64" s="1117" t="s">
        <v>1943</v>
      </c>
      <c r="F64" s="1113" t="s">
        <v>1991</v>
      </c>
      <c r="G64" s="1124">
        <v>20000</v>
      </c>
    </row>
    <row r="65" spans="2:14" ht="15" customHeight="1">
      <c r="E65" s="1118" t="s">
        <v>1975</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669</v>
      </c>
    </row>
    <row r="70" spans="2:14" ht="15" customHeight="1">
      <c r="C70" s="1077" t="s">
        <v>1980</v>
      </c>
      <c r="G70" s="1081" t="str">
        <f>IF(Application!D211="Large Family","Yes","No")</f>
        <v>No</v>
      </c>
    </row>
    <row r="71" spans="2:14" ht="15" customHeight="1" thickBot="1">
      <c r="C71" s="1077" t="s">
        <v>1966</v>
      </c>
      <c r="G71" s="1043" t="s">
        <v>669</v>
      </c>
    </row>
    <row r="72" spans="2:14" ht="15" customHeight="1">
      <c r="C72" s="1077" t="s">
        <v>1967</v>
      </c>
      <c r="G72" s="1044" t="str">
        <f>Application!T193</f>
        <v>Low Resource</v>
      </c>
      <c r="L72" s="2657" t="s">
        <v>1968</v>
      </c>
      <c r="M72" s="2658"/>
      <c r="N72" s="1131">
        <v>30000</v>
      </c>
    </row>
    <row r="73" spans="2:14" ht="15" customHeight="1">
      <c r="C73" s="2659" t="s">
        <v>2260</v>
      </c>
      <c r="D73" s="2659"/>
      <c r="E73" s="2659"/>
      <c r="F73" s="2659"/>
      <c r="G73" s="1043" t="s">
        <v>669</v>
      </c>
      <c r="L73" s="2674" t="s">
        <v>1936</v>
      </c>
      <c r="M73" s="2675"/>
      <c r="N73" s="1132">
        <v>20000</v>
      </c>
    </row>
    <row r="74" spans="2:14" ht="15" customHeight="1" thickBot="1">
      <c r="C74" s="2659"/>
      <c r="D74" s="2659"/>
      <c r="E74" s="2659"/>
      <c r="F74" s="2659"/>
      <c r="L74" s="2649" t="s">
        <v>1969</v>
      </c>
      <c r="M74" s="2650"/>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74</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545</v>
      </c>
    </row>
    <row r="85" spans="2:9" ht="15" customHeight="1">
      <c r="F85" s="1116"/>
    </row>
    <row r="86" spans="2:9" ht="15" customHeight="1">
      <c r="E86" s="1084" t="s">
        <v>1998</v>
      </c>
      <c r="G86" s="1079" t="b">
        <f>G84="Yes"</f>
        <v>1</v>
      </c>
    </row>
    <row r="87" spans="2:9" ht="15" customHeight="1"/>
    <row r="88" spans="2:9" ht="15" customHeight="1">
      <c r="E88" s="1084" t="str">
        <f>E96</f>
        <v>Bedroom-Adjusted Low-Income Units</v>
      </c>
      <c r="G88" s="1114">
        <f>G29</f>
        <v>74</v>
      </c>
    </row>
    <row r="89" spans="2:9" ht="15" customHeight="1">
      <c r="E89" s="1084" t="s">
        <v>1943</v>
      </c>
      <c r="F89" s="1113" t="s">
        <v>1991</v>
      </c>
      <c r="G89" s="1050">
        <v>20000</v>
      </c>
    </row>
    <row r="90" spans="2:9" ht="15" customHeight="1">
      <c r="E90" s="1118" t="s">
        <v>2269</v>
      </c>
      <c r="F90" s="1046"/>
      <c r="G90" s="1123">
        <f>G86*G89*G88</f>
        <v>1480000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74</v>
      </c>
    </row>
    <row r="97" spans="2:14" ht="15" customHeight="1">
      <c r="E97" s="1118" t="s">
        <v>1960</v>
      </c>
      <c r="F97" s="1046"/>
      <c r="G97" s="1123">
        <f>G94*G95*G96</f>
        <v>2072000</v>
      </c>
      <c r="L97" s="1127" t="str">
        <f>'Points System'!H638</f>
        <v>N/A</v>
      </c>
      <c r="M97" s="2655" t="s">
        <v>1404</v>
      </c>
      <c r="N97" s="2656"/>
    </row>
    <row r="98" spans="2:14" ht="15" customHeight="1">
      <c r="C98" s="1077"/>
      <c r="G98" s="1114"/>
      <c r="L98" s="1128" t="str">
        <f>'Points System'!H650</f>
        <v>N/A</v>
      </c>
      <c r="M98" s="2651" t="s">
        <v>1955</v>
      </c>
      <c r="N98" s="2652"/>
    </row>
    <row r="99" spans="2:14" ht="15" customHeight="1">
      <c r="E99" s="1084" t="s">
        <v>1996</v>
      </c>
      <c r="G99" s="1126">
        <f>COUNTIFS(L97:L104,"(i)")</f>
        <v>3</v>
      </c>
      <c r="L99" s="1128" t="str">
        <f>'Points System'!H685</f>
        <v>(i)</v>
      </c>
      <c r="M99" s="2651" t="s">
        <v>1956</v>
      </c>
      <c r="N99" s="2652"/>
    </row>
    <row r="100" spans="2:14" ht="15" customHeight="1">
      <c r="E100" s="1084" t="s">
        <v>1943</v>
      </c>
      <c r="F100" s="1113" t="s">
        <v>1991</v>
      </c>
      <c r="G100" s="1124">
        <v>4000</v>
      </c>
      <c r="L100" s="1128" t="str">
        <f>IF(OR('Points System'!H709="(ii)",'Points System'!H709="(i)"),"(i)","N/A")</f>
        <v>N/A</v>
      </c>
      <c r="M100" s="2651" t="s">
        <v>1957</v>
      </c>
      <c r="N100" s="2652"/>
    </row>
    <row r="101" spans="2:14" ht="15" customHeight="1">
      <c r="E101" s="1118" t="s">
        <v>1961</v>
      </c>
      <c r="F101" s="1046"/>
      <c r="G101" s="1123">
        <f>G96*G99*G100</f>
        <v>888000</v>
      </c>
      <c r="L101" s="1129" t="str">
        <f>'Points System'!H723</f>
        <v>N/A</v>
      </c>
      <c r="M101" s="2651" t="s">
        <v>1430</v>
      </c>
      <c r="N101" s="2652"/>
    </row>
    <row r="102" spans="2:14" ht="15" customHeight="1">
      <c r="L102" s="1128" t="str">
        <f>'Points System'!H735</f>
        <v>N/A</v>
      </c>
      <c r="M102" s="2651" t="s">
        <v>1958</v>
      </c>
      <c r="N102" s="2652"/>
    </row>
    <row r="103" spans="2:14" ht="15" customHeight="1">
      <c r="C103" s="1080" t="s">
        <v>1963</v>
      </c>
      <c r="L103" s="1128" t="str">
        <f>'Points System'!H751</f>
        <v>(i)</v>
      </c>
      <c r="M103" s="2651" t="s">
        <v>1959</v>
      </c>
      <c r="N103" s="2652"/>
    </row>
    <row r="104" spans="2:14" ht="15" customHeight="1" thickBot="1">
      <c r="C104" s="1077" t="s">
        <v>1964</v>
      </c>
      <c r="G104" s="1043"/>
      <c r="L104" s="1130" t="str">
        <f>'Points System'!H763</f>
        <v>(i)</v>
      </c>
      <c r="M104" s="2653" t="s">
        <v>1433</v>
      </c>
      <c r="N104" s="2654"/>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74</v>
      </c>
    </row>
    <row r="112" spans="2:14" ht="15" customHeight="1">
      <c r="E112" s="1084" t="s">
        <v>1943</v>
      </c>
      <c r="F112" s="1113" t="s">
        <v>1991</v>
      </c>
      <c r="G112" s="1124">
        <v>25000</v>
      </c>
    </row>
    <row r="113" spans="2:9" ht="15" customHeight="1">
      <c r="E113" s="1118" t="s">
        <v>1962</v>
      </c>
      <c r="F113" s="1046"/>
      <c r="G113" s="1123">
        <f>G109*G112*G96</f>
        <v>1850000</v>
      </c>
    </row>
    <row r="114" spans="2:9" ht="15" customHeight="1">
      <c r="C114" s="1077"/>
      <c r="E114" s="1077"/>
    </row>
    <row r="115" spans="2:9" ht="15" customHeight="1">
      <c r="E115" s="1118" t="s">
        <v>2270</v>
      </c>
      <c r="G115" s="1123">
        <f>G113+G101+G97</f>
        <v>4810000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2225</v>
      </c>
      <c r="D119" s="2686"/>
      <c r="E119" s="2686"/>
      <c r="F119" s="2686"/>
    </row>
    <row r="120" spans="2:9" ht="15" customHeight="1">
      <c r="C120" s="2686"/>
      <c r="D120" s="2686"/>
      <c r="E120" s="2686"/>
      <c r="F120" s="2686"/>
      <c r="G120" s="1043"/>
    </row>
    <row r="121" spans="2:9" ht="15" customHeight="1"/>
    <row r="122" spans="2:9" ht="15" customHeight="1">
      <c r="C122" s="1044" t="s">
        <v>2227</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1999</v>
      </c>
      <c r="G131" s="1078">
        <f>MEDIAN((Application!CU160:CU217))</f>
        <v>489600</v>
      </c>
    </row>
    <row r="132" spans="2:9">
      <c r="D132" s="1046"/>
      <c r="E132" s="1118" t="s">
        <v>2001</v>
      </c>
      <c r="F132" s="1134"/>
      <c r="G132" s="1135">
        <f>((G130-G131)/G131)*0.25</f>
        <v>6.0866013071895424E-2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683" t="s">
        <v>2273</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1335000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Normal="100" workbookViewId="0">
      <selection activeCell="F23" sqref="F23"/>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4.5">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1 Bedroom</v>
      </c>
      <c r="B4" s="1082">
        <f>Application!G718</f>
        <v>8</v>
      </c>
      <c r="C4" s="1162" t="s">
        <v>385</v>
      </c>
      <c r="D4" s="428">
        <f>Application!O718</f>
        <v>818</v>
      </c>
      <c r="E4" s="429"/>
      <c r="F4" s="1083">
        <v>2630</v>
      </c>
      <c r="G4" s="428">
        <f>F4*B4</f>
        <v>21040</v>
      </c>
      <c r="H4" s="429"/>
      <c r="I4" s="428">
        <f t="shared" ref="I4:I27" si="0">IF(F4=0,"",(F4-D4))</f>
        <v>1812</v>
      </c>
      <c r="J4" s="428">
        <f t="shared" ref="J4:J27" si="1">IF(F4=0,"",(I4*B4))</f>
        <v>14496</v>
      </c>
      <c r="K4" s="204"/>
      <c r="L4" s="305"/>
    </row>
    <row r="5" spans="1:12">
      <c r="A5" s="428" t="str">
        <f>Application!B719</f>
        <v>1 Bedroom</v>
      </c>
      <c r="B5" s="1082">
        <f>Application!G719</f>
        <v>8</v>
      </c>
      <c r="C5" s="1162" t="s">
        <v>385</v>
      </c>
      <c r="D5" s="428">
        <f>Application!O719</f>
        <v>1102</v>
      </c>
      <c r="E5" s="429"/>
      <c r="F5" s="1083">
        <v>2630</v>
      </c>
      <c r="G5" s="428">
        <f t="shared" ref="G5:G38" si="2">F5*B5</f>
        <v>21040</v>
      </c>
      <c r="H5" s="429"/>
      <c r="I5" s="428">
        <f t="shared" si="0"/>
        <v>1528</v>
      </c>
      <c r="J5" s="428">
        <f t="shared" si="1"/>
        <v>12224</v>
      </c>
      <c r="K5" s="204"/>
      <c r="L5" s="305"/>
    </row>
    <row r="6" spans="1:12">
      <c r="A6" s="428" t="str">
        <f>Application!B720</f>
        <v>1 Bedroom</v>
      </c>
      <c r="B6" s="1082">
        <f>Application!G720</f>
        <v>38</v>
      </c>
      <c r="C6" s="1162" t="s">
        <v>385</v>
      </c>
      <c r="D6" s="428">
        <f>Application!O720</f>
        <v>1386</v>
      </c>
      <c r="E6" s="429"/>
      <c r="F6" s="1083">
        <v>2630</v>
      </c>
      <c r="G6" s="428">
        <f t="shared" si="2"/>
        <v>99940</v>
      </c>
      <c r="H6" s="429"/>
      <c r="I6" s="428">
        <f t="shared" si="0"/>
        <v>1244</v>
      </c>
      <c r="J6" s="428">
        <f t="shared" si="1"/>
        <v>47272</v>
      </c>
      <c r="K6" s="204"/>
      <c r="L6" s="305"/>
    </row>
    <row r="7" spans="1:12">
      <c r="A7" s="428" t="str">
        <f>Application!B721</f>
        <v>1 Bedroom</v>
      </c>
      <c r="B7" s="1082">
        <f>Application!G721</f>
        <v>20</v>
      </c>
      <c r="C7" s="1162" t="s">
        <v>385</v>
      </c>
      <c r="D7" s="428">
        <f>Application!O721</f>
        <v>1670</v>
      </c>
      <c r="E7" s="429"/>
      <c r="F7" s="1083">
        <v>2630</v>
      </c>
      <c r="G7" s="428">
        <f t="shared" si="2"/>
        <v>52600</v>
      </c>
      <c r="H7" s="429"/>
      <c r="I7" s="428">
        <f t="shared" si="0"/>
        <v>960</v>
      </c>
      <c r="J7" s="428">
        <f t="shared" si="1"/>
        <v>19200</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101428</v>
      </c>
      <c r="E40" s="429"/>
      <c r="F40" s="429"/>
      <c r="G40" s="432">
        <f>SUM(G4:G38)*12</f>
        <v>2335440</v>
      </c>
      <c r="H40" s="433"/>
      <c r="I40" s="431"/>
      <c r="J40" s="432">
        <f>SUM(J4:J38)*12</f>
        <v>1118304</v>
      </c>
      <c r="K40" s="204"/>
      <c r="L40" s="306"/>
    </row>
    <row r="41" spans="1:12">
      <c r="A41" s="430"/>
      <c r="B41" s="431"/>
      <c r="C41" s="431"/>
      <c r="D41" s="433"/>
      <c r="E41" s="429"/>
      <c r="F41" s="429"/>
      <c r="G41" s="433"/>
      <c r="H41" s="433"/>
      <c r="I41" s="431"/>
      <c r="J41" s="433"/>
      <c r="K41" s="204"/>
      <c r="L41" s="306"/>
    </row>
    <row r="42" spans="1:12">
      <c r="A42" s="304" t="s">
        <v>2255</v>
      </c>
    </row>
    <row r="43" spans="1:12">
      <c r="A43" s="2691" t="s">
        <v>2494</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2256</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E55" sqref="E55"/>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2092</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1217136</v>
      </c>
      <c r="G4" s="219">
        <f>E4*$C$4</f>
        <v>1247564.3999999999</v>
      </c>
      <c r="I4" s="219">
        <f>G4*$C$4</f>
        <v>1278753.5099999998</v>
      </c>
      <c r="K4" s="219">
        <f>I4*$C$4</f>
        <v>1310722.3477499997</v>
      </c>
      <c r="M4" s="219">
        <f>K4*$C$4</f>
        <v>1343490.4064437496</v>
      </c>
      <c r="O4" s="219">
        <f>M4*$C$4</f>
        <v>1377077.6666048432</v>
      </c>
      <c r="Q4" s="219">
        <f>O4*$C$4</f>
        <v>1411504.6082699641</v>
      </c>
      <c r="S4" s="219">
        <f>Q4*$C$4</f>
        <v>1446792.2234767131</v>
      </c>
      <c r="U4" s="219">
        <f>S4*$C$4</f>
        <v>1482962.0290636308</v>
      </c>
      <c r="W4" s="219">
        <f>U4*$C$4</f>
        <v>1520036.0797902215</v>
      </c>
      <c r="Y4" s="219">
        <f>W4*$C$4</f>
        <v>1558036.981784977</v>
      </c>
      <c r="AA4" s="219">
        <f>Y4*$C$4</f>
        <v>1596987.9063296013</v>
      </c>
      <c r="AC4" s="219">
        <f>AA4*$C$4</f>
        <v>1636912.6039878412</v>
      </c>
      <c r="AE4" s="219">
        <f>AC4*$C$4</f>
        <v>1677835.4190875371</v>
      </c>
      <c r="AG4" s="219">
        <f>AE4*$C$4</f>
        <v>1719781.3045647254</v>
      </c>
    </row>
    <row r="5" spans="1:34" s="210" customFormat="1" ht="14">
      <c r="B5" s="210" t="s">
        <v>838</v>
      </c>
      <c r="C5" s="238">
        <f>IF(Application!$D$211="Special Needs",(((0.1*Application!$T$212)+(0.05*(1-Application!$T$212)))),0.05)</f>
        <v>0.05</v>
      </c>
      <c r="E5" s="221">
        <f>-E4*$C$5</f>
        <v>-60856.800000000003</v>
      </c>
      <c r="F5" s="221"/>
      <c r="G5" s="221">
        <f>-G4*$C$5</f>
        <v>-62378.22</v>
      </c>
      <c r="H5" s="221"/>
      <c r="I5" s="221">
        <f>-I4*$C$5</f>
        <v>-63937.67549999999</v>
      </c>
      <c r="J5" s="221"/>
      <c r="K5" s="221">
        <f>-K4*$C$5</f>
        <v>-65536.117387499995</v>
      </c>
      <c r="L5" s="221"/>
      <c r="M5" s="221">
        <f>-M4*$C$5</f>
        <v>-67174.520322187484</v>
      </c>
      <c r="N5" s="221"/>
      <c r="O5" s="221">
        <f>-O4*$C$5</f>
        <v>-68853.88333024217</v>
      </c>
      <c r="P5" s="221"/>
      <c r="Q5" s="221">
        <f>-Q4*$C$5</f>
        <v>-70575.230413498211</v>
      </c>
      <c r="R5" s="221"/>
      <c r="S5" s="221">
        <f>-S4*$C$5</f>
        <v>-72339.611173835656</v>
      </c>
      <c r="T5" s="221"/>
      <c r="U5" s="221">
        <f>-U4*$C$5</f>
        <v>-74148.101453181545</v>
      </c>
      <c r="V5" s="221"/>
      <c r="W5" s="221">
        <f>-W4*$C$5</f>
        <v>-76001.803989511085</v>
      </c>
      <c r="X5" s="221"/>
      <c r="Y5" s="221">
        <f>-Y4*$C$5</f>
        <v>-77901.849089248848</v>
      </c>
      <c r="Z5" s="221"/>
      <c r="AA5" s="221">
        <f>-AA4*$C$5</f>
        <v>-79849.395316480077</v>
      </c>
      <c r="AB5" s="221"/>
      <c r="AC5" s="221">
        <f>-AC4*$C$5</f>
        <v>-81845.630199392064</v>
      </c>
      <c r="AD5" s="221"/>
      <c r="AE5" s="221">
        <f>-AE4*$C$5</f>
        <v>-83891.770954376858</v>
      </c>
      <c r="AF5" s="221"/>
      <c r="AG5" s="221">
        <f>-AG4*$C$5</f>
        <v>-85989.065228236272</v>
      </c>
    </row>
    <row r="6" spans="1:34" s="210" customFormat="1" ht="14">
      <c r="A6" s="210" t="s">
        <v>836</v>
      </c>
      <c r="C6" s="237">
        <v>1.0249999999999999</v>
      </c>
      <c r="E6" s="222">
        <f>Application!Z809</f>
        <v>1118304</v>
      </c>
      <c r="F6" s="222"/>
      <c r="G6" s="222">
        <f>E6*$C$6</f>
        <v>1146261.5999999999</v>
      </c>
      <c r="H6" s="222"/>
      <c r="I6" s="222">
        <f>G6*$C$6</f>
        <v>1174918.1399999997</v>
      </c>
      <c r="J6" s="222"/>
      <c r="K6" s="222">
        <f>I6*$C$6</f>
        <v>1204291.0934999995</v>
      </c>
      <c r="L6" s="222"/>
      <c r="M6" s="222">
        <f>K6*$C$6</f>
        <v>1234398.3708374994</v>
      </c>
      <c r="N6" s="222"/>
      <c r="O6" s="222">
        <f>M6*$C$6</f>
        <v>1265258.3301084368</v>
      </c>
      <c r="P6" s="222"/>
      <c r="Q6" s="222">
        <f>O6*$C$6</f>
        <v>1296889.7883611475</v>
      </c>
      <c r="R6" s="222"/>
      <c r="S6" s="222">
        <f>Q6*$C$6</f>
        <v>1329312.0330701761</v>
      </c>
      <c r="T6" s="222"/>
      <c r="U6" s="222">
        <f>S6*$C$6</f>
        <v>1362544.8338969303</v>
      </c>
      <c r="V6" s="222"/>
      <c r="W6" s="222">
        <f>U6*$C$6</f>
        <v>1396608.4547443534</v>
      </c>
      <c r="X6" s="222"/>
      <c r="Y6" s="222">
        <f>W6*$C$6</f>
        <v>1431523.6661129622</v>
      </c>
      <c r="Z6" s="222"/>
      <c r="AA6" s="222">
        <f>Y6*$C$6</f>
        <v>1467311.757765786</v>
      </c>
      <c r="AB6" s="222"/>
      <c r="AC6" s="222">
        <f>AA6*$C$6</f>
        <v>1503994.5517099306</v>
      </c>
      <c r="AD6" s="222"/>
      <c r="AE6" s="222">
        <f>AC6*$C$6</f>
        <v>1541594.4155026788</v>
      </c>
      <c r="AF6" s="222"/>
      <c r="AG6" s="222">
        <f>AE6*$C$6</f>
        <v>1580134.2758902456</v>
      </c>
    </row>
    <row r="7" spans="1:34" s="210" customFormat="1" ht="14">
      <c r="B7" s="210" t="s">
        <v>838</v>
      </c>
      <c r="C7" s="238">
        <f>IF(Application!$D$211="Special Needs",(((0.1*Application!$T$212)+(0.05*(1-Application!$T$212)))),0.05)</f>
        <v>0.05</v>
      </c>
      <c r="E7" s="221">
        <f>-E6*$C$7</f>
        <v>-55915.200000000004</v>
      </c>
      <c r="F7" s="221"/>
      <c r="G7" s="221">
        <f>-G6*$C$7</f>
        <v>-57313.079999999994</v>
      </c>
      <c r="H7" s="221"/>
      <c r="I7" s="221">
        <f>-I6*$C$7</f>
        <v>-58745.906999999985</v>
      </c>
      <c r="J7" s="221"/>
      <c r="K7" s="221">
        <f>-K6*$C$7</f>
        <v>-60214.554674999978</v>
      </c>
      <c r="L7" s="221"/>
      <c r="M7" s="221">
        <f>-M6*$C$7</f>
        <v>-61719.918541874969</v>
      </c>
      <c r="N7" s="221"/>
      <c r="O7" s="221">
        <f>-O6*$C$7</f>
        <v>-63262.916505421839</v>
      </c>
      <c r="P7" s="221"/>
      <c r="Q7" s="221">
        <f>-Q6*$C$7</f>
        <v>-64844.489418057376</v>
      </c>
      <c r="R7" s="221"/>
      <c r="S7" s="221">
        <f>-S6*$C$7</f>
        <v>-66465.601653508813</v>
      </c>
      <c r="T7" s="221"/>
      <c r="U7" s="221">
        <f>-U6*$C$7</f>
        <v>-68127.241694846525</v>
      </c>
      <c r="V7" s="221"/>
      <c r="W7" s="221">
        <f>-W6*$C$7</f>
        <v>-69830.422737217668</v>
      </c>
      <c r="X7" s="221"/>
      <c r="Y7" s="221">
        <f>-Y6*$C$7</f>
        <v>-71576.183305648112</v>
      </c>
      <c r="Z7" s="221"/>
      <c r="AA7" s="221">
        <f>-AA6*$C$7</f>
        <v>-73365.587888289301</v>
      </c>
      <c r="AB7" s="221"/>
      <c r="AC7" s="221">
        <f>-AC6*$C$7</f>
        <v>-75199.727585496541</v>
      </c>
      <c r="AD7" s="221"/>
      <c r="AE7" s="221">
        <f>-AE6*$C$7</f>
        <v>-77079.720775133945</v>
      </c>
      <c r="AF7" s="221"/>
      <c r="AG7" s="221">
        <f>-AG6*$C$7</f>
        <v>-79006.713794512281</v>
      </c>
    </row>
    <row r="8" spans="1:34" s="210" customFormat="1" ht="14">
      <c r="A8" s="210" t="s">
        <v>288</v>
      </c>
      <c r="C8" s="237">
        <v>1.0249999999999999</v>
      </c>
      <c r="E8" s="222">
        <f>Application!Z817</f>
        <v>3779.4526315789485</v>
      </c>
      <c r="F8" s="222"/>
      <c r="G8" s="222">
        <f>E8*$C$8</f>
        <v>3873.9389473684219</v>
      </c>
      <c r="H8" s="222"/>
      <c r="I8" s="222">
        <f>G8*$C$8</f>
        <v>3970.787421052632</v>
      </c>
      <c r="J8" s="222"/>
      <c r="K8" s="222">
        <f>I8*$C$8</f>
        <v>4070.0571065789472</v>
      </c>
      <c r="L8" s="222"/>
      <c r="M8" s="222">
        <f>K8*$C$8</f>
        <v>4171.8085342434206</v>
      </c>
      <c r="N8" s="222"/>
      <c r="O8" s="222">
        <f>M8*$C$8</f>
        <v>4276.1037475995054</v>
      </c>
      <c r="P8" s="222"/>
      <c r="Q8" s="222">
        <f>O8*$C$8</f>
        <v>4383.0063412894924</v>
      </c>
      <c r="R8" s="222"/>
      <c r="S8" s="222">
        <f>Q8*$C$8</f>
        <v>4492.5814998217293</v>
      </c>
      <c r="T8" s="222"/>
      <c r="U8" s="222">
        <f>S8*$C$8</f>
        <v>4604.8960373172722</v>
      </c>
      <c r="V8" s="222"/>
      <c r="W8" s="222">
        <f>U8*$C$8</f>
        <v>4720.0184382502039</v>
      </c>
      <c r="X8" s="222"/>
      <c r="Y8" s="222">
        <f>W8*$C$8</f>
        <v>4838.0188992064586</v>
      </c>
      <c r="Z8" s="222"/>
      <c r="AA8" s="222">
        <f>Y8*$C$8</f>
        <v>4958.9693716866195</v>
      </c>
      <c r="AB8" s="222"/>
      <c r="AC8" s="222">
        <f>AA8*$C$8</f>
        <v>5082.9436059787849</v>
      </c>
      <c r="AD8" s="222"/>
      <c r="AE8" s="222">
        <f>AC8*$C$8</f>
        <v>5210.017196128254</v>
      </c>
      <c r="AF8" s="222"/>
      <c r="AG8" s="222">
        <f>AE8*$C$8</f>
        <v>5340.2676260314602</v>
      </c>
    </row>
    <row r="9" spans="1:34" s="210" customFormat="1" ht="14">
      <c r="B9" s="210" t="s">
        <v>838</v>
      </c>
      <c r="C9" s="238">
        <f>IF(Application!$D$211="Special Needs",(((0.1*Application!$T$212)+(0.05*(1-Application!$T$212)))),0.05)</f>
        <v>0.05</v>
      </c>
      <c r="E9" s="221">
        <f>-E8*$C$9</f>
        <v>-188.97263157894744</v>
      </c>
      <c r="F9" s="221"/>
      <c r="G9" s="221">
        <f>-G8*$C$9</f>
        <v>-193.69694736842109</v>
      </c>
      <c r="H9" s="221"/>
      <c r="I9" s="221">
        <f>-I8*$C$9</f>
        <v>-198.53937105263162</v>
      </c>
      <c r="J9" s="221"/>
      <c r="K9" s="221">
        <f>-K8*$C$9</f>
        <v>-203.50285532894736</v>
      </c>
      <c r="L9" s="221"/>
      <c r="M9" s="221">
        <f>-M8*$C$9</f>
        <v>-208.59042671217105</v>
      </c>
      <c r="N9" s="221"/>
      <c r="O9" s="221">
        <f>-O8*$C$9</f>
        <v>-213.80518737997528</v>
      </c>
      <c r="P9" s="221"/>
      <c r="Q9" s="221">
        <f>-Q8*$C$9</f>
        <v>-219.15031706447462</v>
      </c>
      <c r="R9" s="221"/>
      <c r="S9" s="221">
        <f>-S8*$C$9</f>
        <v>-224.62907499108647</v>
      </c>
      <c r="T9" s="221"/>
      <c r="U9" s="221">
        <f>-U8*$C$9</f>
        <v>-230.24480186586362</v>
      </c>
      <c r="V9" s="221"/>
      <c r="W9" s="221">
        <f>-W8*$C$9</f>
        <v>-236.00092191251019</v>
      </c>
      <c r="X9" s="221"/>
      <c r="Y9" s="221">
        <f>-Y8*$C$9</f>
        <v>-241.90094496032293</v>
      </c>
      <c r="Z9" s="221"/>
      <c r="AA9" s="221">
        <f>-AA8*$C$9</f>
        <v>-247.94846858433098</v>
      </c>
      <c r="AB9" s="221"/>
      <c r="AC9" s="221">
        <f>-AC8*$C$9</f>
        <v>-254.14718029893925</v>
      </c>
      <c r="AD9" s="221"/>
      <c r="AE9" s="221">
        <f>-AE8*$C$9</f>
        <v>-260.50085980641273</v>
      </c>
      <c r="AF9" s="221"/>
      <c r="AG9" s="221">
        <f>-AG8*$C$9</f>
        <v>-267.01338130157302</v>
      </c>
    </row>
    <row r="10" spans="1:34" s="210" customFormat="1" ht="14">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2222258.48</v>
      </c>
      <c r="G11" s="223">
        <f>SUM(G4:G10)</f>
        <v>2277814.9419999998</v>
      </c>
      <c r="I11" s="223">
        <f>SUM(I4:I10)</f>
        <v>2334760.3155499995</v>
      </c>
      <c r="K11" s="223">
        <f>SUM(K4:K10)</f>
        <v>2393129.3234387496</v>
      </c>
      <c r="M11" s="223">
        <f>SUM(M4:M10)</f>
        <v>2452957.5565247177</v>
      </c>
      <c r="O11" s="223">
        <f>SUM(O4:O10)</f>
        <v>2514281.4954378353</v>
      </c>
      <c r="Q11" s="223">
        <f>SUM(Q4:Q10)</f>
        <v>2577138.532823781</v>
      </c>
      <c r="S11" s="223">
        <f>SUM(S4:S10)</f>
        <v>2641566.9961443753</v>
      </c>
      <c r="U11" s="223">
        <f>SUM(U4:U10)</f>
        <v>2707606.1710479846</v>
      </c>
      <c r="W11" s="223">
        <f>SUM(W4:W10)</f>
        <v>2775296.3253241843</v>
      </c>
      <c r="Y11" s="223">
        <f>SUM(Y4:Y10)</f>
        <v>2844678.7334572882</v>
      </c>
      <c r="AA11" s="223">
        <f>SUM(AA4:AA10)</f>
        <v>2915795.7017937205</v>
      </c>
      <c r="AC11" s="223">
        <f>SUM(AC4:AC10)</f>
        <v>2988690.5943385637</v>
      </c>
      <c r="AE11" s="223">
        <f>SUM(AE4:AE10)</f>
        <v>3063407.859197027</v>
      </c>
      <c r="AG11" s="223">
        <f>SUM(AG4:AG10)</f>
        <v>3139993.0556769525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54339.586500000005</v>
      </c>
      <c r="G15" s="219">
        <f>E15*$C$14</f>
        <v>56241.4720275</v>
      </c>
      <c r="I15" s="219">
        <f>G15*$C$14</f>
        <v>58209.923548462495</v>
      </c>
      <c r="K15" s="219">
        <f>I15*$C$14</f>
        <v>60247.270872658679</v>
      </c>
      <c r="M15" s="219">
        <f>K15*$C$14</f>
        <v>62355.925353201725</v>
      </c>
      <c r="O15" s="219">
        <f>M15*$C$14</f>
        <v>64538.382740563778</v>
      </c>
      <c r="Q15" s="219">
        <f>O15*$C$14</f>
        <v>66797.226136483499</v>
      </c>
      <c r="S15" s="219">
        <f>Q15*$C$14</f>
        <v>69135.129051260417</v>
      </c>
      <c r="U15" s="219">
        <f>S15*$C$14</f>
        <v>71554.858568054522</v>
      </c>
      <c r="W15" s="219">
        <f>U15*$C$14</f>
        <v>74059.278617936419</v>
      </c>
      <c r="Y15" s="219">
        <f>W15*$C$14</f>
        <v>76651.353369564182</v>
      </c>
      <c r="AA15" s="219">
        <f>Y15*$C$14</f>
        <v>79334.150737498916</v>
      </c>
      <c r="AC15" s="219">
        <f>AA15*$C$14</f>
        <v>82110.846013311369</v>
      </c>
      <c r="AE15" s="219">
        <f>AC15*$C$14</f>
        <v>84984.725623777267</v>
      </c>
      <c r="AG15" s="219">
        <f>AE15*$C$14</f>
        <v>87959.191020609462</v>
      </c>
    </row>
    <row r="16" spans="1:34" s="210" customFormat="1" ht="14">
      <c r="A16" s="210" t="s">
        <v>344</v>
      </c>
      <c r="C16" s="233"/>
      <c r="E16" s="222">
        <f>Application!W849</f>
        <v>56700</v>
      </c>
      <c r="F16" s="222"/>
      <c r="G16" s="222">
        <f t="shared" ref="G16:AG21" si="0">E16*$C$14</f>
        <v>58684.499999999993</v>
      </c>
      <c r="H16" s="222"/>
      <c r="I16" s="222">
        <f t="shared" si="0"/>
        <v>60738.45749999999</v>
      </c>
      <c r="J16" s="222"/>
      <c r="K16" s="222">
        <f t="shared" si="0"/>
        <v>62864.303512499988</v>
      </c>
      <c r="L16" s="222"/>
      <c r="M16" s="222">
        <f t="shared" si="0"/>
        <v>65064.55413543748</v>
      </c>
      <c r="N16" s="222"/>
      <c r="O16" s="222">
        <f t="shared" si="0"/>
        <v>67341.81353017778</v>
      </c>
      <c r="P16" s="222"/>
      <c r="Q16" s="222">
        <f t="shared" si="0"/>
        <v>69698.777003733994</v>
      </c>
      <c r="R16" s="222"/>
      <c r="S16" s="222">
        <f t="shared" si="0"/>
        <v>72138.23419886468</v>
      </c>
      <c r="T16" s="222"/>
      <c r="U16" s="222">
        <f t="shared" si="0"/>
        <v>74663.072395824944</v>
      </c>
      <c r="V16" s="222"/>
      <c r="W16" s="222">
        <f t="shared" si="0"/>
        <v>77276.279929678814</v>
      </c>
      <c r="X16" s="222"/>
      <c r="Y16" s="222">
        <f t="shared" si="0"/>
        <v>79980.949727217565</v>
      </c>
      <c r="Z16" s="222"/>
      <c r="AA16" s="222">
        <f t="shared" si="0"/>
        <v>82780.28296767018</v>
      </c>
      <c r="AB16" s="222"/>
      <c r="AC16" s="222">
        <f t="shared" si="0"/>
        <v>85677.592871538625</v>
      </c>
      <c r="AD16" s="222"/>
      <c r="AE16" s="222">
        <f t="shared" si="0"/>
        <v>88676.308622042474</v>
      </c>
      <c r="AF16" s="222"/>
      <c r="AG16" s="222">
        <f t="shared" si="0"/>
        <v>91779.979423813958</v>
      </c>
    </row>
    <row r="17" spans="1:33" s="210" customFormat="1" ht="14">
      <c r="A17" s="210" t="s">
        <v>561</v>
      </c>
      <c r="C17" s="233"/>
      <c r="E17" s="222">
        <f>Application!W855</f>
        <v>75254.496000000014</v>
      </c>
      <c r="F17" s="222"/>
      <c r="G17" s="222">
        <f t="shared" si="0"/>
        <v>77888.403360000011</v>
      </c>
      <c r="H17" s="222"/>
      <c r="I17" s="222">
        <f t="shared" si="0"/>
        <v>80614.497477600002</v>
      </c>
      <c r="J17" s="222"/>
      <c r="K17" s="222">
        <f t="shared" si="0"/>
        <v>83436.004889315998</v>
      </c>
      <c r="L17" s="222"/>
      <c r="M17" s="222">
        <f t="shared" si="0"/>
        <v>86356.265060442049</v>
      </c>
      <c r="N17" s="222"/>
      <c r="O17" s="222">
        <f t="shared" si="0"/>
        <v>89378.734337557515</v>
      </c>
      <c r="P17" s="222"/>
      <c r="Q17" s="222">
        <f t="shared" si="0"/>
        <v>92506.990039372016</v>
      </c>
      <c r="R17" s="222"/>
      <c r="S17" s="222">
        <f t="shared" si="0"/>
        <v>95744.734690750032</v>
      </c>
      <c r="T17" s="222"/>
      <c r="U17" s="222">
        <f t="shared" si="0"/>
        <v>99095.800404926282</v>
      </c>
      <c r="V17" s="222"/>
      <c r="W17" s="222">
        <f t="shared" si="0"/>
        <v>102564.1534190987</v>
      </c>
      <c r="X17" s="222"/>
      <c r="Y17" s="222">
        <f t="shared" si="0"/>
        <v>106153.89878876715</v>
      </c>
      <c r="Z17" s="222"/>
      <c r="AA17" s="222">
        <f t="shared" si="0"/>
        <v>109869.285246374</v>
      </c>
      <c r="AB17" s="222"/>
      <c r="AC17" s="222">
        <f t="shared" si="0"/>
        <v>113714.71022999709</v>
      </c>
      <c r="AD17" s="222"/>
      <c r="AE17" s="222">
        <f t="shared" si="0"/>
        <v>117694.72508804698</v>
      </c>
      <c r="AF17" s="222"/>
      <c r="AG17" s="222">
        <f t="shared" si="0"/>
        <v>121814.04046612862</v>
      </c>
    </row>
    <row r="18" spans="1:33" s="210" customFormat="1" ht="14">
      <c r="A18" s="210" t="s">
        <v>842</v>
      </c>
      <c r="C18" s="233"/>
      <c r="E18" s="222">
        <f>Application!W862</f>
        <v>124476.83399999997</v>
      </c>
      <c r="F18" s="222"/>
      <c r="G18" s="222">
        <f t="shared" si="0"/>
        <v>128833.52318999996</v>
      </c>
      <c r="H18" s="222"/>
      <c r="I18" s="222">
        <f t="shared" si="0"/>
        <v>133342.69650164995</v>
      </c>
      <c r="J18" s="222"/>
      <c r="K18" s="222">
        <f t="shared" si="0"/>
        <v>138009.69087920769</v>
      </c>
      <c r="L18" s="222"/>
      <c r="M18" s="222">
        <f t="shared" si="0"/>
        <v>142840.03005997994</v>
      </c>
      <c r="N18" s="222"/>
      <c r="O18" s="222">
        <f t="shared" si="0"/>
        <v>147839.43111207921</v>
      </c>
      <c r="P18" s="222"/>
      <c r="Q18" s="222">
        <f t="shared" si="0"/>
        <v>153013.81120100198</v>
      </c>
      <c r="R18" s="222"/>
      <c r="S18" s="222">
        <f t="shared" si="0"/>
        <v>158369.29459303705</v>
      </c>
      <c r="T18" s="222"/>
      <c r="U18" s="222">
        <f t="shared" si="0"/>
        <v>163912.21990379333</v>
      </c>
      <c r="V18" s="222"/>
      <c r="W18" s="222">
        <f t="shared" si="0"/>
        <v>169649.14760042608</v>
      </c>
      <c r="X18" s="222"/>
      <c r="Y18" s="222">
        <f t="shared" si="0"/>
        <v>175586.86776644096</v>
      </c>
      <c r="Z18" s="222"/>
      <c r="AA18" s="222">
        <f t="shared" si="0"/>
        <v>181732.40813826639</v>
      </c>
      <c r="AB18" s="222"/>
      <c r="AC18" s="222">
        <f t="shared" si="0"/>
        <v>188093.04242310568</v>
      </c>
      <c r="AD18" s="222"/>
      <c r="AE18" s="222">
        <f t="shared" si="0"/>
        <v>194676.29890791437</v>
      </c>
      <c r="AF18" s="222"/>
      <c r="AG18" s="222">
        <f t="shared" si="0"/>
        <v>201489.96936969136</v>
      </c>
    </row>
    <row r="19" spans="1:33" s="210" customFormat="1" ht="14">
      <c r="A19" s="210" t="s">
        <v>155</v>
      </c>
      <c r="C19" s="233"/>
      <c r="E19" s="222">
        <f>Application!W863</f>
        <v>30750</v>
      </c>
      <c r="F19" s="222"/>
      <c r="G19" s="222">
        <f t="shared" si="0"/>
        <v>31826.249999999996</v>
      </c>
      <c r="H19" s="222"/>
      <c r="I19" s="222">
        <f t="shared" si="0"/>
        <v>32940.168749999997</v>
      </c>
      <c r="J19" s="222"/>
      <c r="K19" s="222">
        <f t="shared" si="0"/>
        <v>34093.074656249992</v>
      </c>
      <c r="L19" s="222"/>
      <c r="M19" s="222">
        <f t="shared" si="0"/>
        <v>35286.332269218736</v>
      </c>
      <c r="N19" s="222"/>
      <c r="O19" s="222">
        <f t="shared" si="0"/>
        <v>36521.353898641391</v>
      </c>
      <c r="P19" s="222"/>
      <c r="Q19" s="222">
        <f t="shared" si="0"/>
        <v>37799.601285093835</v>
      </c>
      <c r="R19" s="222"/>
      <c r="S19" s="222">
        <f t="shared" si="0"/>
        <v>39122.587330072114</v>
      </c>
      <c r="T19" s="222"/>
      <c r="U19" s="222">
        <f t="shared" si="0"/>
        <v>40491.877886624636</v>
      </c>
      <c r="V19" s="222"/>
      <c r="W19" s="222">
        <f t="shared" si="0"/>
        <v>41909.093612656492</v>
      </c>
      <c r="X19" s="222"/>
      <c r="Y19" s="222">
        <f t="shared" si="0"/>
        <v>43375.911889099465</v>
      </c>
      <c r="Z19" s="222"/>
      <c r="AA19" s="222">
        <f t="shared" si="0"/>
        <v>44894.068805217939</v>
      </c>
      <c r="AB19" s="222"/>
      <c r="AC19" s="222">
        <f t="shared" si="0"/>
        <v>46465.361213400567</v>
      </c>
      <c r="AD19" s="222"/>
      <c r="AE19" s="222">
        <f t="shared" si="0"/>
        <v>48091.648855869586</v>
      </c>
      <c r="AF19" s="222"/>
      <c r="AG19" s="222">
        <f t="shared" si="0"/>
        <v>49774.856565825015</v>
      </c>
    </row>
    <row r="20" spans="1:33" s="210" customFormat="1" ht="14">
      <c r="A20" s="210" t="s">
        <v>390</v>
      </c>
      <c r="C20" s="233"/>
      <c r="E20" s="222">
        <f>Application!W872</f>
        <v>85543.4</v>
      </c>
      <c r="F20" s="222"/>
      <c r="G20" s="222">
        <f t="shared" si="0"/>
        <v>88537.418999999994</v>
      </c>
      <c r="H20" s="222"/>
      <c r="I20" s="222">
        <f t="shared" si="0"/>
        <v>91636.228664999988</v>
      </c>
      <c r="J20" s="222"/>
      <c r="K20" s="222">
        <f t="shared" si="0"/>
        <v>94843.49666827498</v>
      </c>
      <c r="L20" s="222"/>
      <c r="M20" s="222">
        <f t="shared" si="0"/>
        <v>98163.019051664596</v>
      </c>
      <c r="N20" s="222"/>
      <c r="O20" s="222">
        <f t="shared" si="0"/>
        <v>101598.72471847285</v>
      </c>
      <c r="P20" s="222"/>
      <c r="Q20" s="222">
        <f t="shared" si="0"/>
        <v>105154.68008361939</v>
      </c>
      <c r="R20" s="222"/>
      <c r="S20" s="222">
        <f t="shared" si="0"/>
        <v>108835.09388654606</v>
      </c>
      <c r="T20" s="222"/>
      <c r="U20" s="222">
        <f t="shared" si="0"/>
        <v>112644.32217257516</v>
      </c>
      <c r="V20" s="222"/>
      <c r="W20" s="222">
        <f t="shared" si="0"/>
        <v>116586.87344861528</v>
      </c>
      <c r="X20" s="222"/>
      <c r="Y20" s="222">
        <f t="shared" si="0"/>
        <v>120667.41401931681</v>
      </c>
      <c r="Z20" s="222"/>
      <c r="AA20" s="222">
        <f t="shared" si="0"/>
        <v>124890.7735099929</v>
      </c>
      <c r="AB20" s="222"/>
      <c r="AC20" s="222">
        <f t="shared" si="0"/>
        <v>129261.95058284263</v>
      </c>
      <c r="AD20" s="222"/>
      <c r="AE20" s="222">
        <f t="shared" si="0"/>
        <v>133786.11885324211</v>
      </c>
      <c r="AF20" s="222"/>
      <c r="AG20" s="222">
        <f t="shared" si="0"/>
        <v>138468.63301310557</v>
      </c>
    </row>
    <row r="21" spans="1:33" s="210" customFormat="1" ht="14">
      <c r="A21" s="226" t="s">
        <v>2736</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427064.31649999996</v>
      </c>
      <c r="G22" s="223">
        <f>SUM(G15:G21)</f>
        <v>442011.56757749995</v>
      </c>
      <c r="I22" s="223">
        <f>SUM(I15:I21)</f>
        <v>457481.9724427124</v>
      </c>
      <c r="K22" s="223">
        <f>SUM(K15:K21)</f>
        <v>473493.84147820732</v>
      </c>
      <c r="M22" s="223">
        <f>SUM(M15:M21)</f>
        <v>490066.12592994457</v>
      </c>
      <c r="O22" s="223">
        <f>SUM(O15:O21)</f>
        <v>507218.44033749256</v>
      </c>
      <c r="Q22" s="223">
        <f>SUM(Q15:Q21)</f>
        <v>524971.08574930474</v>
      </c>
      <c r="S22" s="223">
        <f>SUM(S15:S21)</f>
        <v>543345.07375053037</v>
      </c>
      <c r="U22" s="223">
        <f>SUM(U15:U21)</f>
        <v>562362.15133179887</v>
      </c>
      <c r="W22" s="223">
        <f>SUM(W15:W21)</f>
        <v>582044.82662841177</v>
      </c>
      <c r="Y22" s="223">
        <f>SUM(Y15:Y21)</f>
        <v>602416.39556040615</v>
      </c>
      <c r="AA22" s="223">
        <f>SUM(AA15:AA21)</f>
        <v>623500.96940502035</v>
      </c>
      <c r="AC22" s="223">
        <f>SUM(AC15:AC21)</f>
        <v>645323.50333419594</v>
      </c>
      <c r="AE22" s="223">
        <f>SUM(AE15:AE21)</f>
        <v>667909.82595089276</v>
      </c>
      <c r="AG22" s="223">
        <f>SUM(AG15:AG21)</f>
        <v>691286.66985917406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22000</v>
      </c>
      <c r="F27" s="222"/>
      <c r="G27" s="222">
        <f>E27*$C$27</f>
        <v>22770</v>
      </c>
      <c r="H27" s="222"/>
      <c r="I27" s="222">
        <f>G27*$C$27</f>
        <v>23566.949999999997</v>
      </c>
      <c r="J27" s="222"/>
      <c r="K27" s="222">
        <f>I27*$C$27</f>
        <v>24391.793249999995</v>
      </c>
      <c r="L27" s="222"/>
      <c r="M27" s="222">
        <f>K27*$C$27</f>
        <v>25245.506013749993</v>
      </c>
      <c r="N27" s="222"/>
      <c r="O27" s="222">
        <f>M27*$C$27</f>
        <v>26129.09872423124</v>
      </c>
      <c r="P27" s="222"/>
      <c r="Q27" s="222">
        <f>O27*$C$27</f>
        <v>27043.617179579331</v>
      </c>
      <c r="R27" s="222"/>
      <c r="S27" s="222">
        <f>Q27*$C$27</f>
        <v>27990.143780864604</v>
      </c>
      <c r="T27" s="222"/>
      <c r="U27" s="222">
        <f>S27*$C$27</f>
        <v>28969.798813194862</v>
      </c>
      <c r="V27" s="222"/>
      <c r="W27" s="222">
        <f>U27*$C$27</f>
        <v>29983.741771656682</v>
      </c>
      <c r="X27" s="222"/>
      <c r="Y27" s="222">
        <f>W27*$C$27</f>
        <v>31033.172733664662</v>
      </c>
      <c r="Z27" s="222"/>
      <c r="AA27" s="222">
        <f>Y27*$C$27</f>
        <v>32119.333779342924</v>
      </c>
      <c r="AB27" s="222"/>
      <c r="AC27" s="222">
        <f>AA27*$C$27</f>
        <v>33243.510461619924</v>
      </c>
      <c r="AD27" s="222"/>
      <c r="AE27" s="222">
        <f>AC27*$C$27</f>
        <v>34407.033327776619</v>
      </c>
      <c r="AF27" s="222"/>
      <c r="AG27" s="222">
        <f>AE27*$C$27</f>
        <v>35611.279494248796</v>
      </c>
    </row>
    <row r="28" spans="1:33" s="210" customFormat="1" ht="14">
      <c r="A28" s="210" t="s">
        <v>846</v>
      </c>
      <c r="C28" s="237"/>
      <c r="E28" s="222">
        <f>Application!AC889</f>
        <v>22500</v>
      </c>
      <c r="F28" s="222"/>
      <c r="G28" s="222">
        <f>$E$28</f>
        <v>22500</v>
      </c>
      <c r="H28" s="222"/>
      <c r="I28" s="222">
        <f>$E$28</f>
        <v>22500</v>
      </c>
      <c r="J28" s="222"/>
      <c r="K28" s="222">
        <f>$E$28</f>
        <v>22500</v>
      </c>
      <c r="L28" s="222"/>
      <c r="M28" s="222">
        <f>$E$28</f>
        <v>22500</v>
      </c>
      <c r="N28" s="222"/>
      <c r="O28" s="222">
        <f>$E$28</f>
        <v>22500</v>
      </c>
      <c r="P28" s="222"/>
      <c r="Q28" s="222">
        <f>$E$28</f>
        <v>22500</v>
      </c>
      <c r="R28" s="222"/>
      <c r="S28" s="222">
        <f>$E$28</f>
        <v>22500</v>
      </c>
      <c r="T28" s="222"/>
      <c r="U28" s="222">
        <f>$E$28</f>
        <v>22500</v>
      </c>
      <c r="V28" s="222"/>
      <c r="W28" s="222">
        <f>$E$28</f>
        <v>22500</v>
      </c>
      <c r="X28" s="222"/>
      <c r="Y28" s="222">
        <f>$E$28</f>
        <v>22500</v>
      </c>
      <c r="Z28" s="222"/>
      <c r="AA28" s="222">
        <f>$E$28</f>
        <v>22500</v>
      </c>
      <c r="AB28" s="222"/>
      <c r="AC28" s="222">
        <f>$E$28</f>
        <v>22500</v>
      </c>
      <c r="AD28" s="222"/>
      <c r="AE28" s="222">
        <f>$E$28</f>
        <v>22500</v>
      </c>
      <c r="AF28" s="222"/>
      <c r="AG28" s="222">
        <f>$E$28</f>
        <v>22500</v>
      </c>
    </row>
    <row r="29" spans="1:33" s="210" customFormat="1" ht="14">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1680</v>
      </c>
      <c r="C31" s="237">
        <v>1.02</v>
      </c>
      <c r="E31" s="222">
        <f>Application!AC893</f>
        <v>7000</v>
      </c>
      <c r="F31" s="222"/>
      <c r="G31" s="222">
        <f>E31*$C$31</f>
        <v>7140</v>
      </c>
      <c r="H31" s="222"/>
      <c r="I31" s="222">
        <f>G31*$C$31</f>
        <v>7282.8</v>
      </c>
      <c r="J31" s="222"/>
      <c r="K31" s="222">
        <f>I31*$C$31</f>
        <v>7428.4560000000001</v>
      </c>
      <c r="L31" s="222"/>
      <c r="M31" s="222">
        <f>K31*$C$31</f>
        <v>7577.0251200000002</v>
      </c>
      <c r="N31" s="222"/>
      <c r="O31" s="222">
        <f>M31*$C$31</f>
        <v>7728.5656224000004</v>
      </c>
      <c r="P31" s="222"/>
      <c r="Q31" s="222">
        <f>O31*$C$31</f>
        <v>7883.1369348480002</v>
      </c>
      <c r="R31" s="222"/>
      <c r="S31" s="222">
        <f>Q31*$C$31</f>
        <v>8040.7996735449606</v>
      </c>
      <c r="T31" s="222"/>
      <c r="U31" s="222">
        <f>S31*$C$31</f>
        <v>8201.6156670158598</v>
      </c>
      <c r="V31" s="222"/>
      <c r="W31" s="222">
        <f>U31*$C$31</f>
        <v>8365.6479803561779</v>
      </c>
      <c r="X31" s="222"/>
      <c r="Y31" s="222">
        <f>W31*$C$31</f>
        <v>8532.9609399633009</v>
      </c>
      <c r="Z31" s="222"/>
      <c r="AA31" s="222">
        <f>Y31*$C$31</f>
        <v>8703.6201587625674</v>
      </c>
      <c r="AB31" s="222"/>
      <c r="AC31" s="222">
        <f>AA31*$C$31</f>
        <v>8877.692561937818</v>
      </c>
      <c r="AD31" s="222"/>
      <c r="AE31" s="222">
        <f>AC31*$C$31</f>
        <v>9055.2464131765737</v>
      </c>
      <c r="AF31" s="222"/>
      <c r="AG31" s="222">
        <f>AE31*$C$31</f>
        <v>9236.3513414401059</v>
      </c>
    </row>
    <row r="32" spans="1:33" s="210" customFormat="1" ht="14">
      <c r="A32" s="210" t="str">
        <f>Application!C894</f>
        <v>Other (Specify):</v>
      </c>
      <c r="C32" s="316"/>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478564.31649999996</v>
      </c>
      <c r="G35" s="223">
        <f>SUM(G22:G33)</f>
        <v>494421.56757749995</v>
      </c>
      <c r="I35" s="223">
        <f>SUM(I22:I33)</f>
        <v>510831.7224427124</v>
      </c>
      <c r="K35" s="223">
        <f>SUM(K22:K33)</f>
        <v>527814.09072820726</v>
      </c>
      <c r="M35" s="223">
        <f>SUM(M22:M33)</f>
        <v>545388.65706369455</v>
      </c>
      <c r="O35" s="223">
        <f>SUM(O22:O33)</f>
        <v>563576.10468412377</v>
      </c>
      <c r="Q35" s="223">
        <f>SUM(Q22:Q33)</f>
        <v>582397.83986373211</v>
      </c>
      <c r="S35" s="223">
        <f>SUM(S22:S33)</f>
        <v>601876.01720493997</v>
      </c>
      <c r="U35" s="223">
        <f>SUM(U22:U33)</f>
        <v>622033.56581200962</v>
      </c>
      <c r="W35" s="223">
        <f>SUM(W22:W33)</f>
        <v>642894.21638042456</v>
      </c>
      <c r="Y35" s="223">
        <f>SUM(Y22:Y33)</f>
        <v>664482.52923403413</v>
      </c>
      <c r="AA35" s="223">
        <f>SUM(AA22:AA33)</f>
        <v>686823.92334312585</v>
      </c>
      <c r="AC35" s="223">
        <f>SUM(AC22:AC33)</f>
        <v>709944.70635775372</v>
      </c>
      <c r="AE35" s="223">
        <f>SUM(AE22:AE33)</f>
        <v>733872.10569184588</v>
      </c>
      <c r="AG35" s="223">
        <f>SUM(AG22:AG33)</f>
        <v>758634.30069486296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1743694.1635</v>
      </c>
      <c r="G37" s="223">
        <f>G11-G35</f>
        <v>1783393.3744224999</v>
      </c>
      <c r="I37" s="223">
        <f>I11-I35</f>
        <v>1823928.5931072871</v>
      </c>
      <c r="K37" s="223">
        <f>K11-K35</f>
        <v>1865315.2327105424</v>
      </c>
      <c r="M37" s="223">
        <f>M11-M35</f>
        <v>1907568.899461023</v>
      </c>
      <c r="O37" s="223">
        <f>O11-O35</f>
        <v>1950705.3907537116</v>
      </c>
      <c r="Q37" s="223">
        <f>Q11-Q35</f>
        <v>1994740.692960049</v>
      </c>
      <c r="S37" s="223">
        <f>S11-S35</f>
        <v>2039690.9789394354</v>
      </c>
      <c r="U37" s="223">
        <f>U11-U35</f>
        <v>2085572.605235975</v>
      </c>
      <c r="W37" s="223">
        <f>W11-W35</f>
        <v>2132402.1089437595</v>
      </c>
      <c r="Y37" s="223">
        <f>Y11-Y35</f>
        <v>2180196.2042232542</v>
      </c>
      <c r="AA37" s="223">
        <f>AA11-AA35</f>
        <v>2228971.7784505947</v>
      </c>
      <c r="AC37" s="223">
        <f>AC11-AC35</f>
        <v>2278745.8879808099</v>
      </c>
      <c r="AE37" s="223">
        <f>AE11-AE35</f>
        <v>2329535.7535051811</v>
      </c>
      <c r="AG37" s="223">
        <f>AG11-AG35</f>
        <v>2381358.7549820896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Fannie Mae / Berkadia</v>
      </c>
      <c r="B40" s="226"/>
      <c r="C40" s="220"/>
      <c r="E40" s="222">
        <f>Application!AF627</f>
        <v>553752.31469136011</v>
      </c>
      <c r="F40" s="222"/>
      <c r="G40" s="222">
        <f>$E$40</f>
        <v>553752.31469136011</v>
      </c>
      <c r="H40" s="222"/>
      <c r="I40" s="222">
        <f>$E$40</f>
        <v>553752.31469136011</v>
      </c>
      <c r="J40" s="222"/>
      <c r="K40" s="222">
        <f>$E$40</f>
        <v>553752.31469136011</v>
      </c>
      <c r="L40" s="222"/>
      <c r="M40" s="222">
        <f>$E$40</f>
        <v>553752.31469136011</v>
      </c>
      <c r="N40" s="222"/>
      <c r="O40" s="222">
        <f>$E$40</f>
        <v>553752.31469136011</v>
      </c>
      <c r="P40" s="222"/>
      <c r="Q40" s="222">
        <f>$E$40</f>
        <v>553752.31469136011</v>
      </c>
      <c r="R40" s="222"/>
      <c r="S40" s="222">
        <f>$E$40</f>
        <v>553752.31469136011</v>
      </c>
      <c r="T40" s="222"/>
      <c r="U40" s="222">
        <f>$E$40</f>
        <v>553752.31469136011</v>
      </c>
      <c r="V40" s="222"/>
      <c r="W40" s="222">
        <f>$E$40</f>
        <v>553752.31469136011</v>
      </c>
      <c r="X40" s="222"/>
      <c r="Y40" s="222">
        <f>$E$40</f>
        <v>553752.31469136011</v>
      </c>
      <c r="Z40" s="222"/>
      <c r="AA40" s="222">
        <f>$E$40</f>
        <v>553752.31469136011</v>
      </c>
      <c r="AB40" s="222"/>
      <c r="AC40" s="222">
        <f>$E$40</f>
        <v>553752.31469136011</v>
      </c>
      <c r="AD40" s="222"/>
      <c r="AE40" s="222">
        <f>$E$40</f>
        <v>553752.31469136011</v>
      </c>
      <c r="AF40" s="222"/>
      <c r="AG40" s="222">
        <f>$E$40</f>
        <v>553752.31469136011</v>
      </c>
    </row>
    <row r="41" spans="1:33" s="210" customFormat="1" ht="14">
      <c r="A41" s="225" t="str">
        <f>Application!C628</f>
        <v>Fannie Mae / Berkadia</v>
      </c>
      <c r="B41" s="226"/>
      <c r="C41" s="220"/>
      <c r="E41" s="222">
        <f>Application!AF628</f>
        <v>205323.89196421218</v>
      </c>
      <c r="F41" s="222"/>
      <c r="G41" s="222">
        <f>$E$41</f>
        <v>205323.89196421218</v>
      </c>
      <c r="H41" s="222"/>
      <c r="I41" s="222">
        <f>$E$41</f>
        <v>205323.89196421218</v>
      </c>
      <c r="J41" s="222"/>
      <c r="K41" s="222">
        <f>$E$41</f>
        <v>205323.89196421218</v>
      </c>
      <c r="L41" s="222"/>
      <c r="M41" s="222">
        <f>$E$41</f>
        <v>205323.89196421218</v>
      </c>
      <c r="N41" s="222"/>
      <c r="O41" s="222">
        <f>$E$41</f>
        <v>205323.89196421218</v>
      </c>
      <c r="P41" s="222"/>
      <c r="Q41" s="222">
        <f>$E$41</f>
        <v>205323.89196421218</v>
      </c>
      <c r="R41" s="222"/>
      <c r="S41" s="222">
        <f>$E$41</f>
        <v>205323.89196421218</v>
      </c>
      <c r="T41" s="222"/>
      <c r="U41" s="222">
        <f>$E$41</f>
        <v>205323.89196421218</v>
      </c>
      <c r="V41" s="222"/>
      <c r="W41" s="222">
        <f>$E$41</f>
        <v>205323.89196421218</v>
      </c>
      <c r="X41" s="222"/>
      <c r="Y41" s="222">
        <f>$E$41</f>
        <v>205323.89196421218</v>
      </c>
      <c r="Z41" s="222"/>
      <c r="AA41" s="222">
        <f>$E$41</f>
        <v>205323.89196421218</v>
      </c>
      <c r="AB41" s="222"/>
      <c r="AC41" s="222">
        <f>$E$41</f>
        <v>205323.89196421218</v>
      </c>
      <c r="AD41" s="222"/>
      <c r="AE41" s="222">
        <f>$E$41</f>
        <v>205323.89196421218</v>
      </c>
      <c r="AF41" s="222"/>
      <c r="AG41" s="222">
        <f>$E$41</f>
        <v>205323.89196421218</v>
      </c>
    </row>
    <row r="42" spans="1:33" s="210" customFormat="1" ht="14">
      <c r="A42" s="225" t="str">
        <f>Application!C629</f>
        <v>Fannie Mae / Berkadia</v>
      </c>
      <c r="B42" s="226"/>
      <c r="C42" s="220"/>
      <c r="E42" s="222">
        <f>Application!AF629</f>
        <v>748715.0553562711</v>
      </c>
      <c r="F42" s="222"/>
      <c r="G42" s="232">
        <f>$E$42</f>
        <v>748715.0553562711</v>
      </c>
      <c r="H42" s="222"/>
      <c r="I42" s="232">
        <f>$E$42</f>
        <v>748715.0553562711</v>
      </c>
      <c r="J42" s="222"/>
      <c r="K42" s="232">
        <f>$E$42</f>
        <v>748715.0553562711</v>
      </c>
      <c r="L42" s="222"/>
      <c r="M42" s="232">
        <f>$E$42</f>
        <v>748715.0553562711</v>
      </c>
      <c r="N42" s="222"/>
      <c r="O42" s="232">
        <f>$E$42</f>
        <v>748715.0553562711</v>
      </c>
      <c r="P42" s="222"/>
      <c r="Q42" s="232">
        <f>$E$42</f>
        <v>748715.0553562711</v>
      </c>
      <c r="R42" s="222"/>
      <c r="S42" s="232">
        <f>$E$42</f>
        <v>748715.0553562711</v>
      </c>
      <c r="T42" s="222"/>
      <c r="U42" s="232">
        <f>$E$42</f>
        <v>748715.0553562711</v>
      </c>
      <c r="V42" s="222"/>
      <c r="W42" s="232">
        <f>$E$42</f>
        <v>748715.0553562711</v>
      </c>
      <c r="X42" s="222"/>
      <c r="Y42" s="232">
        <f>$E$42</f>
        <v>748715.0553562711</v>
      </c>
      <c r="Z42" s="222"/>
      <c r="AA42" s="232">
        <f>$E$42</f>
        <v>748715.0553562711</v>
      </c>
      <c r="AB42" s="222"/>
      <c r="AC42" s="232">
        <f>$E$42</f>
        <v>748715.0553562711</v>
      </c>
      <c r="AD42" s="222"/>
      <c r="AE42" s="232">
        <f>$E$42</f>
        <v>748715.0553562711</v>
      </c>
      <c r="AF42" s="222"/>
      <c r="AG42" s="232">
        <f>$E$42</f>
        <v>748715.0553562711</v>
      </c>
    </row>
    <row r="43" spans="1:33" s="223" customFormat="1" ht="14">
      <c r="A43" s="223" t="s">
        <v>848</v>
      </c>
      <c r="C43" s="224"/>
      <c r="E43" s="223">
        <f>SUM(E40:E42)</f>
        <v>1507791.2620118433</v>
      </c>
      <c r="G43" s="223">
        <f>SUM(G40:G42)</f>
        <v>1507791.2620118433</v>
      </c>
      <c r="I43" s="223">
        <f>SUM(I40:I42)</f>
        <v>1507791.2620118433</v>
      </c>
      <c r="K43" s="223">
        <f>SUM(K40:K42)</f>
        <v>1507791.2620118433</v>
      </c>
      <c r="M43" s="223">
        <f>SUM(M40:M42)</f>
        <v>1507791.2620118433</v>
      </c>
      <c r="O43" s="223">
        <f>SUM(O40:O42)</f>
        <v>1507791.2620118433</v>
      </c>
      <c r="Q43" s="223">
        <f>SUM(Q40:Q42)</f>
        <v>1507791.2620118433</v>
      </c>
      <c r="S43" s="223">
        <f>SUM(S40:S42)</f>
        <v>1507791.2620118433</v>
      </c>
      <c r="U43" s="223">
        <f>SUM(U40:U42)</f>
        <v>1507791.2620118433</v>
      </c>
      <c r="W43" s="223">
        <f>SUM(W40:W42)</f>
        <v>1507791.2620118433</v>
      </c>
      <c r="Y43" s="223">
        <f>SUM(Y40:Y42)</f>
        <v>1507791.2620118433</v>
      </c>
      <c r="AA43" s="223">
        <f>SUM(AA40:AA42)</f>
        <v>1507791.2620118433</v>
      </c>
      <c r="AC43" s="223">
        <f>SUM(AC40:AC42)</f>
        <v>1507791.2620118433</v>
      </c>
      <c r="AE43" s="223">
        <f>SUM(AE40:AE42)</f>
        <v>1507791.2620118433</v>
      </c>
      <c r="AG43" s="223">
        <f>SUM(AG40:AG42)</f>
        <v>1507791.2620118433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235902.90148815676</v>
      </c>
      <c r="G45" s="223">
        <f>G37-G43</f>
        <v>275602.11241065664</v>
      </c>
      <c r="I45" s="223">
        <f>I37-I43</f>
        <v>316137.33109544381</v>
      </c>
      <c r="K45" s="223">
        <f>K37-K43</f>
        <v>357523.97069869912</v>
      </c>
      <c r="M45" s="223">
        <f>M37-M43</f>
        <v>399777.63744917978</v>
      </c>
      <c r="O45" s="223">
        <f>O37-O43</f>
        <v>442914.12874186831</v>
      </c>
      <c r="Q45" s="223">
        <f>Q37-Q43</f>
        <v>486949.43094820576</v>
      </c>
      <c r="S45" s="223">
        <f>S37-S43</f>
        <v>531899.71692759218</v>
      </c>
      <c r="U45" s="223">
        <f>U37-U43</f>
        <v>577781.34322413174</v>
      </c>
      <c r="W45" s="223">
        <f>W37-W43</f>
        <v>624610.8469319162</v>
      </c>
      <c r="Y45" s="223">
        <f>Y37-Y43</f>
        <v>672404.94221141096</v>
      </c>
      <c r="AA45" s="223">
        <f>AA37-AA43</f>
        <v>721180.51643875148</v>
      </c>
      <c r="AC45" s="223">
        <f>AC37-AC43</f>
        <v>770954.62596896663</v>
      </c>
      <c r="AE45" s="223">
        <f>AE37-AE43</f>
        <v>821744.49149333779</v>
      </c>
      <c r="AG45" s="223">
        <f>AG37-AG43</f>
        <v>873567.49297024636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0.1008468449690645</v>
      </c>
      <c r="G47" s="227">
        <f>G45/(G4+G6+G8)</f>
        <v>0.11494437145110439</v>
      </c>
      <c r="I47" s="227">
        <f>I45/(I4+I6+I8)</f>
        <v>0.12863438809560318</v>
      </c>
      <c r="K47" s="227">
        <f>K45/(K4+K6+K8)</f>
        <v>0.14192620885014084</v>
      </c>
      <c r="M47" s="227">
        <f>M45/(M4+M6+M8)</f>
        <v>0.1548289144125245</v>
      </c>
      <c r="O47" s="227">
        <f>O45/(O4+O6+O8)</f>
        <v>0.16735135786039049</v>
      </c>
      <c r="Q47" s="227">
        <f>Q45/(Q4+Q6+Q8)</f>
        <v>0.17950217014291456</v>
      </c>
      <c r="S47" s="227">
        <f>S45/(S4+S6+S8)</f>
        <v>0.19128976543799725</v>
      </c>
      <c r="U47" s="227">
        <f>U45/(U4+U6+U8)</f>
        <v>0.202722346378194</v>
      </c>
      <c r="W47" s="227">
        <f>W45/(W4+W6+W8)</f>
        <v>0.21380790914858697</v>
      </c>
      <c r="Y47" s="227">
        <f>Y45/(Y4+Y6+Y8)</f>
        <v>0.22455424845971678</v>
      </c>
      <c r="AA47" s="227">
        <f>AA45/(AA4+AA6+AA8)</f>
        <v>0.2349689623986157</v>
      </c>
      <c r="AC47" s="227">
        <f>AC45/(AC4+AC6+AC8)</f>
        <v>0.24505945716090749</v>
      </c>
      <c r="AE47" s="227">
        <f>AE45/(AE4+AE6+AE8)</f>
        <v>0.2548329516668717</v>
      </c>
      <c r="AG47" s="227">
        <f>AG45/(AG4+AG6+AG8)</f>
        <v>0.2642964820642949</v>
      </c>
    </row>
    <row r="48" spans="1:33" s="227" customFormat="1" ht="14">
      <c r="A48" s="227" t="s">
        <v>852</v>
      </c>
      <c r="C48" s="220"/>
      <c r="E48" s="227">
        <f>E45/E43</f>
        <v>0.15645594150306449</v>
      </c>
      <c r="G48" s="227">
        <f>G45/G43</f>
        <v>0.18278532271298695</v>
      </c>
      <c r="I48" s="227">
        <f>I45/I43</f>
        <v>0.20966916247652365</v>
      </c>
      <c r="K48" s="227">
        <f>K45/K43</f>
        <v>0.23711768313450465</v>
      </c>
      <c r="M48" s="227">
        <f>M45/M43</f>
        <v>0.26514123507769716</v>
      </c>
      <c r="O48" s="227">
        <f>O45/O43</f>
        <v>0.293750295482472</v>
      </c>
      <c r="Q48" s="227">
        <f>Q45/Q43</f>
        <v>0.32295546685850268</v>
      </c>
      <c r="S48" s="227">
        <f>S45/S43</f>
        <v>0.35276747539833819</v>
      </c>
      <c r="U48" s="227">
        <f>U45/U43</f>
        <v>0.38319716911822338</v>
      </c>
      <c r="W48" s="227">
        <f>W45/W43</f>
        <v>0.4142555157790867</v>
      </c>
      <c r="Y48" s="227">
        <f>Y45/Y43</f>
        <v>0.44595360057613159</v>
      </c>
      <c r="AA48" s="227">
        <f>AA45/AA43</f>
        <v>0.478302623584966</v>
      </c>
      <c r="AC48" s="227">
        <f>AC45/AC43</f>
        <v>0.51131389695167961</v>
      </c>
      <c r="AE48" s="227">
        <f>AE45/AE43</f>
        <v>0.54499884181374381</v>
      </c>
      <c r="AG48" s="227">
        <f>AG45/AG43</f>
        <v>0.5793689849380389</v>
      </c>
    </row>
    <row r="49" spans="1:34" s="228" customFormat="1" ht="14">
      <c r="A49" s="228" t="s">
        <v>850</v>
      </c>
      <c r="C49" s="229"/>
      <c r="E49" s="228">
        <f>E37/E43</f>
        <v>1.1564559415030644</v>
      </c>
      <c r="G49" s="228">
        <f>G37/G43</f>
        <v>1.182785322712987</v>
      </c>
      <c r="I49" s="228">
        <f>I37/I43</f>
        <v>1.2096691624765237</v>
      </c>
      <c r="K49" s="228">
        <f>K37/K43</f>
        <v>1.2371176831345045</v>
      </c>
      <c r="M49" s="228">
        <f>M37/M43</f>
        <v>1.2651412350776972</v>
      </c>
      <c r="O49" s="228">
        <f>O37/O43</f>
        <v>1.293750295482472</v>
      </c>
      <c r="Q49" s="228">
        <f>Q37/Q43</f>
        <v>1.3229554668585026</v>
      </c>
      <c r="S49" s="228">
        <f>S37/S43</f>
        <v>1.3527674753983381</v>
      </c>
      <c r="U49" s="228">
        <f>U37/U43</f>
        <v>1.3831971691182234</v>
      </c>
      <c r="W49" s="228">
        <f>W37/W43</f>
        <v>1.4142555157790868</v>
      </c>
      <c r="Y49" s="228">
        <f>Y37/Y43</f>
        <v>1.4459536005761315</v>
      </c>
      <c r="AA49" s="228">
        <f>AA37/AA43</f>
        <v>1.4783026235849659</v>
      </c>
      <c r="AC49" s="228">
        <f>AC37/AC43</f>
        <v>1.5113138969516797</v>
      </c>
      <c r="AE49" s="228">
        <f>AE37/AE43</f>
        <v>1.5449988418137439</v>
      </c>
      <c r="AG49" s="228">
        <f>AG37/AG43</f>
        <v>1.579368984938039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1183</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225902.90148815676</v>
      </c>
      <c r="G60" s="962">
        <f>G45-G58</f>
        <v>265302.11241065664</v>
      </c>
      <c r="I60" s="962">
        <f>I45-I58</f>
        <v>305528.33109544381</v>
      </c>
      <c r="K60" s="962">
        <f>K45-K58</f>
        <v>346596.7006986991</v>
      </c>
      <c r="M60" s="962">
        <f>M45-M58</f>
        <v>388522.54934917978</v>
      </c>
      <c r="O60" s="962">
        <f>O45-O58</f>
        <v>431321.3879988683</v>
      </c>
      <c r="Q60" s="962">
        <f>Q45-Q58</f>
        <v>475008.90798291576</v>
      </c>
      <c r="S60" s="962">
        <f>S45-S58</f>
        <v>519600.97827334347</v>
      </c>
      <c r="U60" s="962">
        <f>U45-U58</f>
        <v>565113.64241025562</v>
      </c>
      <c r="W60" s="962">
        <f>W45-W58</f>
        <v>611563.11509362375</v>
      </c>
      <c r="Y60" s="962">
        <f>Y45-Y58</f>
        <v>658965.7784179697</v>
      </c>
      <c r="AA60" s="962">
        <f>AA45-AA58</f>
        <v>707338.17773150699</v>
      </c>
      <c r="AC60" s="962">
        <f>AC45-AC58</f>
        <v>756697.01710050483</v>
      </c>
      <c r="AE60" s="962">
        <f>AE45-AE58</f>
        <v>807059.15435882215</v>
      </c>
      <c r="AG60" s="962">
        <f>AG45-AG58</f>
        <v>858441.59572169522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E60-E66</f>
        <v>132013.90148815676</v>
      </c>
      <c r="G62" s="962">
        <f>G60*$C$62</f>
        <v>265302.11241065664</v>
      </c>
      <c r="I62" s="962">
        <f>Application!AO631-'15 Year Pro Forma'!G62-'15 Year Pro Forma'!E62</f>
        <v>66058.986101186601</v>
      </c>
      <c r="K62" s="962">
        <v>0</v>
      </c>
      <c r="M62" s="962">
        <v>0</v>
      </c>
      <c r="O62" s="962">
        <v>0</v>
      </c>
      <c r="Q62" s="962">
        <v>0</v>
      </c>
      <c r="S62" s="962">
        <v>0</v>
      </c>
      <c r="U62" s="962">
        <v>0</v>
      </c>
      <c r="W62" s="962">
        <v>0</v>
      </c>
      <c r="Y62" s="962">
        <v>0</v>
      </c>
      <c r="AA62" s="962">
        <v>0</v>
      </c>
      <c r="AC62" s="962">
        <v>0</v>
      </c>
      <c r="AE62" s="962">
        <v>0</v>
      </c>
      <c r="AG62" s="962">
        <v>0</v>
      </c>
    </row>
    <row r="63" spans="1:34" s="962" customFormat="1">
      <c r="A63" s="2694" t="s">
        <v>1183</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2738</v>
      </c>
      <c r="B66" s="964"/>
      <c r="C66" s="963"/>
      <c r="E66" s="964">
        <f>Application!AO632</f>
        <v>93889</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93889</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239469.3449942572</v>
      </c>
      <c r="K72" s="962">
        <f>K60-K62-K70</f>
        <v>346596.7006986991</v>
      </c>
      <c r="M72" s="962">
        <f>M60-M62-M70</f>
        <v>388522.54934917978</v>
      </c>
      <c r="O72" s="962">
        <f>O60-O62-O70</f>
        <v>431321.3879988683</v>
      </c>
      <c r="Q72" s="962">
        <f>Q60-Q62-Q70</f>
        <v>475008.90798291576</v>
      </c>
      <c r="S72" s="962">
        <f>S60-S62-S70</f>
        <v>519600.97827334347</v>
      </c>
      <c r="U72" s="962">
        <f>U60-U62-U70</f>
        <v>565113.64241025562</v>
      </c>
      <c r="W72" s="962">
        <f>W60-W62-W70</f>
        <v>611563.11509362375</v>
      </c>
      <c r="Y72" s="962">
        <f>Y60-Y62-Y70</f>
        <v>658965.7784179697</v>
      </c>
      <c r="AA72" s="962">
        <f>AA60-AA62-AA70</f>
        <v>707338.17773150699</v>
      </c>
      <c r="AC72" s="962">
        <f>AC60-AC62-AC70</f>
        <v>756697.01710050483</v>
      </c>
      <c r="AE72" s="962">
        <f>AE60-AE62-AE70</f>
        <v>807059.15435882215</v>
      </c>
      <c r="AG72" s="962">
        <f>AG60-AG62-AG70</f>
        <v>858441.59572169522</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92" t="s">
        <v>1720</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2" workbookViewId="0">
      <selection activeCell="E26" sqref="E26"/>
    </sheetView>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1300000</v>
      </c>
      <c r="C5" s="266">
        <f>'Sources and Uses Budget'!$C4</f>
        <v>1300000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1300000</v>
      </c>
      <c r="C9" s="270">
        <f>SUM(C5:C8)</f>
        <v>1300000</v>
      </c>
      <c r="D9" s="270">
        <f t="shared" si="0"/>
        <v>0</v>
      </c>
      <c r="E9" s="268"/>
      <c r="F9" s="267"/>
    </row>
    <row r="10" spans="1:6" s="352" customFormat="1">
      <c r="A10" s="364" t="s">
        <v>594</v>
      </c>
      <c r="B10" s="266">
        <f>'Sources and Uses Budget'!$C9</f>
        <v>22200000</v>
      </c>
      <c r="C10" s="266">
        <f>'Sources and Uses Budget'!$C9</f>
        <v>22200000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22200000</v>
      </c>
      <c r="C12" s="270">
        <f>SUM(C10:C11)</f>
        <v>22200000</v>
      </c>
      <c r="D12" s="270">
        <f t="shared" si="0"/>
        <v>0</v>
      </c>
      <c r="E12" s="268"/>
      <c r="F12" s="267"/>
    </row>
    <row r="13" spans="1:6" s="352" customFormat="1">
      <c r="A13" s="365" t="s">
        <v>84</v>
      </c>
      <c r="B13" s="270">
        <f>SUM(B9+B12)</f>
        <v>23500000</v>
      </c>
      <c r="C13" s="270">
        <f>SUM(C9+C12)</f>
        <v>23500000</v>
      </c>
      <c r="D13" s="270">
        <f t="shared" si="0"/>
        <v>0</v>
      </c>
      <c r="E13" s="268"/>
      <c r="F13" s="267"/>
    </row>
    <row r="14" spans="1:6" s="352" customFormat="1">
      <c r="A14" s="366" t="s">
        <v>902</v>
      </c>
      <c r="B14" s="266">
        <f>'Sources and Uses Budget'!$C13</f>
        <v>1573293</v>
      </c>
      <c r="C14" s="266">
        <f>'Sources and Uses Budget'!$C13</f>
        <v>1573293</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945000</v>
      </c>
      <c r="C18" s="266">
        <f>'Sources and Uses Budget'!$C17</f>
        <v>945000</v>
      </c>
      <c r="D18" s="270">
        <f t="shared" si="0"/>
        <v>0</v>
      </c>
      <c r="E18" s="268"/>
      <c r="F18" s="267"/>
    </row>
    <row r="19" spans="1:6" s="352" customFormat="1">
      <c r="A19" s="145" t="s">
        <v>599</v>
      </c>
      <c r="B19" s="266">
        <f>'Sources and Uses Budget'!$C18</f>
        <v>3780000</v>
      </c>
      <c r="C19" s="266">
        <f>'Sources and Uses Budget'!$C18</f>
        <v>3780000</v>
      </c>
      <c r="D19" s="270">
        <f t="shared" si="0"/>
        <v>0</v>
      </c>
      <c r="E19" s="268"/>
      <c r="F19" s="267"/>
    </row>
    <row r="20" spans="1:6" s="352" customFormat="1">
      <c r="A20" s="145" t="s">
        <v>600</v>
      </c>
      <c r="B20" s="266">
        <f>'Sources and Uses Budget'!$C19</f>
        <v>283500</v>
      </c>
      <c r="C20" s="266">
        <f>'Sources and Uses Budget'!$C19</f>
        <v>283500</v>
      </c>
      <c r="D20" s="270">
        <f t="shared" si="0"/>
        <v>0</v>
      </c>
      <c r="E20" s="268"/>
      <c r="F20" s="267"/>
    </row>
    <row r="21" spans="1:6" s="352" customFormat="1">
      <c r="A21" s="145" t="s">
        <v>137</v>
      </c>
      <c r="B21" s="266">
        <f>'Sources and Uses Budget'!$C20</f>
        <v>94500</v>
      </c>
      <c r="C21" s="266">
        <f>'Sources and Uses Budget'!$C20</f>
        <v>94500</v>
      </c>
      <c r="D21" s="270">
        <f t="shared" si="0"/>
        <v>0</v>
      </c>
      <c r="E21" s="268"/>
      <c r="F21" s="267"/>
    </row>
    <row r="22" spans="1:6" s="352" customFormat="1">
      <c r="A22" s="145" t="s">
        <v>138</v>
      </c>
      <c r="B22" s="266">
        <f>'Sources and Uses Budget'!$C21</f>
        <v>283500</v>
      </c>
      <c r="C22" s="266">
        <f>'Sources and Uses Budget'!$C21</f>
        <v>283500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5386500</v>
      </c>
      <c r="C27" s="270">
        <f>SUM(C18:C26)</f>
        <v>5386500</v>
      </c>
      <c r="D27" s="270">
        <f>SUM(D18:D26)</f>
        <v>0</v>
      </c>
      <c r="E27" s="268"/>
      <c r="F27" s="267"/>
    </row>
    <row r="28" spans="1:6" s="352" customFormat="1" ht="13">
      <c r="A28" s="271" t="s">
        <v>141</v>
      </c>
      <c r="B28" s="266">
        <f>'Sources and Uses Budget'!$C$27</f>
        <v>500000</v>
      </c>
      <c r="C28" s="266">
        <f>'Sources and Uses Budget'!$C$27</f>
        <v>500000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150000</v>
      </c>
      <c r="C41" s="266">
        <f>'Sources and Uses Budget'!$C40</f>
        <v>150000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ht="13">
      <c r="A43" s="271" t="s">
        <v>147</v>
      </c>
      <c r="B43" s="270">
        <f>SUM(B41:B42)</f>
        <v>200000</v>
      </c>
      <c r="C43" s="270">
        <f>SUM(C41:C42)</f>
        <v>200000</v>
      </c>
      <c r="D43" s="270">
        <f t="shared" si="0"/>
        <v>0</v>
      </c>
      <c r="E43" s="268"/>
      <c r="F43" s="267"/>
    </row>
    <row r="44" spans="1:6" s="352" customFormat="1" ht="13">
      <c r="A44" s="271" t="s">
        <v>148</v>
      </c>
      <c r="B44" s="266">
        <f>'Sources and Uses Budget'!$C43</f>
        <v>12500</v>
      </c>
      <c r="C44" s="266">
        <f>'Sources and Uses Budget'!$C43</f>
        <v>12500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251128</v>
      </c>
      <c r="C46" s="266">
        <f>'Sources and Uses Budget'!$C45</f>
        <v>251128</v>
      </c>
      <c r="D46" s="270">
        <f t="shared" si="0"/>
        <v>0</v>
      </c>
      <c r="E46" s="268"/>
      <c r="F46" s="267"/>
    </row>
    <row r="47" spans="1:6" s="352" customFormat="1">
      <c r="A47" s="145" t="s">
        <v>151</v>
      </c>
      <c r="B47" s="266">
        <f>'Sources and Uses Budget'!$C46</f>
        <v>85071</v>
      </c>
      <c r="C47" s="266">
        <f>'Sources and Uses Budget'!$C46</f>
        <v>85071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68139</v>
      </c>
      <c r="C49" s="266">
        <f>'Sources and Uses Budget'!$C48</f>
        <v>68139</v>
      </c>
      <c r="D49" s="270">
        <f t="shared" si="0"/>
        <v>0</v>
      </c>
      <c r="E49" s="268"/>
      <c r="F49" s="267"/>
    </row>
    <row r="50" spans="1:6" s="352" customFormat="1">
      <c r="A50" s="145" t="s">
        <v>57</v>
      </c>
      <c r="B50" s="266">
        <f>'Sources and Uses Budget'!$C49</f>
        <v>349662</v>
      </c>
      <c r="C50" s="266">
        <f>'Sources and Uses Budget'!$C49</f>
        <v>349662</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Third Party Reports</v>
      </c>
      <c r="B54" s="266">
        <f>'Sources and Uses Budget'!$C53</f>
        <v>13500</v>
      </c>
      <c r="C54" s="266">
        <f>'Sources and Uses Budget'!$C53</f>
        <v>13500</v>
      </c>
      <c r="D54" s="270">
        <f t="shared" si="0"/>
        <v>0</v>
      </c>
      <c r="E54" s="268"/>
      <c r="F54" s="267"/>
    </row>
    <row r="55" spans="1:6" s="353" customFormat="1" ht="13">
      <c r="A55" s="271" t="s">
        <v>157</v>
      </c>
      <c r="B55" s="273">
        <f>SUM(B46:B54)</f>
        <v>767500</v>
      </c>
      <c r="C55" s="273">
        <f>SUM(C46:C54)</f>
        <v>767500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89000</v>
      </c>
      <c r="C57" s="266">
        <f>'Sources and Uses Budget'!$C56</f>
        <v>89000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27250</v>
      </c>
      <c r="C59" s="266">
        <f>'Sources and Uses Budget'!$C58</f>
        <v>27250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35000</v>
      </c>
      <c r="C61" s="266">
        <f>'Sources and Uses Budget'!$C60</f>
        <v>35000</v>
      </c>
      <c r="D61" s="270">
        <f t="shared" si="0"/>
        <v>0</v>
      </c>
      <c r="E61" s="268"/>
      <c r="F61" s="267"/>
    </row>
    <row r="62" spans="1:6" s="352" customFormat="1">
      <c r="A62" s="1019" t="str">
        <f>'Sources and Uses Budget'!A61</f>
        <v>Other: Lender Third Party</v>
      </c>
      <c r="B62" s="266">
        <f>'Sources and Uses Budget'!$C61</f>
        <v>50000</v>
      </c>
      <c r="C62" s="266">
        <f>'Sources and Uses Budget'!$C61</f>
        <v>50000</v>
      </c>
      <c r="D62" s="270">
        <f t="shared" si="0"/>
        <v>0</v>
      </c>
      <c r="E62" s="268"/>
      <c r="F62" s="267"/>
    </row>
    <row r="63" spans="1:6" s="352" customFormat="1" ht="13.75" customHeight="1">
      <c r="A63" s="271" t="s">
        <v>301</v>
      </c>
      <c r="B63" s="270">
        <f>SUM(B57:B62)</f>
        <v>201250</v>
      </c>
      <c r="C63" s="270">
        <f>SUM(C57:C62)</f>
        <v>201250</v>
      </c>
      <c r="D63" s="270">
        <f t="shared" si="0"/>
        <v>0</v>
      </c>
      <c r="E63" s="268"/>
      <c r="F63" s="267"/>
    </row>
    <row r="64" spans="1:6" s="352" customFormat="1" ht="13">
      <c r="A64" s="274" t="s">
        <v>302</v>
      </c>
      <c r="B64" s="270">
        <f>SUM(B9+B12+B14+B15+B17+B26+B28+B39+B43+B44+B55+B63)</f>
        <v>26754543</v>
      </c>
      <c r="C64" s="270">
        <f>SUM(C9+C12+C14+C15+C17+C26+C28+C39+C43+C44+C55+C63)</f>
        <v>26754543</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Borrower Counsel</v>
      </c>
      <c r="B70" s="266">
        <f>'Sources and Uses Budget'!$C69</f>
        <v>300000</v>
      </c>
      <c r="C70" s="266">
        <f>'Sources and Uses Budget'!$C69</f>
        <v>300000</v>
      </c>
      <c r="D70" s="270">
        <f t="shared" si="0"/>
        <v>0</v>
      </c>
      <c r="E70" s="268"/>
      <c r="F70" s="267"/>
    </row>
    <row r="71" spans="1:6" s="352" customFormat="1">
      <c r="A71" s="149" t="s">
        <v>1644</v>
      </c>
      <c r="B71" s="270">
        <f>SUM(B66:B70)</f>
        <v>375000</v>
      </c>
      <c r="C71" s="270">
        <f>SUM(C66:C70)</f>
        <v>375000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258079</v>
      </c>
      <c r="C76" s="266">
        <f>'Sources and Uses Budget'!$C75</f>
        <v>258079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258079</v>
      </c>
      <c r="C78" s="270">
        <f>SUM(C73:C77)</f>
        <v>258079</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538650</v>
      </c>
      <c r="C80" s="266">
        <f>'Sources and Uses Budget'!$C79</f>
        <v>538650</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ht="13">
      <c r="A82" s="271" t="s">
        <v>1208</v>
      </c>
      <c r="B82" s="270">
        <f>SUM(B80:B81)</f>
        <v>638650</v>
      </c>
      <c r="C82" s="270">
        <f>SUM(C80:C81)</f>
        <v>638650</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132370</v>
      </c>
      <c r="C84" s="266">
        <f>'Sources and Uses Budget'!$C83</f>
        <v>132370</v>
      </c>
      <c r="D84" s="270">
        <f t="shared" si="1"/>
        <v>0</v>
      </c>
      <c r="E84" s="268"/>
      <c r="F84" s="267"/>
    </row>
    <row r="85" spans="1:6" s="352" customFormat="1">
      <c r="A85" s="269" t="s">
        <v>767</v>
      </c>
      <c r="B85" s="266">
        <f>'Sources and Uses Budget'!$C84</f>
        <v>15000</v>
      </c>
      <c r="C85" s="266">
        <f>'Sources and Uses Budget'!$C84</f>
        <v>15000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47250</v>
      </c>
      <c r="C87" s="266">
        <f>'Sources and Uses Budget'!$C86</f>
        <v>47250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177500</v>
      </c>
      <c r="C90" s="266">
        <f>'Sources and Uses Budget'!$C89</f>
        <v>177500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372</v>
      </c>
      <c r="B92" s="266">
        <f>'Sources and Uses Budget'!$C91</f>
        <v>33000</v>
      </c>
      <c r="C92" s="266">
        <f>'Sources and Uses Budget'!$C91</f>
        <v>33000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48000</v>
      </c>
      <c r="C94" s="266">
        <f>'Sources and Uses Budget'!$C93</f>
        <v>48000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468120</v>
      </c>
      <c r="C97" s="270">
        <f>SUM(C84:C96)</f>
        <v>468120</v>
      </c>
      <c r="D97" s="270">
        <f t="shared" si="1"/>
        <v>0</v>
      </c>
      <c r="E97" s="268"/>
      <c r="F97" s="267"/>
    </row>
    <row r="98" spans="1:6" s="352" customFormat="1" ht="13">
      <c r="A98" s="271" t="s">
        <v>775</v>
      </c>
      <c r="B98" s="270">
        <f>SUM(B64+B71+B78+B82+B97)</f>
        <v>28494392</v>
      </c>
      <c r="C98" s="270">
        <f>SUM(C64+C71+C78+C82+C97)</f>
        <v>28494392</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2316877</v>
      </c>
      <c r="C100" s="266">
        <f>'Sources and Uses Budget'!$C99</f>
        <v>2316877</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2316877</v>
      </c>
      <c r="C105" s="270">
        <f>SUM(C100:C104)</f>
        <v>2316877</v>
      </c>
      <c r="D105" s="270">
        <f t="shared" si="1"/>
        <v>0</v>
      </c>
      <c r="E105" s="268"/>
      <c r="F105" s="267"/>
    </row>
    <row r="106" spans="1:6" s="352" customFormat="1" ht="13">
      <c r="A106" s="271" t="s">
        <v>780</v>
      </c>
      <c r="B106" s="273">
        <f>SUM(B98+B105)</f>
        <v>30811269</v>
      </c>
      <c r="C106" s="273">
        <f>SUM(C98+C105)</f>
        <v>30811269</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402" customWidth="1"/>
    <col min="11" max="16384" width="8.81640625" style="402" hidden="1"/>
  </cols>
  <sheetData>
    <row r="1" spans="1:10" ht="15.5">
      <c r="A1" s="1274" t="s">
        <v>1867</v>
      </c>
      <c r="B1" s="1275"/>
      <c r="C1" s="1275"/>
      <c r="D1" s="1275"/>
      <c r="E1" s="1275"/>
      <c r="F1" s="1275"/>
      <c r="G1" s="1275"/>
      <c r="H1" s="1275"/>
      <c r="I1" s="1275"/>
      <c r="J1" s="1275"/>
    </row>
    <row r="2" spans="1:10" ht="15.5">
      <c r="A2" s="1278" t="s">
        <v>1267</v>
      </c>
      <c r="B2" s="1279"/>
      <c r="C2" s="1279"/>
      <c r="D2" s="1279"/>
      <c r="E2" s="1279"/>
      <c r="F2" s="1279"/>
      <c r="G2" s="1279"/>
      <c r="H2" s="1279"/>
      <c r="I2" s="1279"/>
      <c r="J2" s="1279"/>
    </row>
    <row r="3" spans="1:10" ht="12.5"/>
    <row r="4" spans="1:10" ht="12.75" customHeight="1">
      <c r="A4" s="1276" t="s">
        <v>2045</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5"/>
    <row r="10" spans="1:10" ht="12.75" customHeight="1">
      <c r="A10" s="1280" t="s">
        <v>1872</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1871</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1188</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1189</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7" t="s">
        <v>1868</v>
      </c>
      <c r="B71" s="1277"/>
      <c r="C71" s="1277"/>
      <c r="D71" s="1277"/>
      <c r="E71" s="1277"/>
      <c r="F71" s="1277"/>
      <c r="G71" s="1277"/>
      <c r="H71" s="1277"/>
      <c r="I71" s="1277"/>
    </row>
    <row r="72" spans="1:9" ht="12.5">
      <c r="A72" s="1269" t="s">
        <v>2043</v>
      </c>
      <c r="B72" s="1269"/>
      <c r="C72" s="1269"/>
      <c r="D72" s="1269"/>
      <c r="E72" s="1269"/>
    </row>
    <row r="73" spans="1:9" ht="12.5">
      <c r="A73" s="1269" t="s">
        <v>2044</v>
      </c>
      <c r="B73" s="1269"/>
      <c r="C73" s="1269"/>
      <c r="D73" s="1269"/>
      <c r="E73" s="1269"/>
    </row>
    <row r="74" spans="1:9" ht="12.5">
      <c r="A74" s="1269" t="s">
        <v>1869</v>
      </c>
      <c r="B74" s="1269"/>
      <c r="C74" s="1269"/>
      <c r="D74" s="1269"/>
      <c r="E74" s="1269"/>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D1108" sqref="D1108:F111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5"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c r="A15" s="484"/>
      <c r="B15" s="485" t="s">
        <v>2744</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c r="A20" s="484"/>
      <c r="B20" s="485" t="s">
        <v>2744</v>
      </c>
      <c r="D20" s="1301" t="s">
        <v>1921</v>
      </c>
      <c r="E20" s="1301"/>
      <c r="F20" s="1301"/>
      <c r="I20" s="490"/>
    </row>
    <row r="21" spans="1:9">
      <c r="A21" s="484"/>
      <c r="D21" s="1301"/>
      <c r="E21" s="1301"/>
      <c r="F21" s="1301"/>
      <c r="I21" s="490"/>
    </row>
    <row r="22" spans="1:9">
      <c r="A22" s="484"/>
      <c r="D22" s="392"/>
      <c r="E22" s="96" t="s">
        <v>1917</v>
      </c>
      <c r="F22" s="392"/>
      <c r="I22" s="490"/>
    </row>
    <row r="23" spans="1:9">
      <c r="A23" s="484"/>
      <c r="B23" s="484"/>
      <c r="D23" s="446"/>
      <c r="I23" s="490"/>
    </row>
    <row r="24" spans="1:9">
      <c r="A24" s="484"/>
      <c r="B24" s="485" t="s">
        <v>2745</v>
      </c>
      <c r="D24" s="1301" t="s">
        <v>1090</v>
      </c>
      <c r="E24" s="1301"/>
      <c r="F24" s="1301"/>
      <c r="I24" s="490"/>
    </row>
    <row r="25" spans="1:9">
      <c r="A25" s="484"/>
      <c r="B25" s="484"/>
      <c r="D25" s="1301"/>
      <c r="E25" s="1301"/>
      <c r="F25" s="1301"/>
      <c r="I25" s="490"/>
    </row>
    <row r="26" spans="1:9">
      <c r="I26" s="490"/>
    </row>
    <row r="27" spans="1:9">
      <c r="A27" s="484"/>
      <c r="B27" s="485" t="s">
        <v>2744</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2745</v>
      </c>
      <c r="D33" s="1301" t="s">
        <v>2047</v>
      </c>
      <c r="E33" s="1301"/>
      <c r="F33" s="1301"/>
      <c r="I33" s="490"/>
    </row>
    <row r="34" spans="1:9">
      <c r="D34" s="1301"/>
      <c r="E34" s="1301"/>
      <c r="F34" s="1301"/>
      <c r="I34" s="490"/>
    </row>
    <row r="35" spans="1:9">
      <c r="A35" s="484"/>
      <c r="B35" s="484"/>
      <c r="D35" s="447"/>
      <c r="I35" s="490"/>
    </row>
    <row r="36" spans="1:9" ht="14.5" customHeight="1">
      <c r="A36" s="484"/>
      <c r="B36" s="485" t="s">
        <v>2744</v>
      </c>
      <c r="D36" s="1301" t="s">
        <v>1213</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2745</v>
      </c>
      <c r="D41" s="1301" t="s">
        <v>1091</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2745</v>
      </c>
      <c r="D47" s="1301" t="s">
        <v>1092</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2744</v>
      </c>
      <c r="D52" s="1301" t="s">
        <v>1093</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2744</v>
      </c>
      <c r="D56" s="1324" t="s">
        <v>1094</v>
      </c>
      <c r="E56" s="1324"/>
      <c r="F56" s="1324"/>
      <c r="I56" s="490"/>
    </row>
    <row r="57" spans="1:9">
      <c r="A57" s="484"/>
      <c r="B57" s="484"/>
      <c r="D57" s="1324"/>
      <c r="E57" s="1324"/>
      <c r="F57" s="1324"/>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2745</v>
      </c>
      <c r="D61" s="1301" t="s">
        <v>1095</v>
      </c>
      <c r="E61" s="1301"/>
      <c r="F61" s="1301"/>
      <c r="I61" s="490"/>
    </row>
    <row r="62" spans="1:9">
      <c r="D62" s="1301"/>
      <c r="E62" s="1301"/>
      <c r="F62" s="1301"/>
      <c r="I62" s="490"/>
    </row>
    <row r="63" spans="1:9">
      <c r="D63" s="1301"/>
      <c r="E63" s="1301"/>
      <c r="F63" s="1301"/>
      <c r="I63" s="490"/>
    </row>
    <row r="64" spans="1:9">
      <c r="I64" s="490"/>
    </row>
    <row r="65" spans="1:9">
      <c r="A65" s="484"/>
      <c r="B65" s="485" t="s">
        <v>2745</v>
      </c>
      <c r="D65" s="1301" t="s">
        <v>1096</v>
      </c>
      <c r="E65" s="1301"/>
      <c r="F65" s="1301"/>
      <c r="I65" s="490"/>
    </row>
    <row r="66" spans="1:9">
      <c r="D66" s="1301"/>
      <c r="E66" s="1301"/>
      <c r="F66" s="1301"/>
      <c r="I66" s="490"/>
    </row>
    <row r="67" spans="1:9">
      <c r="I67" s="490"/>
    </row>
    <row r="68" spans="1:9">
      <c r="A68" s="484"/>
      <c r="B68" s="485" t="s">
        <v>2744</v>
      </c>
      <c r="D68" s="1301" t="s">
        <v>1097</v>
      </c>
      <c r="E68" s="1301"/>
      <c r="F68" s="1301"/>
      <c r="I68" s="490"/>
    </row>
    <row r="69" spans="1:9">
      <c r="D69" s="1301"/>
      <c r="E69" s="1301"/>
      <c r="F69" s="1301"/>
      <c r="I69" s="490"/>
    </row>
    <row r="70" spans="1:9">
      <c r="D70" s="1301"/>
      <c r="E70" s="1301"/>
      <c r="F70" s="1301"/>
      <c r="I70" s="490"/>
    </row>
    <row r="71" spans="1:9">
      <c r="I71" s="490"/>
    </row>
    <row r="72" spans="1:9">
      <c r="A72" s="484"/>
      <c r="B72" s="485" t="s">
        <v>2744</v>
      </c>
      <c r="D72" s="1301" t="s">
        <v>1098</v>
      </c>
      <c r="E72" s="1301"/>
      <c r="F72" s="1301"/>
      <c r="I72" s="490"/>
    </row>
    <row r="73" spans="1:9">
      <c r="D73" s="1301"/>
      <c r="E73" s="1301"/>
      <c r="F73" s="1301"/>
      <c r="I73" s="490"/>
    </row>
    <row r="74" spans="1:9">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5" customHeight="1">
      <c r="A80" s="484"/>
      <c r="B80" s="485" t="s">
        <v>2744</v>
      </c>
      <c r="D80" s="1301" t="s">
        <v>1244</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2744</v>
      </c>
      <c r="D89" s="1301" t="s">
        <v>1741</v>
      </c>
      <c r="E89" s="1301"/>
      <c r="F89" s="1301"/>
      <c r="I89" s="490"/>
    </row>
    <row r="90" spans="1:9">
      <c r="A90" s="484"/>
      <c r="B90" s="484"/>
      <c r="D90" s="1301"/>
      <c r="E90" s="1301"/>
      <c r="F90" s="1301"/>
      <c r="I90" s="490"/>
    </row>
    <row r="91" spans="1:9">
      <c r="A91" s="484"/>
      <c r="B91" s="484"/>
      <c r="D91" s="445"/>
      <c r="E91" s="445"/>
      <c r="F91" s="445"/>
      <c r="I91" s="490"/>
    </row>
    <row r="92" spans="1:9">
      <c r="A92" s="484"/>
      <c r="B92" s="485" t="s">
        <v>2744</v>
      </c>
      <c r="D92" s="1301" t="s">
        <v>1744</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2744</v>
      </c>
      <c r="D96" s="1301" t="s">
        <v>1743</v>
      </c>
      <c r="E96" s="1301"/>
      <c r="F96" s="1301"/>
      <c r="I96" s="490"/>
    </row>
    <row r="97" spans="1:9" s="987" customFormat="1">
      <c r="A97" s="985"/>
      <c r="B97" s="985"/>
      <c r="C97" s="986"/>
      <c r="D97" s="1301"/>
      <c r="E97" s="1301"/>
      <c r="F97" s="1301"/>
      <c r="I97" s="1154"/>
    </row>
    <row r="98" spans="1:9">
      <c r="A98" s="484"/>
      <c r="B98" s="484"/>
      <c r="D98" s="392"/>
      <c r="E98" s="312" t="s">
        <v>1922</v>
      </c>
      <c r="F98" s="445"/>
      <c r="I98" s="490"/>
    </row>
    <row r="99" spans="1:9">
      <c r="A99" s="484"/>
      <c r="B99" s="484"/>
      <c r="D99" s="385"/>
      <c r="E99" s="385"/>
      <c r="F99" s="385"/>
      <c r="I99" s="490"/>
    </row>
    <row r="100" spans="1:9">
      <c r="A100" s="484"/>
      <c r="B100" s="485" t="s">
        <v>2745</v>
      </c>
      <c r="D100" s="1301" t="s">
        <v>1742</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2745</v>
      </c>
      <c r="D103" s="1301" t="s">
        <v>1193</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2745</v>
      </c>
      <c r="D119" s="1323" t="s">
        <v>1102</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2744</v>
      </c>
      <c r="C128" s="402"/>
      <c r="D128" s="1323" t="s">
        <v>2048</v>
      </c>
      <c r="E128" s="1323"/>
      <c r="F128" s="1323"/>
      <c r="I128" s="490"/>
    </row>
    <row r="129" spans="1:9">
      <c r="A129" s="484"/>
      <c r="B129" s="484"/>
      <c r="C129" s="402"/>
      <c r="D129" s="1323"/>
      <c r="E129" s="1323"/>
      <c r="F129" s="1323"/>
      <c r="I129" s="490"/>
    </row>
    <row r="130" spans="1:9">
      <c r="I130" s="490"/>
    </row>
    <row r="131" spans="1:9">
      <c r="A131" s="484"/>
      <c r="B131" s="485" t="s">
        <v>2744</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2744</v>
      </c>
      <c r="D137" s="1301" t="s">
        <v>1104</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2745</v>
      </c>
      <c r="D151" s="1301" t="s">
        <v>1176</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2071</v>
      </c>
      <c r="E169" s="1320"/>
      <c r="F169" s="1320"/>
      <c r="G169" s="507"/>
      <c r="I169" s="490"/>
    </row>
    <row r="170" spans="1:9" ht="13.75" customHeight="1">
      <c r="D170" s="1318"/>
      <c r="E170" s="1318"/>
      <c r="F170" s="1318"/>
      <c r="G170" s="1318"/>
      <c r="I170" s="490"/>
    </row>
    <row r="171" spans="1:9" ht="14.5" customHeight="1">
      <c r="A171" s="489"/>
      <c r="B171" s="485" t="s">
        <v>2745</v>
      </c>
      <c r="C171" s="476"/>
      <c r="D171" s="1272" t="s">
        <v>2211</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2744</v>
      </c>
      <c r="C177" s="476"/>
      <c r="D177" s="1272" t="s">
        <v>1105</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2745</v>
      </c>
      <c r="D182" s="1313" t="s">
        <v>2049</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2745</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2745</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2745</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2745</v>
      </c>
      <c r="D209" s="386" t="s">
        <v>1893</v>
      </c>
      <c r="E209" s="385"/>
      <c r="F209" s="385"/>
      <c r="I209" s="490"/>
    </row>
    <row r="210" spans="1:9">
      <c r="A210" s="484"/>
      <c r="B210" s="484"/>
      <c r="D210" s="1288" t="s">
        <v>1900</v>
      </c>
      <c r="E210" s="1288"/>
      <c r="F210" s="1288"/>
      <c r="I210" s="490"/>
    </row>
    <row r="211" spans="1:9">
      <c r="D211" s="385"/>
      <c r="E211" s="1325" t="s">
        <v>1926</v>
      </c>
      <c r="F211" s="1325"/>
      <c r="I211" s="490"/>
    </row>
    <row r="212" spans="1:9">
      <c r="D212" s="447"/>
      <c r="I212" s="490"/>
    </row>
    <row r="213" spans="1:9">
      <c r="B213" s="485" t="s">
        <v>2745</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c r="A217" s="484"/>
      <c r="B217" s="485" t="s">
        <v>2745</v>
      </c>
      <c r="D217" s="1301" t="s">
        <v>1215</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2744</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2744</v>
      </c>
      <c r="D233" s="1301" t="s">
        <v>1753</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1117</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2744</v>
      </c>
      <c r="D245" s="1301" t="s">
        <v>2051</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1894</v>
      </c>
      <c r="I248" s="490"/>
    </row>
    <row r="249" spans="1:9">
      <c r="A249" s="484"/>
      <c r="B249" s="484"/>
      <c r="D249" s="446"/>
      <c r="E249" s="446"/>
      <c r="F249" s="446"/>
      <c r="I249" s="490"/>
    </row>
    <row r="250" spans="1:9" ht="14.5" customHeight="1">
      <c r="A250" s="484"/>
      <c r="B250" s="485" t="s">
        <v>2745</v>
      </c>
      <c r="D250" s="1301" t="s">
        <v>2052</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2744</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2744</v>
      </c>
      <c r="D259" s="1301" t="s">
        <v>1118</v>
      </c>
      <c r="E259" s="1301"/>
      <c r="F259" s="1301"/>
      <c r="I259" s="490"/>
    </row>
    <row r="260" spans="1:9">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2744</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5" customHeight="1">
      <c r="A271" s="484"/>
      <c r="B271" s="485" t="s">
        <v>2745</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2745</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c r="A290" s="484"/>
      <c r="B290" s="485" t="s">
        <v>2744</v>
      </c>
      <c r="D290" s="1301" t="s">
        <v>1124</v>
      </c>
      <c r="E290" s="1301"/>
      <c r="F290" s="1301"/>
      <c r="I290" s="490"/>
    </row>
    <row r="291" spans="1:9">
      <c r="A291" s="484"/>
      <c r="B291" s="484"/>
      <c r="D291" s="1301"/>
      <c r="E291" s="1301"/>
      <c r="F291" s="1301"/>
      <c r="I291" s="490"/>
    </row>
    <row r="292" spans="1:9">
      <c r="D292" s="446"/>
      <c r="E292" s="446"/>
      <c r="F292" s="446"/>
      <c r="I292" s="490"/>
    </row>
    <row r="293" spans="1:9">
      <c r="A293" s="484"/>
      <c r="B293" s="485" t="s">
        <v>2744</v>
      </c>
      <c r="D293" s="1301" t="s">
        <v>1125</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2745</v>
      </c>
      <c r="D297" s="1301" t="s">
        <v>1126</v>
      </c>
      <c r="E297" s="1301"/>
      <c r="F297" s="1301"/>
      <c r="I297" s="490"/>
    </row>
    <row r="298" spans="1:9">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1127</v>
      </c>
      <c r="E303" s="1299"/>
      <c r="F303" s="1299"/>
      <c r="I303" s="490"/>
    </row>
    <row r="304" spans="1:9">
      <c r="C304" s="490"/>
      <c r="D304" s="493"/>
      <c r="I304" s="490"/>
    </row>
    <row r="305" spans="1:9">
      <c r="B305" s="485" t="s">
        <v>2744</v>
      </c>
      <c r="D305" s="1299" t="s">
        <v>1128</v>
      </c>
      <c r="E305" s="1299"/>
      <c r="F305" s="1299"/>
      <c r="I305" s="490"/>
    </row>
    <row r="306" spans="1:9">
      <c r="A306" s="484"/>
      <c r="B306" s="484"/>
      <c r="D306" s="494"/>
      <c r="E306" s="495"/>
      <c r="F306" s="495"/>
      <c r="I306" s="490"/>
    </row>
    <row r="307" spans="1:9" ht="13.75" customHeight="1">
      <c r="B307" s="485" t="s">
        <v>2745</v>
      </c>
      <c r="D307" s="1310" t="s">
        <v>1218</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2745</v>
      </c>
      <c r="D313" s="1310" t="s">
        <v>1129</v>
      </c>
      <c r="E313" s="1310"/>
      <c r="F313" s="1310"/>
      <c r="I313" s="490"/>
    </row>
    <row r="314" spans="1:9">
      <c r="D314" s="1310"/>
      <c r="E314" s="1310"/>
      <c r="F314" s="1310"/>
      <c r="I314" s="490"/>
    </row>
    <row r="315" spans="1:9">
      <c r="A315" s="484"/>
      <c r="B315" s="484"/>
      <c r="D315" s="494"/>
      <c r="E315" s="495"/>
      <c r="F315" s="495"/>
      <c r="I315" s="490"/>
    </row>
    <row r="316" spans="1:9">
      <c r="B316" s="485" t="s">
        <v>2744</v>
      </c>
      <c r="D316" s="1299" t="s">
        <v>1130</v>
      </c>
      <c r="E316" s="1299"/>
      <c r="F316" s="1299"/>
      <c r="I316" s="490"/>
    </row>
    <row r="317" spans="1:9">
      <c r="E317" s="446"/>
      <c r="F317" s="446"/>
      <c r="I317" s="490"/>
    </row>
    <row r="318" spans="1:9">
      <c r="A318" s="484"/>
      <c r="B318" s="485" t="s">
        <v>2744</v>
      </c>
      <c r="D318" s="1301" t="s">
        <v>2243</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2744</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2744</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2744</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c r="A360" s="484"/>
      <c r="B360" s="485" t="s">
        <v>2744</v>
      </c>
      <c r="C360" s="476"/>
      <c r="D360" s="1318" t="s">
        <v>2055</v>
      </c>
      <c r="E360" s="1318"/>
      <c r="F360" s="1318"/>
      <c r="I360" s="480"/>
    </row>
    <row r="361" spans="1:9">
      <c r="A361" s="476"/>
      <c r="B361" s="476"/>
      <c r="C361" s="476"/>
      <c r="D361" s="447"/>
      <c r="E361" s="447"/>
      <c r="F361" s="446"/>
      <c r="I361" s="490"/>
    </row>
    <row r="362" spans="1:9">
      <c r="A362" s="476"/>
      <c r="B362" s="485" t="s">
        <v>2744</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5" customHeight="1">
      <c r="A375" s="476"/>
      <c r="B375" s="485" t="s">
        <v>2744</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2745</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2745</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2744</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2744</v>
      </c>
      <c r="D423" s="1272" t="s">
        <v>1880</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2744</v>
      </c>
      <c r="C429" s="476"/>
      <c r="D429" s="1272" t="s">
        <v>1239</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c r="A435" s="484"/>
      <c r="B435" s="485" t="s">
        <v>2744</v>
      </c>
      <c r="C435" s="487"/>
      <c r="D435" s="1301" t="s">
        <v>2057</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2745</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2745</v>
      </c>
      <c r="C471" s="484"/>
      <c r="D471" s="1301" t="s">
        <v>1196</v>
      </c>
      <c r="E471" s="1301"/>
      <c r="F471" s="1301"/>
      <c r="I471" s="490"/>
    </row>
    <row r="472" spans="1:9">
      <c r="D472" s="1301"/>
      <c r="E472" s="1301"/>
      <c r="F472" s="1301"/>
      <c r="I472" s="490"/>
    </row>
    <row r="473" spans="1:9">
      <c r="D473" s="446"/>
      <c r="E473" s="446"/>
      <c r="F473" s="446"/>
      <c r="I473" s="490"/>
    </row>
    <row r="474" spans="1:9">
      <c r="B474" s="485" t="s">
        <v>2745</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2745</v>
      </c>
      <c r="C486" s="402"/>
      <c r="D486" s="1301"/>
      <c r="E486" s="1301"/>
      <c r="F486" s="1301"/>
      <c r="I486" s="490"/>
    </row>
    <row r="487" spans="1:9">
      <c r="A487" s="402"/>
      <c r="C487" s="402"/>
      <c r="D487" s="1301"/>
      <c r="E487" s="1301"/>
      <c r="F487" s="1301"/>
      <c r="I487" s="490"/>
    </row>
    <row r="488" spans="1:9">
      <c r="A488" s="402"/>
      <c r="B488" s="485" t="s">
        <v>2745</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2745</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c r="A499" s="484"/>
      <c r="B499" s="484"/>
      <c r="D499" s="1318" t="s">
        <v>1140</v>
      </c>
      <c r="E499" s="1318"/>
      <c r="F499" s="1318"/>
      <c r="I499" s="490"/>
    </row>
    <row r="500" spans="1:9">
      <c r="A500" s="484"/>
      <c r="B500" s="484"/>
      <c r="D500" s="447"/>
      <c r="I500" s="490"/>
    </row>
    <row r="501" spans="1:9">
      <c r="A501" s="484"/>
      <c r="B501" s="485" t="s">
        <v>2744</v>
      </c>
      <c r="D501" s="1272" t="s">
        <v>1141</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2744</v>
      </c>
      <c r="D504" s="1313" t="s">
        <v>1272</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2745</v>
      </c>
      <c r="D509" s="1299" t="s">
        <v>1142</v>
      </c>
      <c r="E509" s="1299"/>
      <c r="F509" s="1299"/>
      <c r="I509" s="490"/>
    </row>
    <row r="510" spans="1:9">
      <c r="A510" s="484"/>
      <c r="B510" s="484"/>
      <c r="D510" s="446"/>
      <c r="I510" s="490"/>
    </row>
    <row r="511" spans="1:9">
      <c r="A511" s="484"/>
      <c r="B511" s="485" t="s">
        <v>2744</v>
      </c>
      <c r="D511" s="1301" t="s">
        <v>1143</v>
      </c>
      <c r="E511" s="1301"/>
      <c r="F511" s="1301"/>
      <c r="I511" s="490"/>
    </row>
    <row r="512" spans="1:9">
      <c r="A512" s="484"/>
      <c r="D512" s="1301"/>
      <c r="E512" s="1301"/>
      <c r="F512" s="1301"/>
      <c r="I512" s="490"/>
    </row>
    <row r="513" spans="1:9">
      <c r="A513" s="490"/>
      <c r="B513" s="490"/>
      <c r="D513" s="447"/>
      <c r="I513" s="490"/>
    </row>
    <row r="514" spans="1:9">
      <c r="A514" s="490"/>
      <c r="B514" s="485" t="s">
        <v>2745</v>
      </c>
      <c r="D514" s="1299" t="s">
        <v>1144</v>
      </c>
      <c r="E514" s="1299"/>
      <c r="F514" s="1299"/>
      <c r="I514" s="490"/>
    </row>
    <row r="515" spans="1:9">
      <c r="D515" s="446"/>
      <c r="E515" s="446"/>
      <c r="F515" s="446"/>
      <c r="I515" s="490"/>
    </row>
    <row r="516" spans="1:9">
      <c r="B516" s="485" t="s">
        <v>2745</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2744</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2744</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4" customHeight="1">
      <c r="A536" s="483"/>
      <c r="B536" s="485" t="s">
        <v>2745</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1080</v>
      </c>
      <c r="E546" s="1299"/>
      <c r="F546" s="1299"/>
      <c r="I546" s="490"/>
    </row>
    <row r="547" spans="1:9">
      <c r="C547" s="487"/>
      <c r="D547" s="446"/>
      <c r="E547" s="446"/>
      <c r="F547" s="446"/>
      <c r="I547" s="490"/>
    </row>
    <row r="548" spans="1:9" ht="13.75" customHeight="1">
      <c r="A548" s="484"/>
      <c r="B548" s="485" t="s">
        <v>2744</v>
      </c>
      <c r="C548" s="487"/>
      <c r="D548" s="1299" t="s">
        <v>884</v>
      </c>
      <c r="E548" s="1299"/>
      <c r="F548" s="1299"/>
      <c r="I548" s="490"/>
    </row>
    <row r="549" spans="1:9" ht="13.75" customHeight="1">
      <c r="A549" s="487"/>
      <c r="B549" s="487"/>
      <c r="C549" s="487"/>
      <c r="D549" s="446"/>
      <c r="I549" s="490"/>
    </row>
    <row r="550" spans="1:9">
      <c r="A550" s="484"/>
      <c r="B550" s="485" t="s">
        <v>2744</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2744</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2744</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2744</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2745</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2745</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2744</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c r="A572" s="484"/>
      <c r="B572" s="484"/>
      <c r="C572" s="487"/>
      <c r="E572" s="446"/>
      <c r="F572" s="446"/>
      <c r="I572" s="490"/>
    </row>
    <row r="573" spans="1:9">
      <c r="A573" s="484"/>
      <c r="B573" s="485" t="s">
        <v>2744</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2744</v>
      </c>
      <c r="C578" s="487"/>
      <c r="D578" s="1301" t="s">
        <v>2061</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2744</v>
      </c>
      <c r="D588" s="1313" t="s">
        <v>888</v>
      </c>
      <c r="E588" s="1313"/>
      <c r="F588" s="1313"/>
      <c r="I588" s="490"/>
    </row>
    <row r="589" spans="1:9">
      <c r="A589" s="490"/>
      <c r="B589" s="490"/>
      <c r="D589" s="476"/>
      <c r="I589" s="490"/>
    </row>
    <row r="590" spans="1:9">
      <c r="A590" s="490"/>
      <c r="B590" s="485" t="s">
        <v>2744</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2745</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2744</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2745</v>
      </c>
      <c r="D602" s="1313" t="s">
        <v>1068</v>
      </c>
      <c r="E602" s="1313"/>
      <c r="F602" s="1313"/>
      <c r="I602" s="490"/>
    </row>
    <row r="603" spans="1:9">
      <c r="A603" s="490"/>
      <c r="B603" s="490"/>
      <c r="D603" s="1313"/>
      <c r="E603" s="1313"/>
      <c r="F603" s="1313"/>
      <c r="I603" s="490"/>
    </row>
    <row r="604" spans="1:9">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2744</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2744</v>
      </c>
      <c r="D620" s="1307" t="s">
        <v>1110</v>
      </c>
      <c r="E620" s="1307"/>
      <c r="F620" s="1307"/>
      <c r="I620" s="490"/>
    </row>
    <row r="621" spans="1:9">
      <c r="D621" s="1307"/>
      <c r="E621" s="1307"/>
      <c r="F621" s="1307"/>
      <c r="I621" s="490"/>
    </row>
    <row r="622" spans="1:9">
      <c r="I622" s="490"/>
    </row>
    <row r="623" spans="1:9">
      <c r="B623" s="485" t="s">
        <v>2744</v>
      </c>
      <c r="D623" s="1307" t="s">
        <v>1111</v>
      </c>
      <c r="E623" s="1307"/>
      <c r="F623" s="1307"/>
      <c r="I623" s="490"/>
    </row>
    <row r="624" spans="1:9">
      <c r="C624" s="500"/>
      <c r="D624" s="1307"/>
      <c r="E624" s="1307"/>
      <c r="F624" s="1307"/>
      <c r="I624" s="490"/>
    </row>
    <row r="625" spans="1:9">
      <c r="C625" s="500"/>
      <c r="I625" s="490"/>
    </row>
    <row r="626" spans="1:9">
      <c r="B626" s="485" t="s">
        <v>2744</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2744</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2744</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2745</v>
      </c>
      <c r="C643" s="487"/>
      <c r="D643" s="1301" t="s">
        <v>1224</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2745</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2744</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2744</v>
      </c>
      <c r="C658" s="487"/>
      <c r="D658" s="1301" t="s">
        <v>1282</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2744</v>
      </c>
      <c r="C664" s="487"/>
      <c r="D664" s="1301" t="s">
        <v>1281</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2744</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c r="A685" s="484"/>
      <c r="B685" s="485" t="s">
        <v>2745</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2745</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2744</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2745</v>
      </c>
      <c r="C698" s="483"/>
      <c r="D698" s="1299" t="s">
        <v>2467</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2745</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2745</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2745</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2745</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2745</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2745</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2745</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2745</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c r="A758" s="484"/>
      <c r="B758" s="485" t="s">
        <v>2744</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2744</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2744</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2744</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2745</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2744</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2745</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2745</v>
      </c>
      <c r="C794" s="989"/>
      <c r="D794" s="1294" t="s">
        <v>1757</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2745</v>
      </c>
      <c r="C798" s="989"/>
      <c r="D798" s="1294" t="s">
        <v>1758</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1801</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2745</v>
      </c>
      <c r="C808" s="989"/>
      <c r="D808" s="1294" t="s">
        <v>1759</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2745</v>
      </c>
      <c r="C815" s="989"/>
      <c r="D815" s="1294" t="s">
        <v>1760</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2745</v>
      </c>
      <c r="C822" s="989"/>
      <c r="D822" s="1289" t="s">
        <v>1761</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2744</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2744</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2745</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2745</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2745</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2744</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2744</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2745</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2745</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2745</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2744</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2744</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2744</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2745</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2745</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2745</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2745</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2745</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2744</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2744</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2745</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2745</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2745</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2745</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2744</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2745</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2745</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2744</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2745</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2744</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2745</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2745</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2745</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2745</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2745</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2744</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2745</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2744</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2745</v>
      </c>
      <c r="C1062" s="402"/>
      <c r="D1062" s="402" t="s">
        <v>1811</v>
      </c>
      <c r="I1062" s="490"/>
    </row>
    <row r="1063" spans="1:9">
      <c r="A1063" s="402"/>
      <c r="B1063" s="402"/>
      <c r="C1063" s="402"/>
      <c r="I1063" s="490"/>
    </row>
    <row r="1064" spans="1:9">
      <c r="A1064" s="402"/>
      <c r="B1064" s="485" t="s">
        <v>2745</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2744</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2745</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2745</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2745</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2745</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2745</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2744</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2745</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2745</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2745</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15" zoomScaleNormal="115" workbookViewId="0">
      <selection activeCell="AO210" sqref="AO210"/>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City of Los Angeles</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8</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2508</v>
      </c>
      <c r="BE8" s="1249">
        <f>SUMIF($AC$718:$AC$752,"&lt;=35%",$G$718:G$752)-SUM($BE$5:BE7)</f>
        <v>0</v>
      </c>
    </row>
    <row r="9" spans="1:58" ht="13" customHeight="1">
      <c r="A9" s="1373" t="s">
        <v>2075</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2500</v>
      </c>
      <c r="BE9" s="1249">
        <f>SUMIF($AC$718:$AC$752,"&lt;=40%",$G$718:G$752)-SUM($BE$5:BE8)</f>
        <v>8</v>
      </c>
    </row>
    <row r="10" spans="1:58" ht="13" customHeight="1">
      <c r="A10" s="1373" t="s">
        <v>2457</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2509</v>
      </c>
      <c r="BE10" s="1249">
        <f>SUMIF($AC$718:$AC$752,"&lt;=45%",$G$718:G$752)-SUM($BE$5:BE9)</f>
        <v>0</v>
      </c>
    </row>
    <row r="11" spans="1:58" ht="13" customHeight="1">
      <c r="A11" s="1373" t="s">
        <v>2603</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2501</v>
      </c>
      <c r="BE11" s="1249">
        <f>SUMIF($AC$718:$AC$752,"&lt;=50%",$G$718:G$752)-SUM($BE$5:BE10)</f>
        <v>38</v>
      </c>
    </row>
    <row r="12" spans="1:58" ht="13" customHeight="1">
      <c r="A12" s="1412" t="s">
        <v>2609</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2510</v>
      </c>
      <c r="BE12" s="1249">
        <f>SUMIF($AC$718:$AC$752,"&lt;=55%",$G$718:G$752)-SUM($BE$5:BE11)</f>
        <v>0</v>
      </c>
    </row>
    <row r="13" spans="1:58" ht="13"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20</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 customHeight="1">
      <c r="A16" s="57" t="s">
        <v>2077</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Plummer Village Apartments</v>
      </c>
    </row>
    <row r="17" spans="1:58" ht="13" customHeight="1">
      <c r="BD17" s="1247" t="s">
        <v>2517</v>
      </c>
      <c r="BE17" s="1249">
        <f>Application!AA934</f>
        <v>0</v>
      </c>
    </row>
    <row r="18" spans="1:58" ht="13" customHeight="1">
      <c r="A18" s="57" t="s">
        <v>101</v>
      </c>
      <c r="C18" s="4"/>
      <c r="D18" s="4"/>
      <c r="E18" s="4"/>
      <c r="F18" s="4"/>
      <c r="G18" s="4"/>
      <c r="H18" s="1371"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2518</v>
      </c>
      <c r="BE18" s="1249">
        <f>'CalHFA Addendum'!N11</f>
        <v>0</v>
      </c>
    </row>
    <row r="19" spans="1:58" ht="13" customHeight="1">
      <c r="BD19" s="1247" t="s">
        <v>2519</v>
      </c>
      <c r="BE19" s="1249">
        <f>Application!M26</f>
        <v>1413525</v>
      </c>
    </row>
    <row r="20" spans="1:58" ht="13"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2520</v>
      </c>
      <c r="BE20" s="1249">
        <f>Application!M27</f>
        <v>0</v>
      </c>
    </row>
    <row r="21" spans="1:58" ht="13"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2521</v>
      </c>
      <c r="BE21" s="1249">
        <f>Application!AM554</f>
        <v>8900000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36197769</v>
      </c>
      <c r="BF22" s="3" t="s">
        <v>2594</v>
      </c>
    </row>
    <row r="23" spans="1:58" ht="13"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1300000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61548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3" customHeight="1">
      <c r="A26" s="4"/>
      <c r="C26" s="4"/>
      <c r="D26" s="4"/>
      <c r="E26" s="4"/>
      <c r="F26" s="4"/>
      <c r="G26" s="4"/>
      <c r="H26" s="4"/>
      <c r="I26" s="4"/>
      <c r="J26" s="4"/>
      <c r="K26" s="4"/>
      <c r="L26" s="4"/>
      <c r="M26" s="1418">
        <f>'Basis &amp; Credits'!AB56</f>
        <v>1413525</v>
      </c>
      <c r="N26" s="1418"/>
      <c r="O26" s="1418"/>
      <c r="P26" s="1418"/>
      <c r="Q26" s="1418"/>
      <c r="R26" s="4" t="s">
        <v>759</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47" t="s">
        <v>2097</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414" t="s">
        <v>2146</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2526</v>
      </c>
      <c r="BE29" s="1249" t="b">
        <f>Application!M358="Yes"</f>
        <v>1</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2527</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1277</v>
      </c>
      <c r="C33" s="519"/>
      <c r="D33" s="519"/>
      <c r="E33" s="519"/>
      <c r="F33" s="519"/>
      <c r="G33" s="519"/>
      <c r="H33" s="519"/>
      <c r="I33" s="519"/>
      <c r="J33" s="519"/>
      <c r="K33" s="519"/>
      <c r="L33" s="519"/>
      <c r="M33" s="519"/>
      <c r="N33" s="519"/>
      <c r="O33" s="1332" t="s">
        <v>669</v>
      </c>
      <c r="P33" s="1332"/>
      <c r="Q33" s="1415" t="s">
        <v>2147</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2595</v>
      </c>
      <c r="BE33" s="1249" t="str">
        <f>Application!D220</f>
        <v>City of Los Angeles</v>
      </c>
    </row>
    <row r="34" spans="1:57" ht="13" customHeight="1">
      <c r="A34" s="1414" t="s">
        <v>2148</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2529</v>
      </c>
      <c r="BE34" s="1249" t="str">
        <f>Application!I185</f>
        <v>15450 Plummer St</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2530</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2531</v>
      </c>
      <c r="BE36" s="1249" t="str">
        <f>Application!I189</f>
        <v>North Hills</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2532</v>
      </c>
      <c r="BE37" s="1249" t="str">
        <f>Application!T189</f>
        <v>Los Angeles</v>
      </c>
    </row>
    <row r="38" spans="1:57" ht="13" customHeight="1">
      <c r="A38" s="3"/>
      <c r="AZ38" s="20"/>
      <c r="BD38" s="1248" t="s">
        <v>2533</v>
      </c>
      <c r="BE38" s="1249">
        <f>Application!I190</f>
        <v>91343</v>
      </c>
    </row>
    <row r="39" spans="1:57" ht="13"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75</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74</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0.49459459459459459</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0.49459459459459459</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482636.92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0</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1</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Pacific Housing, Inc.</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Mark Wiese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N/A</v>
      </c>
    </row>
    <row r="51" spans="1:57" ht="13"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f>Application!M251</f>
        <v>0</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3"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t="str">
        <f>Application!M259</f>
        <v>N/A</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Lincoln Avenue Capital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401 Wilshire Blvd, 11th Floor</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Santa Monica, CA 90401</v>
      </c>
    </row>
    <row r="60" spans="1:57" ht="13"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Brandon Hodge</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bhodge@lincolnavenue.com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0.84992489999999998</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Yes</v>
      </c>
    </row>
    <row r="65" spans="1:57" ht="13" customHeight="1">
      <c r="A65" s="1416" t="s">
        <v>2155</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2592</v>
      </c>
      <c r="BE65" s="1249" t="str">
        <f>Z205</f>
        <v>(select)</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2557</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2558</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416" t="s">
        <v>2156</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2560</v>
      </c>
      <c r="BE69" s="1249" t="str">
        <f>Application!W700</f>
        <v>California Municipal Finance Authority</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2561</v>
      </c>
      <c r="BE70" s="1249">
        <f ca="1">'Points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20</v>
      </c>
    </row>
    <row r="72" spans="1:57" ht="13" customHeight="1">
      <c r="A72" s="1414" t="s">
        <v>2157</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2563</v>
      </c>
      <c r="BE72" s="1249">
        <f>'Points System'!AF805</f>
        <v>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790" t="s">
        <v>2158</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47" t="s">
        <v>2566</v>
      </c>
      <c r="BE75" s="1249">
        <f>'Points System'!AF808</f>
        <v>10</v>
      </c>
    </row>
    <row r="76" spans="1:57" ht="13"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48" t="s">
        <v>2567</v>
      </c>
      <c r="BE76" s="1249">
        <f>'Points System'!AF811</f>
        <v>0</v>
      </c>
    </row>
    <row r="77" spans="1:57" ht="13"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416" t="s">
        <v>2159</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2570</v>
      </c>
      <c r="BE79" s="1249">
        <f>'Points System'!AF815</f>
        <v>0</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2571</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3.1729303624927301</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Timothy Elliott</v>
      </c>
    </row>
    <row r="86" spans="1:57" ht="13"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Community Housing Program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Los Angeles</v>
      </c>
    </row>
    <row r="89" spans="1:57" ht="13" customHeight="1">
      <c r="A89" s="1789" t="s">
        <v>2162</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47" t="s">
        <v>2580</v>
      </c>
      <c r="BE89" s="1249">
        <f>Application!O158</f>
        <v>90057</v>
      </c>
    </row>
    <row r="90" spans="1:57" ht="13"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48" t="s">
        <v>2581</v>
      </c>
      <c r="BE90" s="1249" t="str">
        <f>Application!H16</f>
        <v>Plummer Village Apartments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401 Wilshire Blvd, 11th Floor</v>
      </c>
    </row>
    <row r="92" spans="1:57" ht="13" customHeight="1">
      <c r="A92" s="1790" t="s">
        <v>2163</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48" t="s">
        <v>2583</v>
      </c>
      <c r="BE92" s="1249" t="str">
        <f>Application!M234</f>
        <v>Santa Monica</v>
      </c>
    </row>
    <row r="93" spans="1:57" ht="13"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47" t="s">
        <v>2584</v>
      </c>
      <c r="BE93" s="1249" t="str">
        <f>Application!W234</f>
        <v>CA</v>
      </c>
    </row>
    <row r="94" spans="1:57" ht="13"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48" t="s">
        <v>2585</v>
      </c>
      <c r="BE94" s="1249">
        <f>Application!AC234</f>
        <v>90401</v>
      </c>
    </row>
    <row r="95" spans="1:57" ht="13"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47" t="s">
        <v>2586</v>
      </c>
      <c r="BE95" s="1249" t="str">
        <f>Application!M235</f>
        <v>Brandon Hodge</v>
      </c>
    </row>
    <row r="96" spans="1:57" ht="13"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48" t="s">
        <v>2587</v>
      </c>
      <c r="BE96" s="1249" t="str">
        <f>Application!M237</f>
        <v>bhodge@lincolnavenue.com</v>
      </c>
    </row>
    <row r="97" spans="1:57" ht="13"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47" t="s">
        <v>2588</v>
      </c>
      <c r="BE97" s="1249" t="str">
        <f>Application!M248</f>
        <v>mwiese@pacifichousing.org</v>
      </c>
    </row>
    <row r="98" spans="1:57" ht="13"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48" t="s">
        <v>2589</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791" t="s">
        <v>2164</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48" t="s">
        <v>2591</v>
      </c>
      <c r="BE100" s="1249" t="str">
        <f>Application!L279</f>
        <v>bhodge@lincolnavenue.com</v>
      </c>
    </row>
    <row r="101" spans="1:57" ht="13"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2596</v>
      </c>
      <c r="BE101">
        <f>'Sources and Uses Budget'!C105</f>
        <v>36197769</v>
      </c>
    </row>
    <row r="102" spans="1:57" ht="13"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2597</v>
      </c>
      <c r="BE102" t="b">
        <f>T197="Yes"</f>
        <v>0</v>
      </c>
    </row>
    <row r="103" spans="1:57" ht="13"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2174</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1" t="s">
        <v>2165</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3"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2"/>
      <c r="H113" s="1792"/>
      <c r="I113" s="3" t="s">
        <v>182</v>
      </c>
      <c r="L113" s="1792"/>
      <c r="M113" s="1792"/>
      <c r="N113" s="1792"/>
      <c r="O113" s="1792"/>
      <c r="P113" s="1798" t="s">
        <v>2238</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3"/>
      <c r="D115" s="1803"/>
      <c r="E115" s="1803"/>
      <c r="F115" s="1803"/>
      <c r="G115" s="1803"/>
      <c r="H115" s="1803"/>
      <c r="I115" s="1803"/>
      <c r="J115" s="1803"/>
      <c r="K115" s="180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2"/>
      <c r="Z117" s="1792"/>
      <c r="AA117" s="1792"/>
      <c r="AB117" s="1792"/>
      <c r="AC117" s="1792"/>
      <c r="AD117" s="1792"/>
      <c r="AE117" s="1792"/>
      <c r="AF117" s="1792"/>
      <c r="AG117" s="1792"/>
      <c r="AH117" s="1792"/>
      <c r="AI117" s="1792"/>
      <c r="AJ117" s="1792"/>
      <c r="AK117" s="179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2" t="s">
        <v>2685</v>
      </c>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Los Angeles</v>
      </c>
      <c r="DH122" s="1654"/>
      <c r="DI122" s="1654"/>
      <c r="DJ122" s="1654"/>
      <c r="DK122" s="1654"/>
      <c r="DL122" s="1654"/>
      <c r="DM122" s="1655"/>
    </row>
    <row r="123" spans="1:117" ht="13" customHeight="1">
      <c r="A123" s="3"/>
      <c r="B123" s="3"/>
      <c r="T123" s="3"/>
      <c r="U123" s="3"/>
      <c r="V123" s="3"/>
      <c r="W123" s="3"/>
      <c r="X123" s="3"/>
      <c r="Y123" s="1792" t="s">
        <v>2746</v>
      </c>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645</v>
      </c>
      <c r="O153" s="1371" t="s">
        <v>875</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440</v>
      </c>
      <c r="O154" s="1545" t="s">
        <v>2615</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2616</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72" t="s">
        <v>2620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71" t="s">
        <v>494</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5">
        <v>90057</v>
      </c>
      <c r="P158" s="1795"/>
      <c r="Q158" s="1795"/>
      <c r="R158" s="179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3" t="s">
        <v>2617</v>
      </c>
      <c r="P159" s="1783"/>
      <c r="Q159" s="1783"/>
      <c r="R159" s="1783"/>
      <c r="S159" s="1783"/>
      <c r="T159" s="1783"/>
      <c r="V159" s="97" t="s">
        <v>271</v>
      </c>
      <c r="W159" s="1796"/>
      <c r="X159" s="179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83" t="s">
        <v>2618</v>
      </c>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787" t="s">
        <v>2619</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4" t="s">
        <v>2215</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1201</v>
      </c>
      <c r="J174" s="1372" t="s">
        <v>2100</v>
      </c>
      <c r="K174" s="1372"/>
      <c r="L174" s="1372"/>
      <c r="M174" s="1372"/>
      <c r="N174" s="1372"/>
      <c r="O174" s="1372"/>
      <c r="P174" s="1372"/>
      <c r="Q174" s="1372"/>
      <c r="R174" s="1372"/>
      <c r="S174" s="1372"/>
      <c r="T174" s="1372"/>
      <c r="U174" s="1372"/>
      <c r="V174" s="1372"/>
      <c r="W174" s="1372"/>
      <c r="X174" s="1372"/>
      <c r="Y174" s="1372"/>
      <c r="Z174" s="1372"/>
      <c r="AA174" s="1372"/>
      <c r="AB174" s="1372"/>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2" t="s">
        <v>669</v>
      </c>
      <c r="V175" s="1332"/>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2078</v>
      </c>
      <c r="T176" s="27" t="s">
        <v>305</v>
      </c>
      <c r="U176" s="1425"/>
      <c r="V176" s="1425"/>
      <c r="W176" s="1" t="s">
        <v>306</v>
      </c>
      <c r="X176" s="1786"/>
      <c r="Y176" s="1786"/>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2" t="s">
        <v>545</v>
      </c>
      <c r="S177" s="1332"/>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2078</v>
      </c>
      <c r="AE178" s="27" t="s">
        <v>305</v>
      </c>
      <c r="AF178" s="1785"/>
      <c r="AG178" s="1785"/>
      <c r="AH178" s="1" t="s">
        <v>306</v>
      </c>
      <c r="AI178" s="1807"/>
      <c r="AJ178" s="1807"/>
      <c r="AK178" s="1807"/>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2079</v>
      </c>
      <c r="X180" s="1332" t="s">
        <v>545</v>
      </c>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358" t="str">
        <f>H18</f>
        <v>Plummer Village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545" t="s">
        <v>2613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13"/>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371" t="s">
        <v>2614</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48">
        <v>91343</v>
      </c>
      <c r="J190" s="1348"/>
      <c r="K190" s="1348"/>
      <c r="L190" s="1348"/>
      <c r="M190" s="1348"/>
      <c r="N190" s="1348"/>
      <c r="O190" t="s">
        <v>585</v>
      </c>
      <c r="T190" s="1793">
        <v>6037117201</v>
      </c>
      <c r="U190" s="1793"/>
      <c r="V190" s="1793"/>
      <c r="W190" s="1793"/>
      <c r="X190" s="1793"/>
      <c r="Y190" s="1793"/>
      <c r="Z190" s="1793"/>
      <c r="AA190" s="1793"/>
      <c r="AB190" s="1793"/>
      <c r="AC190" s="1793"/>
      <c r="AD190" s="1793"/>
      <c r="AE190" s="1793"/>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806" t="s">
        <v>2621</v>
      </c>
      <c r="O191" s="1806"/>
      <c r="P191" s="1806"/>
      <c r="Q191" s="1806"/>
      <c r="R191" s="1806"/>
      <c r="S191" s="1806"/>
      <c r="T191" s="1806"/>
      <c r="U191" s="1806"/>
      <c r="V191" s="1806"/>
      <c r="W191" s="1806"/>
      <c r="X191" s="1806"/>
      <c r="Y191" s="1806"/>
      <c r="Z191" s="1806"/>
      <c r="AA191" s="1806"/>
      <c r="AB191" s="1806"/>
      <c r="AC191" s="1806"/>
      <c r="AD191" s="1806"/>
      <c r="AE191" s="1806"/>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797" t="s">
        <v>2212</v>
      </c>
      <c r="U193" s="1797"/>
      <c r="V193" s="1797"/>
      <c r="W193" s="1797"/>
      <c r="X193" s="1797"/>
      <c r="Y193" s="1797"/>
      <c r="Z193" s="1797"/>
      <c r="AA193" s="1797"/>
      <c r="AB193" s="1797"/>
      <c r="AC193" s="1797"/>
      <c r="AD193" s="1797"/>
      <c r="AE193" s="1797"/>
      <c r="AF193" s="1797"/>
      <c r="AG193" s="1797"/>
      <c r="AH193" s="1797"/>
      <c r="AI193" s="1797"/>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332" t="s">
        <v>669</v>
      </c>
      <c r="AI194" s="1332"/>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332" t="s">
        <v>669</v>
      </c>
      <c r="U195" s="1332"/>
      <c r="W195" t="s">
        <v>684</v>
      </c>
      <c r="AH195" s="1332">
        <v>29</v>
      </c>
      <c r="AI195" s="1332"/>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03" t="s">
        <v>545</v>
      </c>
      <c r="U196" s="1403"/>
      <c r="W196" t="s">
        <v>685</v>
      </c>
      <c r="AH196" s="1332">
        <v>40</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03" t="s">
        <v>669</v>
      </c>
      <c r="U197" s="1403"/>
      <c r="W197" t="s">
        <v>686</v>
      </c>
      <c r="AH197" s="1332">
        <v>20</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759" t="s">
        <v>591</v>
      </c>
      <c r="U198" s="1403"/>
      <c r="V198"/>
      <c r="X198" s="1414" t="s">
        <v>2512</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2513</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58" t="s">
        <v>385</v>
      </c>
      <c r="E204" s="1358"/>
      <c r="F204" s="1358"/>
      <c r="G204" s="1358"/>
      <c r="H204" s="1358"/>
      <c r="I204" s="1358"/>
      <c r="J204" s="1358"/>
      <c r="K204" s="1358"/>
      <c r="L204" s="1358"/>
      <c r="M204" s="1358"/>
      <c r="P204" s="1805">
        <f>M26</f>
        <v>1413525</v>
      </c>
      <c r="Q204" s="1784"/>
      <c r="R204" s="1784"/>
      <c r="S204" s="1784"/>
      <c r="T204" s="1784"/>
      <c r="U204" s="1784"/>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6" t="s">
        <v>1246</v>
      </c>
      <c r="E205" s="1358"/>
      <c r="F205" s="1358"/>
      <c r="G205" s="1358"/>
      <c r="H205" s="1358"/>
      <c r="I205" s="1358"/>
      <c r="J205" s="1358"/>
      <c r="K205" s="1358"/>
      <c r="L205" s="1358"/>
      <c r="M205" s="1358"/>
      <c r="P205" s="1784">
        <f>M27</f>
        <v>0</v>
      </c>
      <c r="Q205" s="1784"/>
      <c r="R205" s="1784"/>
      <c r="S205" s="1784"/>
      <c r="T205" s="1784"/>
      <c r="U205" s="1784"/>
      <c r="V205" s="28"/>
      <c r="W205" s="3" t="s">
        <v>1719</v>
      </c>
      <c r="Z205" s="1814" t="s">
        <v>1183</v>
      </c>
      <c r="AA205" s="1814"/>
      <c r="AB205" s="1814"/>
      <c r="AC205" s="1814"/>
      <c r="AD205" s="1814"/>
      <c r="AE205" s="1814"/>
      <c r="AF205" s="1814"/>
      <c r="AG205" s="1814"/>
      <c r="AH205" s="1814"/>
      <c r="AI205" s="1814"/>
      <c r="AJ205" s="1814"/>
      <c r="AK205" s="1814"/>
      <c r="AL205" s="1814"/>
      <c r="AM205" s="1814"/>
      <c r="AN205" s="1814"/>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7" t="s">
        <v>2622</v>
      </c>
      <c r="E208" s="1417"/>
      <c r="F208" s="1417"/>
      <c r="G208" s="1417"/>
      <c r="H208" s="1417"/>
      <c r="I208" s="1417"/>
      <c r="J208" s="1417"/>
      <c r="K208" s="1417"/>
      <c r="L208" s="1417"/>
      <c r="M208" s="1417"/>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7" t="s">
        <v>1855</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332"/>
      <c r="R212" s="1332"/>
      <c r="T212" s="1799">
        <f>IFERROR(Q212/AG440,0)</f>
        <v>0</v>
      </c>
      <c r="U212" s="180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2232</v>
      </c>
      <c r="D218" s="28"/>
      <c r="AC218" s="2" t="s">
        <v>2461</v>
      </c>
      <c r="BC218" t="s">
        <v>529</v>
      </c>
    </row>
    <row r="219" spans="1:108" ht="13" customHeight="1">
      <c r="A219" s="2"/>
      <c r="C219" s="2"/>
      <c r="D219" s="3" t="s">
        <v>2462</v>
      </c>
      <c r="AZ219" s="3"/>
      <c r="BA219" s="3"/>
      <c r="BC219" t="s">
        <v>377</v>
      </c>
    </row>
    <row r="220" spans="1:108" ht="13" customHeight="1">
      <c r="A220" s="2"/>
      <c r="C220" s="2"/>
      <c r="D220" s="1417"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5" t="s">
        <v>875</v>
      </c>
      <c r="AD220" s="1815"/>
      <c r="AE220" s="1815"/>
      <c r="AF220" s="1815"/>
      <c r="AG220" s="1815"/>
      <c r="AH220" s="1815"/>
      <c r="AI220" s="1815"/>
      <c r="AJ220" s="1815"/>
      <c r="AK220" s="1815"/>
      <c r="AL220" s="1815"/>
      <c r="AM220" s="1815"/>
      <c r="AN220" s="1815"/>
      <c r="AO220" s="1815"/>
      <c r="AP220" s="1815"/>
      <c r="AQ220" s="1815"/>
      <c r="BA220" s="3"/>
      <c r="BC220" t="s">
        <v>300</v>
      </c>
    </row>
    <row r="221" spans="1:108" ht="13" customHeight="1">
      <c r="A221" s="2"/>
      <c r="B221" s="14"/>
      <c r="C221" s="2"/>
      <c r="BA221" s="3"/>
    </row>
    <row r="222" spans="1:108" ht="13"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4" t="str">
        <f>H16</f>
        <v>Plummer Village Apartments LP</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5" t="s">
        <v>538</v>
      </c>
      <c r="BG232" s="241">
        <f>IF(AND(AND($M$249="nonprofit",$M$257="nonprofit",$M$265="for profit")),2,0)</f>
        <v>0</v>
      </c>
    </row>
    <row r="233" spans="1:59" ht="13" customHeight="1">
      <c r="D233" s="4" t="s">
        <v>85</v>
      </c>
      <c r="E233" s="4"/>
      <c r="F233" s="4"/>
      <c r="G233" s="4"/>
      <c r="H233" s="4"/>
      <c r="I233" s="4"/>
      <c r="J233" s="4"/>
      <c r="K233" s="4"/>
      <c r="M233" s="1371" t="s">
        <v>2623</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3" customHeight="1">
      <c r="D234" s="4" t="s">
        <v>580</v>
      </c>
      <c r="E234" s="4"/>
      <c r="M234" s="1371" t="s">
        <v>2624</v>
      </c>
      <c r="N234" s="1417"/>
      <c r="O234" s="1417"/>
      <c r="P234" s="1417"/>
      <c r="Q234" s="1417"/>
      <c r="R234" s="1417"/>
      <c r="S234" s="1417"/>
      <c r="T234" s="1417"/>
      <c r="V234" s="33" t="s">
        <v>86</v>
      </c>
      <c r="W234" s="1545" t="s">
        <v>2625</v>
      </c>
      <c r="X234" s="1436"/>
      <c r="Y234" s="4" t="s">
        <v>583</v>
      </c>
      <c r="AC234" s="1417">
        <v>90401</v>
      </c>
      <c r="AD234" s="1417"/>
      <c r="AE234" s="141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371" t="s">
        <v>2626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3" customHeight="1">
      <c r="D236" s="4" t="s">
        <v>88</v>
      </c>
      <c r="E236" s="4"/>
      <c r="F236" s="4"/>
      <c r="M236" s="1694" t="s">
        <v>2627</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3" customHeight="1">
      <c r="D237" s="4" t="s">
        <v>90</v>
      </c>
      <c r="E237" s="4"/>
      <c r="F237" s="4"/>
      <c r="M237" s="1787" t="s">
        <v>2628</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48" t="s">
        <v>528</v>
      </c>
      <c r="N238" s="1348"/>
      <c r="O238" s="1348"/>
      <c r="P238" s="1348"/>
      <c r="Q238" s="1348"/>
      <c r="R238" s="1348"/>
      <c r="S238" s="1348"/>
      <c r="T238" s="1348"/>
      <c r="U238" s="204" t="s">
        <v>906</v>
      </c>
      <c r="V238" s="204"/>
      <c r="W238" s="204"/>
      <c r="X238" s="204"/>
      <c r="Y238" s="204"/>
      <c r="Z238" s="204"/>
      <c r="AA238" s="1788" t="s">
        <v>2629</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372" t="s">
        <v>591</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19" t="s">
        <v>2630</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2631</v>
      </c>
      <c r="AG243" s="1420"/>
      <c r="AH243" s="1420"/>
      <c r="AI243" s="1420"/>
      <c r="AJ243" s="1420"/>
      <c r="AK243" s="1420"/>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371" t="s">
        <v>2632</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371" t="s">
        <v>68</v>
      </c>
      <c r="N245" s="1417"/>
      <c r="O245" s="1417"/>
      <c r="P245" s="1417"/>
      <c r="Q245" s="1417"/>
      <c r="R245" s="1417"/>
      <c r="S245" s="1417"/>
      <c r="T245" s="1417"/>
      <c r="V245" s="33" t="s">
        <v>86</v>
      </c>
      <c r="W245" s="1545" t="s">
        <v>2625</v>
      </c>
      <c r="X245" s="1436"/>
      <c r="Y245" s="4" t="s">
        <v>583</v>
      </c>
      <c r="AC245" s="1417">
        <v>95816</v>
      </c>
      <c r="AD245" s="1417"/>
      <c r="AE245" s="1417"/>
      <c r="AF245" s="3" t="s">
        <v>1179</v>
      </c>
      <c r="AU245" s="4"/>
      <c r="AV245" s="4"/>
      <c r="AW245" s="4"/>
      <c r="AX245" s="4"/>
      <c r="AY245" s="4"/>
      <c r="BB245" s="4" t="s">
        <v>280</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371" t="s">
        <v>2685</v>
      </c>
      <c r="N246" s="1417"/>
      <c r="O246" s="1417"/>
      <c r="P246" s="1417"/>
      <c r="Q246" s="1417"/>
      <c r="R246" s="1417"/>
      <c r="S246" s="1417"/>
      <c r="T246" s="1417"/>
      <c r="U246" s="1417"/>
      <c r="V246" s="1417"/>
      <c r="W246" s="1417"/>
      <c r="X246" s="1417"/>
      <c r="Y246" s="1417"/>
      <c r="Z246" s="1417"/>
      <c r="AA246" s="1417"/>
      <c r="AB246" s="1417"/>
      <c r="AC246" s="1417"/>
      <c r="AD246" s="1417"/>
      <c r="AE246" s="1417"/>
      <c r="AH246" s="1781">
        <v>1E-3</v>
      </c>
      <c r="AI246" s="1781"/>
      <c r="AJ246" s="1781"/>
      <c r="AK246" s="1781"/>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346">
        <v>9166385200</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7" t="s">
        <v>2686</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88" t="s">
        <v>591</v>
      </c>
      <c r="AB249" s="1779"/>
      <c r="AC249" s="1779"/>
      <c r="AD249" s="1779"/>
      <c r="AE249" s="1779"/>
      <c r="AF249" s="1779"/>
      <c r="AG249" s="1779"/>
      <c r="AH249" s="1779"/>
      <c r="AI249" s="1779"/>
      <c r="AJ249" s="1779"/>
      <c r="AK249" s="177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19"/>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3" customHeight="1">
      <c r="A253" s="19"/>
      <c r="B253" s="4"/>
      <c r="C253" s="4"/>
      <c r="D253" s="4" t="s">
        <v>580</v>
      </c>
      <c r="E253" s="4"/>
      <c r="M253" s="1417"/>
      <c r="N253" s="1417"/>
      <c r="O253" s="1417"/>
      <c r="P253" s="1417"/>
      <c r="Q253" s="1417"/>
      <c r="R253" s="1417"/>
      <c r="S253" s="1417"/>
      <c r="T253" s="1417"/>
      <c r="V253" s="33" t="s">
        <v>86</v>
      </c>
      <c r="W253" s="1436"/>
      <c r="X253" s="1436"/>
      <c r="Y253" s="4" t="s">
        <v>583</v>
      </c>
      <c r="AC253" s="1417"/>
      <c r="AD253" s="1417"/>
      <c r="AE253" s="1417"/>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81"/>
      <c r="AI254" s="1781"/>
      <c r="AJ254" s="1781"/>
      <c r="AK254" s="1781"/>
      <c r="AL254" s="4"/>
      <c r="AM254" s="4"/>
      <c r="AN254" s="4"/>
      <c r="AO254" s="4"/>
      <c r="AP254" s="4"/>
      <c r="AQ254" s="4"/>
      <c r="AR254" s="4"/>
      <c r="AS254" s="4"/>
      <c r="AT254" s="4"/>
    </row>
    <row r="255" spans="1:67" ht="13"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7"/>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8" t="s">
        <v>307</v>
      </c>
      <c r="N257" s="1348"/>
      <c r="O257" s="1348"/>
      <c r="P257" s="1348"/>
      <c r="Q257" s="1348"/>
      <c r="R257" s="1348"/>
      <c r="S257" s="1348"/>
      <c r="T257" s="1348"/>
      <c r="U257" s="204" t="s">
        <v>906</v>
      </c>
      <c r="V257" s="204"/>
      <c r="W257" s="204"/>
      <c r="X257" s="204"/>
      <c r="Y257" s="204"/>
      <c r="Z257" s="204"/>
      <c r="AA257" s="1779"/>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19" t="s">
        <v>591</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1"/>
      <c r="AI262" s="1781"/>
      <c r="AJ262" s="1781"/>
      <c r="AK262" s="178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8" t="s">
        <v>307</v>
      </c>
      <c r="N265" s="1348"/>
      <c r="O265" s="1348"/>
      <c r="P265" s="1348"/>
      <c r="Q265" s="1348"/>
      <c r="R265" s="1348"/>
      <c r="S265" s="1348"/>
      <c r="T265" s="1348"/>
      <c r="U265" s="204" t="s">
        <v>906</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782" t="str">
        <f>IFERROR(BO245,"")</f>
        <v>Nonprofit</v>
      </c>
      <c r="U267" s="1782"/>
      <c r="V267" s="1782"/>
      <c r="W267" s="1782"/>
      <c r="X267" s="1782"/>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9" t="s">
        <v>2629</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371" t="s">
        <v>2623</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580</v>
      </c>
      <c r="E276" s="4"/>
      <c r="L276" s="1371" t="s">
        <v>2624</v>
      </c>
      <c r="M276" s="1417"/>
      <c r="N276" s="1417"/>
      <c r="O276" s="1417"/>
      <c r="P276" s="1417"/>
      <c r="Q276" s="1417"/>
      <c r="R276" s="1417"/>
      <c r="S276" s="1417"/>
      <c r="U276" s="33" t="s">
        <v>86</v>
      </c>
      <c r="V276" s="1545" t="s">
        <v>2625</v>
      </c>
      <c r="W276" s="1436"/>
      <c r="X276" s="4" t="s">
        <v>583</v>
      </c>
      <c r="AB276" s="1417">
        <v>90401</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71" t="s">
        <v>2626</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694" t="s">
        <v>2627</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3" customHeight="1">
      <c r="D279" s="4" t="s">
        <v>90</v>
      </c>
      <c r="E279" s="4"/>
      <c r="F279" s="4"/>
      <c r="L279" s="1787" t="s">
        <v>2628</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623</v>
      </c>
      <c r="E280" s="3"/>
      <c r="F280" s="3"/>
      <c r="G280" s="3"/>
      <c r="H280" s="3"/>
      <c r="I280" s="3"/>
      <c r="L280" s="1545" t="s">
        <v>2687</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2" t="s">
        <v>2629</v>
      </c>
      <c r="I287" s="1372"/>
      <c r="J287" s="1372"/>
      <c r="K287" s="1372"/>
      <c r="L287" s="1372"/>
      <c r="M287" s="1372"/>
      <c r="N287" s="1372"/>
      <c r="O287" s="1372"/>
      <c r="P287" s="1372"/>
      <c r="Q287" s="1372"/>
      <c r="R287" s="1372"/>
      <c r="T287" s="3" t="s">
        <v>567</v>
      </c>
      <c r="V287" s="3"/>
      <c r="W287" s="3"/>
      <c r="X287" s="3"/>
      <c r="Y287" s="3"/>
      <c r="AA287" s="1372" t="s">
        <v>2646</v>
      </c>
      <c r="AB287" s="1372"/>
      <c r="AC287" s="1372"/>
      <c r="AD287" s="1372"/>
      <c r="AE287" s="1372"/>
      <c r="AF287" s="1372"/>
      <c r="AG287" s="1372"/>
      <c r="AH287" s="1372"/>
      <c r="AI287" s="1372"/>
      <c r="AJ287" s="1372"/>
      <c r="AK287" s="1372"/>
    </row>
    <row r="288" spans="1:51" ht="13" customHeight="1">
      <c r="B288" s="3" t="s">
        <v>471</v>
      </c>
      <c r="C288" s="3"/>
      <c r="D288" s="3"/>
      <c r="E288" s="3"/>
      <c r="F288" s="3"/>
      <c r="H288" s="1348" t="s">
        <v>2623</v>
      </c>
      <c r="I288" s="1348"/>
      <c r="J288" s="1348"/>
      <c r="K288" s="1348"/>
      <c r="L288" s="1348"/>
      <c r="M288" s="1348"/>
      <c r="N288" s="1348"/>
      <c r="O288" s="1348"/>
      <c r="P288" s="1348"/>
      <c r="Q288" s="1348"/>
      <c r="R288" s="1348"/>
      <c r="T288" s="3" t="s">
        <v>471</v>
      </c>
      <c r="V288" s="3"/>
      <c r="W288" s="3"/>
      <c r="X288" s="3"/>
      <c r="Y288" s="3"/>
      <c r="AA288" s="1348" t="s">
        <v>2647</v>
      </c>
      <c r="AB288" s="1348"/>
      <c r="AC288" s="1348"/>
      <c r="AD288" s="1348"/>
      <c r="AE288" s="1348"/>
      <c r="AF288" s="1348"/>
      <c r="AG288" s="1348"/>
      <c r="AH288" s="1348"/>
      <c r="AI288" s="1348"/>
      <c r="AJ288" s="1348"/>
      <c r="AK288" s="1348"/>
    </row>
    <row r="289" spans="2:37" ht="13" customHeight="1">
      <c r="B289" s="3" t="s">
        <v>472</v>
      </c>
      <c r="C289" s="3"/>
      <c r="D289" s="3"/>
      <c r="E289" s="3"/>
      <c r="F289" s="3"/>
      <c r="H289" s="1348" t="s">
        <v>2633</v>
      </c>
      <c r="I289" s="1348"/>
      <c r="J289" s="1348"/>
      <c r="K289" s="1348"/>
      <c r="L289" s="1348"/>
      <c r="M289" s="1348"/>
      <c r="N289" s="1348"/>
      <c r="O289" s="1348"/>
      <c r="P289" s="1348"/>
      <c r="Q289" s="1348"/>
      <c r="R289" s="1348"/>
      <c r="T289" s="3" t="s">
        <v>75</v>
      </c>
      <c r="V289" s="3"/>
      <c r="W289" s="3"/>
      <c r="X289" s="3"/>
      <c r="Y289" s="3"/>
      <c r="AA289" s="1348" t="s">
        <v>2648</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2626</v>
      </c>
      <c r="I290" s="1348"/>
      <c r="J290" s="1348"/>
      <c r="K290" s="1348"/>
      <c r="L290" s="1348"/>
      <c r="M290" s="1348"/>
      <c r="N290" s="1348"/>
      <c r="O290" s="1348"/>
      <c r="P290" s="1348"/>
      <c r="Q290" s="1348"/>
      <c r="R290" s="1348"/>
      <c r="T290" s="3" t="s">
        <v>87</v>
      </c>
      <c r="V290" s="3"/>
      <c r="W290" s="3"/>
      <c r="X290" s="3"/>
      <c r="Y290" s="3"/>
      <c r="AA290" s="1348" t="s">
        <v>2649</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772" t="s">
        <v>2627</v>
      </c>
      <c r="I291" s="1423"/>
      <c r="J291" s="1423"/>
      <c r="K291" s="1423"/>
      <c r="L291" s="1423"/>
      <c r="M291" s="1423"/>
      <c r="N291" s="4" t="s">
        <v>206</v>
      </c>
      <c r="O291" s="4"/>
      <c r="P291" s="1417"/>
      <c r="Q291" s="1417"/>
      <c r="R291" s="1417"/>
      <c r="S291" s="3"/>
      <c r="T291" s="3" t="s">
        <v>88</v>
      </c>
      <c r="V291" s="3"/>
      <c r="W291" s="3"/>
      <c r="X291" s="3"/>
      <c r="Y291" s="3"/>
      <c r="AA291" s="1423">
        <v>4152333778</v>
      </c>
      <c r="AB291" s="1423"/>
      <c r="AC291" s="1423"/>
      <c r="AD291" s="1423"/>
      <c r="AE291" s="1423"/>
      <c r="AF291" s="1423"/>
      <c r="AG291" s="4" t="s">
        <v>206</v>
      </c>
      <c r="AH291" s="4"/>
      <c r="AI291" s="1417"/>
      <c r="AJ291" s="1417"/>
      <c r="AK291" s="1417"/>
    </row>
    <row r="292" spans="2:37" ht="13"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3" customHeight="1">
      <c r="B293" s="3" t="s">
        <v>76</v>
      </c>
      <c r="C293" s="3"/>
      <c r="D293" s="3"/>
      <c r="E293" s="3"/>
      <c r="F293" s="3"/>
      <c r="G293" s="3"/>
      <c r="H293" s="1348" t="s">
        <v>2628</v>
      </c>
      <c r="I293" s="1348"/>
      <c r="J293" s="1348"/>
      <c r="K293" s="1348"/>
      <c r="L293" s="1348"/>
      <c r="M293" s="1348"/>
      <c r="N293" s="1372"/>
      <c r="O293" s="1372"/>
      <c r="P293" s="1372"/>
      <c r="Q293" s="1372"/>
      <c r="R293" s="1372"/>
      <c r="S293" s="3"/>
      <c r="T293" s="3" t="s">
        <v>76</v>
      </c>
      <c r="V293" s="3"/>
      <c r="W293" s="3"/>
      <c r="X293" s="3"/>
      <c r="Y293" s="3"/>
      <c r="AA293" s="1348" t="s">
        <v>2650</v>
      </c>
      <c r="AB293" s="1348"/>
      <c r="AC293" s="1348"/>
      <c r="AD293" s="1348"/>
      <c r="AE293" s="1348"/>
      <c r="AF293" s="1348"/>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2" t="s">
        <v>2688</v>
      </c>
      <c r="I295" s="1372"/>
      <c r="J295" s="1372"/>
      <c r="K295" s="1372"/>
      <c r="L295" s="1372"/>
      <c r="M295" s="1372"/>
      <c r="N295" s="1372"/>
      <c r="O295" s="1372"/>
      <c r="P295" s="1372"/>
      <c r="Q295" s="1372"/>
      <c r="R295" s="1372"/>
      <c r="T295" s="3" t="s">
        <v>364</v>
      </c>
      <c r="V295" s="3"/>
      <c r="W295" s="3"/>
      <c r="X295" s="3"/>
      <c r="Y295" s="3"/>
      <c r="AA295" s="1372" t="s">
        <v>2673</v>
      </c>
      <c r="AB295" s="1372"/>
      <c r="AC295" s="1372"/>
      <c r="AD295" s="1372"/>
      <c r="AE295" s="1372"/>
      <c r="AF295" s="1372"/>
      <c r="AG295" s="1372"/>
      <c r="AH295" s="1372"/>
      <c r="AI295" s="1372"/>
      <c r="AJ295" s="1372"/>
      <c r="AK295" s="1372"/>
    </row>
    <row r="296" spans="2:37" ht="13" customHeight="1">
      <c r="B296" s="3" t="s">
        <v>471</v>
      </c>
      <c r="C296" s="3"/>
      <c r="D296" s="3"/>
      <c r="E296" s="3"/>
      <c r="F296" s="3"/>
      <c r="H296" s="1348" t="s">
        <v>2689</v>
      </c>
      <c r="I296" s="1348"/>
      <c r="J296" s="1348"/>
      <c r="K296" s="1348"/>
      <c r="L296" s="1348"/>
      <c r="M296" s="1348"/>
      <c r="N296" s="1348"/>
      <c r="O296" s="1348"/>
      <c r="P296" s="1348"/>
      <c r="Q296" s="1348"/>
      <c r="R296" s="1348"/>
      <c r="T296" s="3" t="s">
        <v>471</v>
      </c>
      <c r="V296" s="3"/>
      <c r="W296" s="3"/>
      <c r="X296" s="3"/>
      <c r="Y296" s="3"/>
      <c r="AA296" s="1348" t="s">
        <v>2674</v>
      </c>
      <c r="AB296" s="1348"/>
      <c r="AC296" s="1348"/>
      <c r="AD296" s="1348"/>
      <c r="AE296" s="1348"/>
      <c r="AF296" s="1348"/>
      <c r="AG296" s="1348"/>
      <c r="AH296" s="1348"/>
      <c r="AI296" s="1348"/>
      <c r="AJ296" s="1348"/>
      <c r="AK296" s="1348"/>
    </row>
    <row r="297" spans="2:37" ht="13" customHeight="1">
      <c r="B297" s="3" t="s">
        <v>472</v>
      </c>
      <c r="C297" s="3"/>
      <c r="D297" s="3"/>
      <c r="E297" s="3"/>
      <c r="F297" s="3"/>
      <c r="H297" s="1348" t="s">
        <v>2690</v>
      </c>
      <c r="I297" s="1348"/>
      <c r="J297" s="1348"/>
      <c r="K297" s="1348"/>
      <c r="L297" s="1348"/>
      <c r="M297" s="1348"/>
      <c r="N297" s="1348"/>
      <c r="O297" s="1348"/>
      <c r="P297" s="1348"/>
      <c r="Q297" s="1348"/>
      <c r="R297" s="1348"/>
      <c r="T297" s="3" t="s">
        <v>75</v>
      </c>
      <c r="V297" s="3"/>
      <c r="W297" s="3"/>
      <c r="X297" s="3"/>
      <c r="Y297" s="3"/>
      <c r="AA297" s="1348" t="s">
        <v>2675</v>
      </c>
      <c r="AB297" s="1348"/>
      <c r="AC297" s="1348"/>
      <c r="AD297" s="1348"/>
      <c r="AE297" s="1348"/>
      <c r="AF297" s="1348"/>
      <c r="AG297" s="1348"/>
      <c r="AH297" s="1348"/>
      <c r="AI297" s="1348"/>
      <c r="AJ297" s="1348"/>
      <c r="AK297" s="1348"/>
    </row>
    <row r="298" spans="2:37" ht="13" customHeight="1">
      <c r="B298" s="3" t="s">
        <v>87</v>
      </c>
      <c r="C298" s="3"/>
      <c r="D298" s="3"/>
      <c r="E298" s="3"/>
      <c r="F298" s="3"/>
      <c r="H298" s="1348" t="s">
        <v>2691</v>
      </c>
      <c r="I298" s="1348"/>
      <c r="J298" s="1348"/>
      <c r="K298" s="1348"/>
      <c r="L298" s="1348"/>
      <c r="M298" s="1348"/>
      <c r="N298" s="1348"/>
      <c r="O298" s="1348"/>
      <c r="P298" s="1348"/>
      <c r="Q298" s="1348"/>
      <c r="R298" s="1348"/>
      <c r="T298" s="3" t="s">
        <v>87</v>
      </c>
      <c r="V298" s="3"/>
      <c r="W298" s="3"/>
      <c r="X298" s="3"/>
      <c r="Y298" s="3"/>
      <c r="AA298" s="1348" t="s">
        <v>2676</v>
      </c>
      <c r="AB298" s="1348"/>
      <c r="AC298" s="1348"/>
      <c r="AD298" s="1348"/>
      <c r="AE298" s="1348"/>
      <c r="AF298" s="1348"/>
      <c r="AG298" s="1348"/>
      <c r="AH298" s="1348"/>
      <c r="AI298" s="1348"/>
      <c r="AJ298" s="1348"/>
      <c r="AK298" s="1348"/>
    </row>
    <row r="299" spans="2:37" ht="13" customHeight="1">
      <c r="B299" s="3" t="s">
        <v>88</v>
      </c>
      <c r="C299" s="3"/>
      <c r="D299" s="3"/>
      <c r="E299" s="3"/>
      <c r="F299" s="3"/>
      <c r="G299" s="3"/>
      <c r="H299" s="1772" t="s">
        <v>2692</v>
      </c>
      <c r="I299" s="1423"/>
      <c r="J299" s="1423"/>
      <c r="K299" s="1423"/>
      <c r="L299" s="1423"/>
      <c r="M299" s="1423"/>
      <c r="N299" s="4" t="s">
        <v>206</v>
      </c>
      <c r="O299" s="4"/>
      <c r="P299" s="1417"/>
      <c r="Q299" s="1417"/>
      <c r="R299" s="1417"/>
      <c r="S299" s="3"/>
      <c r="T299" s="3" t="s">
        <v>88</v>
      </c>
      <c r="V299" s="3"/>
      <c r="W299" s="3"/>
      <c r="X299" s="3"/>
      <c r="Y299" s="3"/>
      <c r="AA299" s="1772" t="s">
        <v>2677</v>
      </c>
      <c r="AB299" s="1423"/>
      <c r="AC299" s="1423"/>
      <c r="AD299" s="1423"/>
      <c r="AE299" s="1423"/>
      <c r="AF299" s="1423"/>
      <c r="AG299" s="4" t="s">
        <v>206</v>
      </c>
      <c r="AH299" s="4"/>
      <c r="AI299" s="1417"/>
      <c r="AJ299" s="1417"/>
      <c r="AK299" s="1417"/>
    </row>
    <row r="300" spans="2:37" ht="13" customHeight="1">
      <c r="B300" s="3" t="s">
        <v>89</v>
      </c>
      <c r="C300" s="3"/>
      <c r="D300" s="3"/>
      <c r="E300" s="3"/>
      <c r="F300" s="3"/>
      <c r="G300" s="3"/>
      <c r="H300" s="1346" t="s">
        <v>2693</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 customHeight="1">
      <c r="B301" s="3" t="s">
        <v>76</v>
      </c>
      <c r="C301" s="3"/>
      <c r="D301" s="3"/>
      <c r="E301" s="3"/>
      <c r="F301" s="3"/>
      <c r="G301" s="3"/>
      <c r="H301" s="1348" t="s">
        <v>2694</v>
      </c>
      <c r="I301" s="1348"/>
      <c r="J301" s="1348"/>
      <c r="K301" s="1348"/>
      <c r="L301" s="1348"/>
      <c r="M301" s="1348"/>
      <c r="N301" s="1372"/>
      <c r="O301" s="1372"/>
      <c r="P301" s="1372"/>
      <c r="Q301" s="1372"/>
      <c r="R301" s="1372"/>
      <c r="S301" s="3"/>
      <c r="T301" s="3" t="s">
        <v>76</v>
      </c>
      <c r="V301" s="3"/>
      <c r="W301" s="3"/>
      <c r="X301" s="3"/>
      <c r="Y301" s="3"/>
      <c r="AA301" s="1348" t="s">
        <v>2684</v>
      </c>
      <c r="AB301" s="1348"/>
      <c r="AC301" s="1348"/>
      <c r="AD301" s="1348"/>
      <c r="AE301" s="1348"/>
      <c r="AF301" s="1348"/>
      <c r="AG301" s="1372"/>
      <c r="AH301" s="1372"/>
      <c r="AI301" s="1372"/>
      <c r="AJ301" s="1372"/>
      <c r="AK301" s="1372"/>
    </row>
    <row r="302" spans="2:37" ht="13" customHeight="1"/>
    <row r="303" spans="2:37" ht="13" customHeight="1">
      <c r="B303" s="3" t="s">
        <v>77</v>
      </c>
      <c r="C303" s="3"/>
      <c r="D303" s="3"/>
      <c r="E303" s="3"/>
      <c r="F303" s="3"/>
      <c r="H303" s="1372" t="s">
        <v>2695</v>
      </c>
      <c r="I303" s="1372"/>
      <c r="J303" s="1372"/>
      <c r="K303" s="1372"/>
      <c r="L303" s="1372"/>
      <c r="M303" s="1372"/>
      <c r="N303" s="1372"/>
      <c r="O303" s="1372"/>
      <c r="P303" s="1372"/>
      <c r="Q303" s="1372"/>
      <c r="R303" s="1372"/>
      <c r="T303" s="4" t="s">
        <v>878</v>
      </c>
      <c r="V303" s="3"/>
      <c r="W303" s="3"/>
      <c r="X303" s="3"/>
      <c r="Y303" s="3"/>
      <c r="AA303" s="1372" t="s">
        <v>2641</v>
      </c>
      <c r="AB303" s="1372"/>
      <c r="AC303" s="1372"/>
      <c r="AD303" s="1372"/>
      <c r="AE303" s="1372"/>
      <c r="AF303" s="1372"/>
      <c r="AG303" s="1372"/>
      <c r="AH303" s="1372"/>
      <c r="AI303" s="1372"/>
      <c r="AJ303" s="1372"/>
      <c r="AK303" s="1372"/>
    </row>
    <row r="304" spans="2:37" ht="13" customHeight="1">
      <c r="B304" s="3" t="s">
        <v>471</v>
      </c>
      <c r="C304" s="3"/>
      <c r="D304" s="3"/>
      <c r="E304" s="3"/>
      <c r="F304" s="3"/>
      <c r="H304" s="1348" t="s">
        <v>2696</v>
      </c>
      <c r="I304" s="1348"/>
      <c r="J304" s="1348"/>
      <c r="K304" s="1348"/>
      <c r="L304" s="1348"/>
      <c r="M304" s="1348"/>
      <c r="N304" s="1348"/>
      <c r="O304" s="1348"/>
      <c r="P304" s="1348"/>
      <c r="Q304" s="1348"/>
      <c r="R304" s="1348"/>
      <c r="T304" s="3" t="s">
        <v>471</v>
      </c>
      <c r="V304" s="3"/>
      <c r="W304" s="3"/>
      <c r="X304" s="3"/>
      <c r="Y304" s="3"/>
      <c r="AA304" s="1348" t="s">
        <v>2642</v>
      </c>
      <c r="AB304" s="1348"/>
      <c r="AC304" s="1348"/>
      <c r="AD304" s="1348"/>
      <c r="AE304" s="1348"/>
      <c r="AF304" s="1348"/>
      <c r="AG304" s="1348"/>
      <c r="AH304" s="1348"/>
      <c r="AI304" s="1348"/>
      <c r="AJ304" s="1348"/>
      <c r="AK304" s="1348"/>
    </row>
    <row r="305" spans="2:37" ht="13" customHeight="1">
      <c r="B305" s="3" t="s">
        <v>472</v>
      </c>
      <c r="C305" s="3"/>
      <c r="D305" s="3"/>
      <c r="E305" s="3"/>
      <c r="F305" s="3"/>
      <c r="H305" s="1348" t="s">
        <v>2697</v>
      </c>
      <c r="I305" s="1348"/>
      <c r="J305" s="1348"/>
      <c r="K305" s="1348"/>
      <c r="L305" s="1348"/>
      <c r="M305" s="1348"/>
      <c r="N305" s="1348"/>
      <c r="O305" s="1348"/>
      <c r="P305" s="1348"/>
      <c r="Q305" s="1348"/>
      <c r="R305" s="1348"/>
      <c r="T305" s="3" t="s">
        <v>75</v>
      </c>
      <c r="V305" s="3"/>
      <c r="W305" s="3"/>
      <c r="X305" s="3"/>
      <c r="Y305" s="3"/>
      <c r="AA305" s="1348" t="s">
        <v>2643</v>
      </c>
      <c r="AB305" s="1348"/>
      <c r="AC305" s="1348"/>
      <c r="AD305" s="1348"/>
      <c r="AE305" s="1348"/>
      <c r="AF305" s="1348"/>
      <c r="AG305" s="1348"/>
      <c r="AH305" s="1348"/>
      <c r="AI305" s="1348"/>
      <c r="AJ305" s="1348"/>
      <c r="AK305" s="1348"/>
    </row>
    <row r="306" spans="2:37" ht="13" customHeight="1">
      <c r="B306" s="3" t="s">
        <v>87</v>
      </c>
      <c r="C306" s="3"/>
      <c r="D306" s="3"/>
      <c r="E306" s="3"/>
      <c r="F306" s="3"/>
      <c r="H306" s="1348" t="s">
        <v>2698</v>
      </c>
      <c r="I306" s="1348"/>
      <c r="J306" s="1348"/>
      <c r="K306" s="1348"/>
      <c r="L306" s="1348"/>
      <c r="M306" s="1348"/>
      <c r="N306" s="1348"/>
      <c r="O306" s="1348"/>
      <c r="P306" s="1348"/>
      <c r="Q306" s="1348"/>
      <c r="R306" s="1348"/>
      <c r="T306" s="3" t="s">
        <v>87</v>
      </c>
      <c r="V306" s="3"/>
      <c r="W306" s="3"/>
      <c r="X306" s="3"/>
      <c r="Y306" s="3"/>
      <c r="AA306" s="1348" t="s">
        <v>2644</v>
      </c>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v>2155641900</v>
      </c>
      <c r="I307" s="1423"/>
      <c r="J307" s="1423"/>
      <c r="K307" s="1423"/>
      <c r="L307" s="1423"/>
      <c r="M307" s="1423"/>
      <c r="N307" s="4" t="s">
        <v>206</v>
      </c>
      <c r="O307" s="4"/>
      <c r="P307" s="1417"/>
      <c r="Q307" s="1417"/>
      <c r="R307" s="1417"/>
      <c r="S307" s="3"/>
      <c r="T307" s="3" t="s">
        <v>88</v>
      </c>
      <c r="V307" s="3"/>
      <c r="W307" s="3"/>
      <c r="X307" s="3"/>
      <c r="Y307" s="3"/>
      <c r="AA307" s="1423">
        <v>5104590827</v>
      </c>
      <c r="AB307" s="1423"/>
      <c r="AC307" s="1423"/>
      <c r="AD307" s="1423"/>
      <c r="AE307" s="1423"/>
      <c r="AF307" s="1423"/>
      <c r="AG307" s="4" t="s">
        <v>206</v>
      </c>
      <c r="AH307" s="4"/>
      <c r="AI307" s="1417"/>
      <c r="AJ307" s="1417"/>
      <c r="AK307" s="1417"/>
    </row>
    <row r="308" spans="2:37" ht="13" customHeight="1">
      <c r="B308" s="3" t="s">
        <v>89</v>
      </c>
      <c r="C308" s="3"/>
      <c r="D308" s="3"/>
      <c r="E308" s="3"/>
      <c r="F308" s="3"/>
      <c r="G308" s="3"/>
      <c r="H308" s="1346">
        <v>2155643940</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 customHeight="1">
      <c r="B309" s="3" t="s">
        <v>76</v>
      </c>
      <c r="C309" s="3"/>
      <c r="D309" s="3"/>
      <c r="E309" s="3"/>
      <c r="F309" s="3"/>
      <c r="G309" s="3"/>
      <c r="H309" s="1348" t="s">
        <v>2699</v>
      </c>
      <c r="I309" s="1348"/>
      <c r="J309" s="1348"/>
      <c r="K309" s="1348"/>
      <c r="L309" s="1348"/>
      <c r="M309" s="1348"/>
      <c r="N309" s="1372"/>
      <c r="O309" s="1372"/>
      <c r="P309" s="1372"/>
      <c r="Q309" s="1372"/>
      <c r="R309" s="1372"/>
      <c r="S309" s="3"/>
      <c r="T309" s="3" t="s">
        <v>76</v>
      </c>
      <c r="V309" s="3"/>
      <c r="W309" s="3"/>
      <c r="X309" s="3"/>
      <c r="Y309" s="3"/>
      <c r="AA309" s="1348" t="s">
        <v>2645</v>
      </c>
      <c r="AB309" s="1348"/>
      <c r="AC309" s="1348"/>
      <c r="AD309" s="1348"/>
      <c r="AE309" s="1348"/>
      <c r="AF309" s="1348"/>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2" t="s">
        <v>2695</v>
      </c>
      <c r="I311" s="1372"/>
      <c r="J311" s="1372"/>
      <c r="K311" s="1372"/>
      <c r="L311" s="1372"/>
      <c r="M311" s="1372"/>
      <c r="N311" s="1372"/>
      <c r="O311" s="1372"/>
      <c r="P311" s="1372"/>
      <c r="Q311" s="1372"/>
      <c r="R311" s="1372"/>
      <c r="S311" s="3"/>
      <c r="T311" s="3" t="s">
        <v>365</v>
      </c>
      <c r="V311" s="3"/>
      <c r="W311" s="3"/>
      <c r="X311" s="3"/>
      <c r="Y311" s="3"/>
      <c r="AA311" s="1372" t="s">
        <v>2665</v>
      </c>
      <c r="AB311" s="1372"/>
      <c r="AC311" s="1372"/>
      <c r="AD311" s="1372"/>
      <c r="AE311" s="1372"/>
      <c r="AF311" s="1372"/>
      <c r="AG311" s="1372"/>
      <c r="AH311" s="1372"/>
      <c r="AI311" s="1372"/>
      <c r="AJ311" s="1372"/>
      <c r="AK311" s="1372"/>
    </row>
    <row r="312" spans="2:37" ht="13" customHeight="1">
      <c r="B312" s="3" t="s">
        <v>471</v>
      </c>
      <c r="C312" s="3"/>
      <c r="D312" s="3"/>
      <c r="E312" s="3"/>
      <c r="F312" s="3"/>
      <c r="H312" s="1348" t="s">
        <v>2696</v>
      </c>
      <c r="I312" s="1348"/>
      <c r="J312" s="1348"/>
      <c r="K312" s="1348"/>
      <c r="L312" s="1348"/>
      <c r="M312" s="1348"/>
      <c r="N312" s="1348"/>
      <c r="O312" s="1348"/>
      <c r="P312" s="1348"/>
      <c r="Q312" s="1348"/>
      <c r="R312" s="1348"/>
      <c r="S312" s="3"/>
      <c r="T312" s="3" t="s">
        <v>471</v>
      </c>
      <c r="V312" s="3"/>
      <c r="W312" s="3"/>
      <c r="X312" s="3"/>
      <c r="Y312" s="3"/>
      <c r="AA312" s="1348" t="s">
        <v>2700</v>
      </c>
      <c r="AB312" s="1348"/>
      <c r="AC312" s="1348"/>
      <c r="AD312" s="1348"/>
      <c r="AE312" s="1348"/>
      <c r="AF312" s="1348"/>
      <c r="AG312" s="1348"/>
      <c r="AH312" s="1348"/>
      <c r="AI312" s="1348"/>
      <c r="AJ312" s="1348"/>
      <c r="AK312" s="1348"/>
    </row>
    <row r="313" spans="2:37" ht="13" customHeight="1">
      <c r="B313" s="3" t="s">
        <v>472</v>
      </c>
      <c r="C313" s="3"/>
      <c r="D313" s="3"/>
      <c r="E313" s="3"/>
      <c r="F313" s="3"/>
      <c r="H313" s="1348" t="s">
        <v>2697</v>
      </c>
      <c r="I313" s="1348"/>
      <c r="J313" s="1348"/>
      <c r="K313" s="1348"/>
      <c r="L313" s="1348"/>
      <c r="M313" s="1348"/>
      <c r="N313" s="1348"/>
      <c r="O313" s="1348"/>
      <c r="P313" s="1348"/>
      <c r="Q313" s="1348"/>
      <c r="R313" s="1348"/>
      <c r="S313" s="3"/>
      <c r="T313" s="3" t="s">
        <v>75</v>
      </c>
      <c r="V313" s="3"/>
      <c r="W313" s="3"/>
      <c r="X313" s="3"/>
      <c r="Y313" s="3"/>
      <c r="AA313" s="1348" t="s">
        <v>2701</v>
      </c>
      <c r="AB313" s="1348"/>
      <c r="AC313" s="1348"/>
      <c r="AD313" s="1348"/>
      <c r="AE313" s="1348"/>
      <c r="AF313" s="1348"/>
      <c r="AG313" s="1348"/>
      <c r="AH313" s="1348"/>
      <c r="AI313" s="1348"/>
      <c r="AJ313" s="1348"/>
      <c r="AK313" s="1348"/>
    </row>
    <row r="314" spans="2:37" ht="13" customHeight="1">
      <c r="B314" s="3" t="s">
        <v>87</v>
      </c>
      <c r="C314" s="3"/>
      <c r="D314" s="3"/>
      <c r="E314" s="3"/>
      <c r="F314" s="3"/>
      <c r="H314" s="1348" t="s">
        <v>2698</v>
      </c>
      <c r="I314" s="1348"/>
      <c r="J314" s="1348"/>
      <c r="K314" s="1348"/>
      <c r="L314" s="1348"/>
      <c r="M314" s="1348"/>
      <c r="N314" s="1348"/>
      <c r="O314" s="1348"/>
      <c r="P314" s="1348"/>
      <c r="Q314" s="1348"/>
      <c r="R314" s="1348"/>
      <c r="S314" s="3"/>
      <c r="T314" s="3" t="s">
        <v>87</v>
      </c>
      <c r="V314" s="3"/>
      <c r="W314" s="3"/>
      <c r="X314" s="3"/>
      <c r="Y314" s="3"/>
      <c r="AA314" s="1348" t="s">
        <v>2702</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3">
        <v>2155641900</v>
      </c>
      <c r="I315" s="1423"/>
      <c r="J315" s="1423"/>
      <c r="K315" s="1423"/>
      <c r="L315" s="1423"/>
      <c r="M315" s="1423"/>
      <c r="N315" s="4" t="s">
        <v>206</v>
      </c>
      <c r="O315" s="4"/>
      <c r="P315" s="1417"/>
      <c r="Q315" s="1417"/>
      <c r="R315" s="1417"/>
      <c r="S315" s="3"/>
      <c r="T315" s="3" t="s">
        <v>88</v>
      </c>
      <c r="V315" s="3"/>
      <c r="W315" s="3"/>
      <c r="X315" s="3"/>
      <c r="Y315" s="3"/>
      <c r="AA315" s="1423">
        <v>2143603849</v>
      </c>
      <c r="AB315" s="1423"/>
      <c r="AC315" s="1423"/>
      <c r="AD315" s="1423"/>
      <c r="AE315" s="1423"/>
      <c r="AF315" s="1423"/>
      <c r="AG315" s="4" t="s">
        <v>206</v>
      </c>
      <c r="AH315" s="4"/>
      <c r="AI315" s="1417"/>
      <c r="AJ315" s="1417"/>
      <c r="AK315" s="1417"/>
    </row>
    <row r="316" spans="2:37" ht="13" customHeight="1">
      <c r="B316" s="3" t="s">
        <v>89</v>
      </c>
      <c r="C316" s="3"/>
      <c r="D316" s="3"/>
      <c r="E316" s="3"/>
      <c r="F316" s="3"/>
      <c r="G316" s="3"/>
      <c r="H316" s="1346">
        <v>2155643940</v>
      </c>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 customHeight="1">
      <c r="B317" s="3" t="s">
        <v>76</v>
      </c>
      <c r="C317" s="3"/>
      <c r="D317" s="3"/>
      <c r="E317" s="3"/>
      <c r="F317" s="3"/>
      <c r="G317" s="3"/>
      <c r="H317" s="1348" t="s">
        <v>2699</v>
      </c>
      <c r="I317" s="1348"/>
      <c r="J317" s="1348"/>
      <c r="K317" s="1348"/>
      <c r="L317" s="1348"/>
      <c r="M317" s="1348"/>
      <c r="N317" s="1372"/>
      <c r="O317" s="1372"/>
      <c r="P317" s="1372"/>
      <c r="Q317" s="1372"/>
      <c r="R317" s="1372"/>
      <c r="S317" s="3"/>
      <c r="T317" s="3" t="s">
        <v>76</v>
      </c>
      <c r="V317" s="3"/>
      <c r="W317" s="3"/>
      <c r="X317" s="3"/>
      <c r="Y317" s="3"/>
      <c r="AA317" s="1348" t="s">
        <v>2703</v>
      </c>
      <c r="AB317" s="1348"/>
      <c r="AC317" s="1348"/>
      <c r="AD317" s="1348"/>
      <c r="AE317" s="1348"/>
      <c r="AF317" s="1348"/>
      <c r="AG317" s="1372"/>
      <c r="AH317" s="1372"/>
      <c r="AI317" s="1372"/>
      <c r="AJ317" s="1372"/>
      <c r="AK317" s="1372"/>
    </row>
    <row r="318" spans="2:37" ht="13" customHeight="1"/>
    <row r="319" spans="2:37" ht="13" customHeight="1">
      <c r="B319" s="4" t="s">
        <v>908</v>
      </c>
      <c r="C319" s="3"/>
      <c r="D319" s="3"/>
      <c r="E319" s="3"/>
      <c r="F319" s="3"/>
      <c r="H319" s="1371" t="s">
        <v>591</v>
      </c>
      <c r="I319" s="1372"/>
      <c r="J319" s="1372"/>
      <c r="K319" s="1372"/>
      <c r="L319" s="1372"/>
      <c r="M319" s="1372"/>
      <c r="N319" s="1372"/>
      <c r="O319" s="1372"/>
      <c r="P319" s="1372"/>
      <c r="Q319" s="1372"/>
      <c r="R319" s="1372"/>
      <c r="T319" s="3" t="s">
        <v>366</v>
      </c>
      <c r="V319" s="3"/>
      <c r="W319" s="3"/>
      <c r="X319" s="3"/>
      <c r="Y319" s="3"/>
      <c r="AA319" s="1372" t="s">
        <v>2678</v>
      </c>
      <c r="AB319" s="1372"/>
      <c r="AC319" s="1372"/>
      <c r="AD319" s="1372"/>
      <c r="AE319" s="1372"/>
      <c r="AF319" s="1372"/>
      <c r="AG319" s="1372"/>
      <c r="AH319" s="1372"/>
      <c r="AI319" s="1372"/>
      <c r="AJ319" s="1372"/>
      <c r="AK319" s="1372"/>
    </row>
    <row r="320" spans="2:37" ht="13"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2679</v>
      </c>
      <c r="AB320" s="1348"/>
      <c r="AC320" s="1348"/>
      <c r="AD320" s="1348"/>
      <c r="AE320" s="1348"/>
      <c r="AF320" s="1348"/>
      <c r="AG320" s="1348"/>
      <c r="AH320" s="1348"/>
      <c r="AI320" s="1348"/>
      <c r="AJ320" s="1348"/>
      <c r="AK320" s="1348"/>
    </row>
    <row r="321" spans="2:37" ht="13"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2680</v>
      </c>
      <c r="AB321" s="1348"/>
      <c r="AC321" s="1348"/>
      <c r="AD321" s="1348"/>
      <c r="AE321" s="1348"/>
      <c r="AF321" s="1348"/>
      <c r="AG321" s="1348"/>
      <c r="AH321" s="1348"/>
      <c r="AI321" s="1348"/>
      <c r="AJ321" s="1348"/>
      <c r="AK321" s="1348"/>
    </row>
    <row r="322" spans="2:37" ht="13"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2681</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772" t="s">
        <v>2682</v>
      </c>
      <c r="AB323" s="1423"/>
      <c r="AC323" s="1423"/>
      <c r="AD323" s="1423"/>
      <c r="AE323" s="1423"/>
      <c r="AF323" s="1423"/>
      <c r="AG323" s="4" t="s">
        <v>206</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v>8169685890</v>
      </c>
      <c r="AB324" s="1346"/>
      <c r="AC324" s="1346"/>
      <c r="AD324" s="1346"/>
      <c r="AE324" s="1346"/>
      <c r="AF324" s="1346"/>
      <c r="AG324" s="4"/>
      <c r="AH324" s="4"/>
      <c r="AI324" s="35"/>
      <c r="AJ324" s="35"/>
      <c r="AK324" s="35"/>
    </row>
    <row r="325" spans="2:37" ht="13" customHeight="1">
      <c r="B325" s="3" t="s">
        <v>76</v>
      </c>
      <c r="C325" s="3"/>
      <c r="D325" s="3"/>
      <c r="E325" s="3"/>
      <c r="F325" s="3"/>
      <c r="G325" s="3"/>
      <c r="H325" s="1348"/>
      <c r="I325" s="1348"/>
      <c r="J325" s="1348"/>
      <c r="K325" s="1348"/>
      <c r="L325" s="1348"/>
      <c r="M325" s="1348"/>
      <c r="N325" s="1372"/>
      <c r="O325" s="1372"/>
      <c r="P325" s="1372"/>
      <c r="Q325" s="1372"/>
      <c r="R325" s="1372"/>
      <c r="S325" s="3"/>
      <c r="T325" s="3" t="s">
        <v>76</v>
      </c>
      <c r="V325" s="3"/>
      <c r="W325" s="3"/>
      <c r="X325" s="3"/>
      <c r="Y325" s="3"/>
      <c r="AA325" s="1348" t="s">
        <v>2683</v>
      </c>
      <c r="AB325" s="1348"/>
      <c r="AC325" s="1348"/>
      <c r="AD325" s="1348"/>
      <c r="AE325" s="1348"/>
      <c r="AF325" s="1348"/>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2" t="s">
        <v>2678</v>
      </c>
      <c r="I327" s="1372"/>
      <c r="J327" s="1372"/>
      <c r="K327" s="1372"/>
      <c r="L327" s="1372"/>
      <c r="M327" s="1372"/>
      <c r="N327" s="1372"/>
      <c r="O327" s="1372"/>
      <c r="P327" s="1372"/>
      <c r="Q327" s="1372"/>
      <c r="R327" s="1372"/>
      <c r="T327" s="3" t="s">
        <v>368</v>
      </c>
      <c r="V327" s="3"/>
      <c r="W327" s="3"/>
      <c r="X327" s="3"/>
      <c r="Y327" s="3"/>
      <c r="AA327" s="1372" t="s">
        <v>2638</v>
      </c>
      <c r="AB327" s="1372"/>
      <c r="AC327" s="1372"/>
      <c r="AD327" s="1372"/>
      <c r="AE327" s="1372"/>
      <c r="AF327" s="1372"/>
      <c r="AG327" s="1372"/>
      <c r="AH327" s="1372"/>
      <c r="AI327" s="1372"/>
      <c r="AJ327" s="1372"/>
      <c r="AK327" s="1372"/>
    </row>
    <row r="328" spans="2:37" ht="13" customHeight="1">
      <c r="B328" s="3" t="s">
        <v>471</v>
      </c>
      <c r="C328" s="3"/>
      <c r="D328" s="3"/>
      <c r="E328" s="3"/>
      <c r="F328" s="3"/>
      <c r="H328" s="1348" t="s">
        <v>2714</v>
      </c>
      <c r="I328" s="1348"/>
      <c r="J328" s="1348"/>
      <c r="K328" s="1348"/>
      <c r="L328" s="1348"/>
      <c r="M328" s="1348"/>
      <c r="N328" s="1348"/>
      <c r="O328" s="1348"/>
      <c r="P328" s="1348"/>
      <c r="Q328" s="1348"/>
      <c r="R328" s="1348"/>
      <c r="T328" s="3" t="s">
        <v>471</v>
      </c>
      <c r="V328" s="3"/>
      <c r="W328" s="3"/>
      <c r="X328" s="3"/>
      <c r="Y328" s="3"/>
      <c r="AA328" s="1348" t="s">
        <v>2639</v>
      </c>
      <c r="AB328" s="1348"/>
      <c r="AC328" s="1348"/>
      <c r="AD328" s="1348"/>
      <c r="AE328" s="1348"/>
      <c r="AF328" s="1348"/>
      <c r="AG328" s="1348"/>
      <c r="AH328" s="1348"/>
      <c r="AI328" s="1348"/>
      <c r="AJ328" s="1348"/>
      <c r="AK328" s="1348"/>
    </row>
    <row r="329" spans="2:37" ht="13" customHeight="1">
      <c r="B329" s="3" t="s">
        <v>472</v>
      </c>
      <c r="C329" s="3"/>
      <c r="D329" s="3"/>
      <c r="E329" s="3"/>
      <c r="F329" s="3"/>
      <c r="H329" s="1348" t="s">
        <v>2680</v>
      </c>
      <c r="I329" s="1348"/>
      <c r="J329" s="1348"/>
      <c r="K329" s="1348"/>
      <c r="L329" s="1348"/>
      <c r="M329" s="1348"/>
      <c r="N329" s="1348"/>
      <c r="O329" s="1348"/>
      <c r="P329" s="1348"/>
      <c r="Q329" s="1348"/>
      <c r="R329" s="1348"/>
      <c r="T329" s="3" t="s">
        <v>75</v>
      </c>
      <c r="V329" s="3"/>
      <c r="W329" s="3"/>
      <c r="X329" s="3"/>
      <c r="Y329" s="3"/>
      <c r="AA329" s="1348" t="s">
        <v>2640</v>
      </c>
      <c r="AB329" s="1348"/>
      <c r="AC329" s="1348"/>
      <c r="AD329" s="1348"/>
      <c r="AE329" s="1348"/>
      <c r="AF329" s="1348"/>
      <c r="AG329" s="1348"/>
      <c r="AH329" s="1348"/>
      <c r="AI329" s="1348"/>
      <c r="AJ329" s="1348"/>
      <c r="AK329" s="1348"/>
    </row>
    <row r="330" spans="2:37" ht="13" customHeight="1">
      <c r="B330" s="3" t="s">
        <v>87</v>
      </c>
      <c r="C330" s="3"/>
      <c r="D330" s="3"/>
      <c r="E330" s="3"/>
      <c r="F330" s="3"/>
      <c r="H330" s="1348" t="s">
        <v>2715</v>
      </c>
      <c r="I330" s="1348"/>
      <c r="J330" s="1348"/>
      <c r="K330" s="1348"/>
      <c r="L330" s="1348"/>
      <c r="M330" s="1348"/>
      <c r="N330" s="1348"/>
      <c r="O330" s="1348"/>
      <c r="P330" s="1348"/>
      <c r="Q330" s="1348"/>
      <c r="R330" s="1348"/>
      <c r="T330" s="3" t="s">
        <v>87</v>
      </c>
      <c r="V330" s="3"/>
      <c r="W330" s="3"/>
      <c r="X330" s="3"/>
      <c r="Y330" s="3"/>
      <c r="AA330" s="1348" t="s">
        <v>2704</v>
      </c>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3">
        <v>8169685891</v>
      </c>
      <c r="I331" s="1423"/>
      <c r="J331" s="1423"/>
      <c r="K331" s="1423"/>
      <c r="L331" s="1423"/>
      <c r="M331" s="1423"/>
      <c r="N331" s="4" t="s">
        <v>206</v>
      </c>
      <c r="O331" s="4"/>
      <c r="P331" s="1417"/>
      <c r="Q331" s="1417"/>
      <c r="R331" s="1417"/>
      <c r="S331" s="3"/>
      <c r="T331" s="3" t="s">
        <v>88</v>
      </c>
      <c r="V331" s="3"/>
      <c r="W331" s="3"/>
      <c r="X331" s="3"/>
      <c r="Y331" s="3"/>
      <c r="AA331" s="1423">
        <v>2019843651</v>
      </c>
      <c r="AB331" s="1423"/>
      <c r="AC331" s="1423"/>
      <c r="AD331" s="1423"/>
      <c r="AE331" s="1423"/>
      <c r="AF331" s="1423"/>
      <c r="AG331" s="4" t="s">
        <v>206</v>
      </c>
      <c r="AH331" s="4"/>
      <c r="AI331" s="1417"/>
      <c r="AJ331" s="1417"/>
      <c r="AK331" s="1417"/>
    </row>
    <row r="332" spans="2:37" ht="13" customHeight="1">
      <c r="B332" s="3" t="s">
        <v>89</v>
      </c>
      <c r="C332" s="3"/>
      <c r="D332" s="3"/>
      <c r="E332" s="3"/>
      <c r="F332" s="3"/>
      <c r="G332" s="3"/>
      <c r="H332" s="1346">
        <v>8169685890</v>
      </c>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c r="B333" s="3" t="s">
        <v>76</v>
      </c>
      <c r="C333" s="3"/>
      <c r="D333" s="3"/>
      <c r="E333" s="3"/>
      <c r="F333" s="3"/>
      <c r="G333" s="3"/>
      <c r="H333" s="1348" t="s">
        <v>2683</v>
      </c>
      <c r="I333" s="1348"/>
      <c r="J333" s="1348"/>
      <c r="K333" s="1348"/>
      <c r="L333" s="1348"/>
      <c r="M333" s="1348"/>
      <c r="N333" s="1372"/>
      <c r="O333" s="1372"/>
      <c r="P333" s="1372"/>
      <c r="Q333" s="1372"/>
      <c r="R333" s="1372"/>
      <c r="S333" s="3"/>
      <c r="T333" s="3" t="s">
        <v>76</v>
      </c>
      <c r="V333" s="3"/>
      <c r="W333" s="3"/>
      <c r="X333" s="3"/>
      <c r="Y333" s="3"/>
      <c r="AA333" s="1348" t="s">
        <v>2705</v>
      </c>
      <c r="AB333" s="1348"/>
      <c r="AC333" s="1348"/>
      <c r="AD333" s="1348"/>
      <c r="AE333" s="1348"/>
      <c r="AF333" s="1348"/>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2" t="s">
        <v>2709</v>
      </c>
      <c r="I335" s="1372"/>
      <c r="J335" s="1372"/>
      <c r="K335" s="1372"/>
      <c r="L335" s="1372"/>
      <c r="M335" s="1372"/>
      <c r="N335" s="1372"/>
      <c r="O335" s="1372"/>
      <c r="P335" s="1372"/>
      <c r="Q335" s="1372"/>
      <c r="R335" s="1372"/>
      <c r="T335" s="204" t="s">
        <v>886</v>
      </c>
      <c r="V335" s="3"/>
      <c r="W335" s="3"/>
      <c r="X335" s="3"/>
      <c r="Y335" s="3"/>
      <c r="AA335" s="1372" t="s">
        <v>2634</v>
      </c>
      <c r="AB335" s="1372"/>
      <c r="AC335" s="1372"/>
      <c r="AD335" s="1372"/>
      <c r="AE335" s="1372"/>
      <c r="AF335" s="1372"/>
      <c r="AG335" s="1372"/>
      <c r="AH335" s="1372"/>
      <c r="AI335" s="1372"/>
      <c r="AJ335" s="1372"/>
      <c r="AK335" s="1372"/>
    </row>
    <row r="336" spans="2:37" ht="13" customHeight="1">
      <c r="B336" s="3" t="s">
        <v>471</v>
      </c>
      <c r="C336" s="3"/>
      <c r="D336" s="3"/>
      <c r="E336" s="3"/>
      <c r="F336" s="3"/>
      <c r="H336" s="1348" t="s">
        <v>2710</v>
      </c>
      <c r="I336" s="1348"/>
      <c r="J336" s="1348"/>
      <c r="K336" s="1348"/>
      <c r="L336" s="1348"/>
      <c r="M336" s="1348"/>
      <c r="N336" s="1348"/>
      <c r="O336" s="1348"/>
      <c r="P336" s="1348"/>
      <c r="Q336" s="1348"/>
      <c r="R336" s="1348"/>
      <c r="T336" s="3" t="s">
        <v>471</v>
      </c>
      <c r="V336" s="3"/>
      <c r="W336" s="3"/>
      <c r="X336" s="3"/>
      <c r="Y336" s="3"/>
      <c r="AA336" s="1348" t="s">
        <v>2635</v>
      </c>
      <c r="AB336" s="1348"/>
      <c r="AC336" s="1348"/>
      <c r="AD336" s="1348"/>
      <c r="AE336" s="1348"/>
      <c r="AF336" s="1348"/>
      <c r="AG336" s="1348"/>
      <c r="AH336" s="1348"/>
      <c r="AI336" s="1348"/>
      <c r="AJ336" s="1348"/>
      <c r="AK336" s="1348"/>
    </row>
    <row r="337" spans="1:66" ht="13" customHeight="1">
      <c r="B337" s="3" t="s">
        <v>75</v>
      </c>
      <c r="C337" s="3"/>
      <c r="D337" s="3"/>
      <c r="E337" s="3"/>
      <c r="F337" s="3"/>
      <c r="H337" s="1348" t="s">
        <v>2711</v>
      </c>
      <c r="I337" s="1348"/>
      <c r="J337" s="1348"/>
      <c r="K337" s="1348"/>
      <c r="L337" s="1348"/>
      <c r="M337" s="1348"/>
      <c r="N337" s="1348"/>
      <c r="O337" s="1348"/>
      <c r="P337" s="1348"/>
      <c r="Q337" s="1348"/>
      <c r="R337" s="1348"/>
      <c r="T337" s="3" t="s">
        <v>75</v>
      </c>
      <c r="V337" s="3"/>
      <c r="W337" s="3"/>
      <c r="X337" s="3"/>
      <c r="Y337" s="3"/>
      <c r="AA337" s="1348" t="s">
        <v>2636</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2712</v>
      </c>
      <c r="I338" s="1348"/>
      <c r="J338" s="1348"/>
      <c r="K338" s="1348"/>
      <c r="L338" s="1348"/>
      <c r="M338" s="1348"/>
      <c r="N338" s="1348"/>
      <c r="O338" s="1348"/>
      <c r="P338" s="1348"/>
      <c r="Q338" s="1348"/>
      <c r="R338" s="1348"/>
      <c r="T338" s="3" t="s">
        <v>87</v>
      </c>
      <c r="V338" s="3"/>
      <c r="W338" s="3"/>
      <c r="X338" s="3"/>
      <c r="Y338" s="3"/>
      <c r="AA338" s="1545" t="s">
        <v>2707</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3">
        <v>7609301333</v>
      </c>
      <c r="I339" s="1423"/>
      <c r="J339" s="1423"/>
      <c r="K339" s="1423"/>
      <c r="L339" s="1423"/>
      <c r="M339" s="1423"/>
      <c r="N339" s="4" t="s">
        <v>206</v>
      </c>
      <c r="O339" s="4"/>
      <c r="P339" s="1417"/>
      <c r="Q339" s="1417"/>
      <c r="R339" s="1417"/>
      <c r="S339" s="3"/>
      <c r="T339" s="3" t="s">
        <v>88</v>
      </c>
      <c r="V339" s="3"/>
      <c r="W339" s="3"/>
      <c r="X339" s="3"/>
      <c r="Y339" s="3"/>
      <c r="AA339" s="1772" t="s">
        <v>2708</v>
      </c>
      <c r="AB339" s="1423"/>
      <c r="AC339" s="1423"/>
      <c r="AD339" s="1423"/>
      <c r="AE339" s="1423"/>
      <c r="AF339" s="1423"/>
      <c r="AG339" s="4" t="s">
        <v>206</v>
      </c>
      <c r="AH339" s="4"/>
      <c r="AI339" s="1417"/>
      <c r="AJ339" s="1417"/>
      <c r="AK339" s="1417"/>
    </row>
    <row r="340" spans="1:66" ht="13"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3" customHeight="1">
      <c r="B341" s="3" t="s">
        <v>76</v>
      </c>
      <c r="C341" s="3"/>
      <c r="D341" s="3"/>
      <c r="E341" s="3"/>
      <c r="F341" s="3"/>
      <c r="G341" s="3"/>
      <c r="H341" s="1348" t="s">
        <v>2713</v>
      </c>
      <c r="I341" s="1348"/>
      <c r="J341" s="1348"/>
      <c r="K341" s="1348"/>
      <c r="L341" s="1348"/>
      <c r="M341" s="1348"/>
      <c r="N341" s="1372"/>
      <c r="O341" s="1372"/>
      <c r="P341" s="1372"/>
      <c r="Q341" s="1372"/>
      <c r="R341" s="1372"/>
      <c r="S341" s="3"/>
      <c r="T341" s="3" t="s">
        <v>76</v>
      </c>
      <c r="V341" s="3"/>
      <c r="W341" s="3"/>
      <c r="X341" s="3"/>
      <c r="Y341" s="3"/>
      <c r="AA341" s="1545" t="s">
        <v>2706</v>
      </c>
      <c r="AB341" s="1348"/>
      <c r="AC341" s="1348"/>
      <c r="AD341" s="1348"/>
      <c r="AE341" s="1348"/>
      <c r="AF341" s="1348"/>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71" t="s">
        <v>591</v>
      </c>
      <c r="Q343" s="1372"/>
      <c r="R343" s="1372"/>
      <c r="S343" s="1372"/>
      <c r="T343" s="1372"/>
      <c r="U343" s="1372"/>
      <c r="V343" s="1372"/>
      <c r="W343" s="1372"/>
      <c r="X343" s="1372"/>
      <c r="Y343" s="1372"/>
      <c r="Z343" s="1372"/>
      <c r="AA343" s="1372"/>
      <c r="AB343" s="1372"/>
      <c r="AC343" s="1372"/>
      <c r="AD343" s="1372"/>
      <c r="AE343" s="1372"/>
      <c r="BN343" t="s">
        <v>669</v>
      </c>
    </row>
    <row r="344" spans="1:66" ht="13"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3"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2097</v>
      </c>
      <c r="M355" s="1332" t="s">
        <v>591</v>
      </c>
      <c r="N355" s="1332"/>
      <c r="P355" t="s">
        <v>1649</v>
      </c>
      <c r="AJ355" s="1332" t="s">
        <v>591</v>
      </c>
      <c r="AK355" s="1332"/>
    </row>
    <row r="356" spans="1:46" ht="13" customHeight="1">
      <c r="D356" s="3" t="s">
        <v>1638</v>
      </c>
      <c r="M356" s="1332" t="s">
        <v>591</v>
      </c>
      <c r="N356" s="1332"/>
      <c r="P356" s="3" t="s">
        <v>1718</v>
      </c>
      <c r="AJ356" s="1446"/>
      <c r="AK356" s="1446"/>
    </row>
    <row r="357" spans="1:46" ht="13" customHeight="1">
      <c r="D357" s="3" t="s">
        <v>704</v>
      </c>
      <c r="M357" s="1332" t="s">
        <v>591</v>
      </c>
      <c r="N357" s="1332"/>
      <c r="P357" t="s">
        <v>1648</v>
      </c>
      <c r="AJ357" s="1332" t="s">
        <v>545</v>
      </c>
      <c r="AK357" s="1332"/>
    </row>
    <row r="358" spans="1:46" ht="13" customHeight="1">
      <c r="D358" s="3" t="s">
        <v>705</v>
      </c>
      <c r="M358" s="1332" t="s">
        <v>545</v>
      </c>
      <c r="N358" s="1332"/>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3" customHeight="1">
      <c r="E364" t="s">
        <v>370</v>
      </c>
      <c r="Y364" s="1332" t="s">
        <v>591</v>
      </c>
      <c r="Z364" s="1332"/>
    </row>
    <row r="365" spans="1:46" ht="13" customHeight="1">
      <c r="D365" s="4" t="s">
        <v>977</v>
      </c>
      <c r="Q365" s="1372" t="s">
        <v>2637</v>
      </c>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2" t="s">
        <v>545</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448</v>
      </c>
      <c r="F370" s="4"/>
      <c r="G370" s="4"/>
      <c r="H370" s="4"/>
      <c r="I370" s="4"/>
      <c r="J370" s="4"/>
      <c r="K370" s="4"/>
      <c r="L370" s="4"/>
      <c r="N370" s="1771">
        <v>42</v>
      </c>
      <c r="O370" s="1662"/>
      <c r="P370" s="1662"/>
      <c r="Q370" s="1662"/>
      <c r="R370" s="4"/>
      <c r="U370" s="4" t="s">
        <v>449</v>
      </c>
      <c r="V370" s="4"/>
      <c r="W370" s="4"/>
      <c r="X370" s="4"/>
      <c r="Y370" s="4"/>
      <c r="Z370" s="4"/>
      <c r="AA370" s="4"/>
      <c r="AB370" s="4"/>
      <c r="AC370" s="1662">
        <v>1</v>
      </c>
      <c r="AD370" s="1662"/>
      <c r="AE370" s="1662"/>
      <c r="AF370" s="1662"/>
    </row>
    <row r="371" spans="1:34" ht="13" customHeight="1">
      <c r="E371" s="4" t="s">
        <v>450</v>
      </c>
      <c r="F371" s="4"/>
      <c r="G371" s="4"/>
      <c r="H371" s="4"/>
      <c r="I371" s="4"/>
      <c r="J371" s="4"/>
      <c r="K371" s="4"/>
      <c r="L371" s="4"/>
      <c r="N371" s="1662">
        <v>1</v>
      </c>
      <c r="O371" s="1662"/>
      <c r="P371" s="1662"/>
      <c r="Q371" s="1662"/>
      <c r="R371" s="4"/>
      <c r="U371" s="4" t="s">
        <v>0</v>
      </c>
      <c r="V371" s="4"/>
      <c r="W371" s="4"/>
      <c r="X371" s="4"/>
      <c r="Y371" s="4"/>
      <c r="Z371" s="4"/>
      <c r="AA371" s="4"/>
      <c r="AB371" s="4"/>
      <c r="AC371" s="1662">
        <v>75</v>
      </c>
      <c r="AD371" s="1662"/>
      <c r="AE371" s="1662"/>
      <c r="AF371" s="1662"/>
    </row>
    <row r="372" spans="1:34" ht="13" customHeight="1">
      <c r="E372" s="4" t="s">
        <v>1</v>
      </c>
      <c r="F372" s="4"/>
      <c r="G372" s="4"/>
      <c r="H372" s="4"/>
      <c r="I372" s="4"/>
      <c r="J372" s="4"/>
      <c r="K372" s="4"/>
      <c r="L372" s="4"/>
      <c r="N372" s="1662">
        <v>3</v>
      </c>
      <c r="O372" s="1662"/>
      <c r="P372" s="1662"/>
      <c r="Q372" s="1662"/>
      <c r="R372" s="4"/>
      <c r="V372" s="4"/>
      <c r="W372" s="4"/>
      <c r="X372" s="4"/>
      <c r="Y372" s="4"/>
      <c r="Z372" s="4"/>
      <c r="AA372" s="4"/>
      <c r="AB372" s="4"/>
    </row>
    <row r="373" spans="1:34" ht="13" customHeight="1">
      <c r="E373" s="4" t="s">
        <v>2</v>
      </c>
      <c r="F373" s="4"/>
      <c r="G373" s="4"/>
      <c r="H373" s="4"/>
      <c r="I373" s="4"/>
      <c r="J373" s="4"/>
      <c r="K373" s="4"/>
      <c r="L373" s="4"/>
      <c r="N373" s="1813" t="s">
        <v>2651</v>
      </c>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3"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305</v>
      </c>
      <c r="S377" s="1820">
        <v>2005</v>
      </c>
      <c r="T377" s="1820"/>
      <c r="U377" s="1" t="s">
        <v>306</v>
      </c>
      <c r="V377" s="1820">
        <v>70</v>
      </c>
      <c r="W377" s="1820"/>
      <c r="Y377" t="s">
        <v>2078</v>
      </c>
      <c r="AC377" s="27" t="s">
        <v>305</v>
      </c>
      <c r="AD377" s="1820"/>
      <c r="AE377" s="1820"/>
      <c r="AF377" s="1" t="s">
        <v>306</v>
      </c>
      <c r="AG377" s="1820"/>
      <c r="AH377" s="1820"/>
    </row>
    <row r="378" spans="1:34" ht="13" customHeight="1">
      <c r="E378" s="4" t="s">
        <v>986</v>
      </c>
      <c r="F378" s="4"/>
      <c r="G378" s="4"/>
      <c r="H378" s="4"/>
      <c r="I378" s="4"/>
      <c r="J378" s="4"/>
      <c r="K378" s="4"/>
      <c r="L378" s="4"/>
      <c r="N378" s="1820">
        <v>2006</v>
      </c>
      <c r="O378" s="1820"/>
      <c r="P378" s="1820"/>
    </row>
    <row r="379" spans="1:34" ht="13" customHeight="1">
      <c r="E379" s="204" t="s">
        <v>2084</v>
      </c>
      <c r="F379" s="4"/>
      <c r="G379" s="4"/>
      <c r="H379" s="4"/>
      <c r="I379" s="4"/>
      <c r="J379" s="4"/>
      <c r="K379" s="4"/>
      <c r="L379" s="4"/>
      <c r="AG379" s="1807" t="s">
        <v>669</v>
      </c>
      <c r="AH379" s="1807"/>
    </row>
    <row r="380" spans="1:34" ht="13" customHeight="1">
      <c r="E380" s="4"/>
      <c r="F380" s="4"/>
      <c r="G380" s="4" t="s">
        <v>2085</v>
      </c>
      <c r="H380" s="4"/>
      <c r="I380" s="4"/>
      <c r="J380" s="4"/>
      <c r="K380" s="4"/>
      <c r="L380" s="4"/>
      <c r="AG380" s="1807" t="s">
        <v>545</v>
      </c>
      <c r="AH380" s="1807"/>
    </row>
    <row r="381" spans="1:34" ht="13" customHeight="1">
      <c r="E381" s="4"/>
      <c r="F381" s="4"/>
      <c r="G381" s="320" t="s">
        <v>987</v>
      </c>
      <c r="H381" s="4"/>
      <c r="I381" s="4"/>
      <c r="J381" s="4"/>
      <c r="K381" s="4"/>
      <c r="L381" s="4"/>
      <c r="V381" s="1332" t="s">
        <v>591</v>
      </c>
      <c r="W381" s="1332"/>
      <c r="Y381" s="22" t="s">
        <v>979</v>
      </c>
    </row>
    <row r="382" spans="1:34" ht="13" customHeight="1">
      <c r="E382" s="4" t="s">
        <v>980</v>
      </c>
      <c r="F382" s="4"/>
      <c r="G382" s="4"/>
      <c r="H382" s="4"/>
      <c r="I382" s="4"/>
      <c r="J382" s="4"/>
      <c r="K382" s="4"/>
      <c r="L382" s="4"/>
      <c r="V382" s="1332" t="s">
        <v>669</v>
      </c>
      <c r="W382" s="1332"/>
      <c r="Y382" s="4" t="s">
        <v>981</v>
      </c>
    </row>
    <row r="383" spans="1:34" ht="13" customHeight="1"/>
    <row r="384" spans="1:34" ht="13" customHeight="1">
      <c r="A384" s="2" t="s">
        <v>78</v>
      </c>
      <c r="B384" s="2"/>
    </row>
    <row r="385" spans="4:36" ht="13" customHeight="1">
      <c r="D385" t="s">
        <v>428</v>
      </c>
      <c r="J385" s="1372" t="s">
        <v>2652</v>
      </c>
      <c r="K385" s="1372"/>
      <c r="L385" s="1372"/>
      <c r="M385" s="1372"/>
      <c r="N385" s="1372"/>
      <c r="O385" s="1372"/>
      <c r="P385" s="1372"/>
      <c r="Q385" s="1372"/>
      <c r="R385" s="1372"/>
      <c r="S385" s="1372"/>
      <c r="T385" s="1372"/>
      <c r="U385" s="1372"/>
      <c r="V385" s="8" t="s">
        <v>83</v>
      </c>
      <c r="W385" s="8"/>
      <c r="X385" s="8"/>
      <c r="Y385" s="8"/>
      <c r="Z385" s="8"/>
      <c r="AA385" s="8"/>
      <c r="AB385" s="8"/>
      <c r="AC385" s="1372" t="s">
        <v>2653</v>
      </c>
      <c r="AD385" s="1372"/>
      <c r="AE385" s="1372"/>
      <c r="AF385" s="1372"/>
      <c r="AG385" s="1372"/>
      <c r="AH385" s="1372"/>
      <c r="AI385" s="1372"/>
      <c r="AJ385" s="1372"/>
    </row>
    <row r="386" spans="4:36" ht="13" customHeight="1">
      <c r="D386" s="3" t="s">
        <v>1181</v>
      </c>
      <c r="J386" s="1348" t="s">
        <v>2653</v>
      </c>
      <c r="K386" s="1348"/>
      <c r="L386" s="1348"/>
      <c r="M386" s="1348"/>
      <c r="N386" s="1348"/>
      <c r="O386" s="1348"/>
      <c r="P386" s="1348"/>
      <c r="Q386" s="1348"/>
      <c r="R386" s="1348"/>
      <c r="S386" s="1348"/>
      <c r="T386" s="1348"/>
      <c r="U386" s="1348"/>
      <c r="V386" s="3" t="s">
        <v>1181</v>
      </c>
      <c r="W386" s="8"/>
      <c r="X386" s="8"/>
      <c r="Y386" s="8"/>
      <c r="Z386" s="8"/>
      <c r="AA386" s="8"/>
      <c r="AB386" s="8"/>
      <c r="AC386" s="1371"/>
      <c r="AD386" s="1372"/>
      <c r="AE386" s="1372"/>
      <c r="AF386" s="1372"/>
      <c r="AG386" s="1372"/>
      <c r="AH386" s="1372"/>
      <c r="AI386" s="1372"/>
      <c r="AJ386" s="1372"/>
    </row>
    <row r="387" spans="4:36" ht="13" customHeight="1">
      <c r="D387" s="3" t="s">
        <v>441</v>
      </c>
      <c r="J387" s="1348" t="s">
        <v>2654</v>
      </c>
      <c r="K387" s="1348"/>
      <c r="L387" s="1348"/>
      <c r="M387" s="1348"/>
      <c r="N387" s="1348"/>
      <c r="O387" s="1348"/>
      <c r="P387" s="1348"/>
      <c r="Q387" s="1348"/>
      <c r="R387" s="1348"/>
      <c r="S387" s="1348"/>
      <c r="T387" s="1348"/>
      <c r="U387" s="1348"/>
      <c r="V387" s="3" t="s">
        <v>441</v>
      </c>
      <c r="W387" s="8"/>
      <c r="X387" s="8"/>
      <c r="Y387" s="8"/>
      <c r="Z387" s="8"/>
      <c r="AA387" s="8"/>
      <c r="AB387" s="8"/>
      <c r="AC387" s="1372"/>
      <c r="AD387" s="1372"/>
      <c r="AE387" s="1372"/>
      <c r="AF387" s="1372"/>
      <c r="AG387" s="1372"/>
      <c r="AH387" s="1372"/>
      <c r="AI387" s="1372"/>
      <c r="AJ387" s="1372"/>
    </row>
    <row r="388" spans="4:36" ht="13" customHeight="1">
      <c r="D388" t="s">
        <v>1177</v>
      </c>
      <c r="J388" s="1403" t="s">
        <v>2655</v>
      </c>
      <c r="K388" s="1403"/>
      <c r="L388" s="1403"/>
      <c r="M388" s="1403"/>
      <c r="N388" s="1403"/>
      <c r="O388" s="1403"/>
      <c r="P388" s="1403"/>
      <c r="Q388" s="1403"/>
      <c r="R388" s="1403"/>
      <c r="S388" s="1403"/>
      <c r="T388" s="1403"/>
      <c r="U388" s="1403"/>
      <c r="V388" s="1372" t="s">
        <v>2656</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1">
        <v>45835</v>
      </c>
      <c r="R389" s="1751"/>
      <c r="S389" s="1751"/>
      <c r="T389" s="1751"/>
      <c r="U389" s="1751"/>
      <c r="V389" t="s">
        <v>309</v>
      </c>
      <c r="AI389" s="1332" t="s">
        <v>669</v>
      </c>
      <c r="AJ389" s="1332"/>
    </row>
    <row r="390" spans="4:36" ht="13" customHeight="1">
      <c r="D390" t="s">
        <v>5</v>
      </c>
      <c r="Q390" s="1533">
        <v>46105</v>
      </c>
      <c r="R390" s="1824"/>
      <c r="S390" s="1824"/>
      <c r="T390" s="1824"/>
      <c r="U390" s="1824"/>
      <c r="W390" s="21" t="s">
        <v>74</v>
      </c>
      <c r="AG390" s="1822"/>
      <c r="AH390" s="1822"/>
      <c r="AI390" s="1822"/>
      <c r="AJ390" s="1822"/>
    </row>
    <row r="391" spans="4:36" ht="13" customHeight="1">
      <c r="D391" t="s">
        <v>427</v>
      </c>
      <c r="Q391" s="1833">
        <v>23500000</v>
      </c>
      <c r="R391" s="1833"/>
      <c r="S391" s="1833"/>
      <c r="T391" s="1833"/>
      <c r="U391" s="1833"/>
      <c r="V391" s="3" t="s">
        <v>1180</v>
      </c>
      <c r="AG391" s="1823">
        <v>45976</v>
      </c>
      <c r="AH391" s="1823"/>
      <c r="AI391" s="1823"/>
      <c r="AJ391" s="1823"/>
    </row>
    <row r="392" spans="4:36" ht="13" customHeight="1">
      <c r="D392" t="s">
        <v>88</v>
      </c>
      <c r="I392" s="1423"/>
      <c r="J392" s="1423"/>
      <c r="K392" s="1423"/>
      <c r="L392" s="1423"/>
      <c r="M392" s="1423"/>
      <c r="N392" s="1423"/>
      <c r="Q392" s="4" t="s">
        <v>206</v>
      </c>
      <c r="S392" s="1832"/>
      <c r="T392" s="1832"/>
      <c r="U392" s="1832"/>
      <c r="V392" t="s">
        <v>73</v>
      </c>
      <c r="AI392" s="1332" t="s">
        <v>669</v>
      </c>
      <c r="AJ392" s="1332"/>
    </row>
    <row r="393" spans="4:36" ht="13" customHeight="1">
      <c r="D393" t="s">
        <v>310</v>
      </c>
      <c r="Q393" s="1409"/>
      <c r="R393" s="1409"/>
      <c r="S393" s="1409"/>
      <c r="T393" s="1409"/>
      <c r="U393" s="1409"/>
      <c r="V393" t="s">
        <v>311</v>
      </c>
      <c r="AG393" s="1822"/>
      <c r="AH393" s="1822"/>
      <c r="AI393" s="1822"/>
      <c r="AJ393" s="1822"/>
    </row>
    <row r="394" spans="4:36" ht="13" customHeight="1">
      <c r="D394" t="s">
        <v>312</v>
      </c>
      <c r="Q394" s="1755" t="s">
        <v>2716</v>
      </c>
      <c r="R394" s="1756"/>
      <c r="S394" s="1756"/>
      <c r="T394" s="1756"/>
      <c r="U394" s="1756"/>
      <c r="V394" t="s">
        <v>1162</v>
      </c>
      <c r="AG394" s="1822"/>
      <c r="AH394" s="1822"/>
      <c r="AI394" s="1822"/>
      <c r="AJ394" s="1822"/>
    </row>
    <row r="395" spans="4:36" ht="13" customHeight="1">
      <c r="D395" t="s">
        <v>1161</v>
      </c>
      <c r="AG395" s="1822"/>
      <c r="AH395" s="1822"/>
      <c r="AI395" s="1822"/>
      <c r="AJ395" s="1822"/>
    </row>
    <row r="396" spans="4:36" ht="13" customHeight="1">
      <c r="AG396" s="456"/>
      <c r="AH396" s="456"/>
      <c r="AI396" s="456"/>
      <c r="AJ396" s="456"/>
    </row>
    <row r="397" spans="4:36" ht="13" customHeight="1">
      <c r="D397" s="3" t="s">
        <v>2141</v>
      </c>
      <c r="AG397" s="456"/>
      <c r="AH397" s="456"/>
      <c r="AI397" s="1332" t="s">
        <v>669</v>
      </c>
      <c r="AJ397" s="1332"/>
    </row>
    <row r="398" spans="4:36" ht="13" customHeight="1">
      <c r="D398" s="3" t="s">
        <v>1666</v>
      </c>
      <c r="T398" s="1749" t="s">
        <v>591</v>
      </c>
      <c r="U398" s="1750"/>
      <c r="V398" s="1750"/>
      <c r="W398" s="1750"/>
      <c r="X398" s="1750"/>
      <c r="Y398" s="1750"/>
      <c r="Z398" s="1750"/>
      <c r="AA398" s="1750"/>
      <c r="AB398" s="1750"/>
      <c r="AC398" s="1750"/>
      <c r="AD398" s="1750"/>
      <c r="AE398" s="1750"/>
      <c r="AF398" s="1750"/>
      <c r="AG398" s="1750"/>
      <c r="AH398" s="1750"/>
      <c r="AI398" s="1750"/>
      <c r="AJ398" s="1750"/>
    </row>
    <row r="399" spans="4:36" ht="13" customHeight="1">
      <c r="D399" s="3" t="s">
        <v>1665</v>
      </c>
      <c r="T399" s="1749" t="s">
        <v>591</v>
      </c>
      <c r="U399" s="1750"/>
      <c r="V399" s="1750"/>
      <c r="W399" s="1750"/>
      <c r="X399" s="1750"/>
      <c r="Y399" s="1750"/>
      <c r="Z399" s="1750"/>
      <c r="AA399" s="1750"/>
      <c r="AB399" s="1750"/>
      <c r="AC399" s="1750"/>
      <c r="AD399" s="1750"/>
      <c r="AE399" s="1750"/>
      <c r="AF399" s="1750"/>
      <c r="AG399" s="1750"/>
      <c r="AH399" s="1750"/>
      <c r="AI399" s="1750"/>
      <c r="AJ399" s="1750"/>
    </row>
    <row r="400" spans="4:36" ht="13" customHeight="1">
      <c r="AG400" s="456"/>
      <c r="AH400" s="456"/>
      <c r="AI400" s="456"/>
      <c r="AJ400" s="456"/>
    </row>
    <row r="401" spans="1:36" ht="13" customHeight="1">
      <c r="D401" s="3" t="s">
        <v>1659</v>
      </c>
      <c r="S401" s="1750" t="s">
        <v>669</v>
      </c>
      <c r="T401" s="1750"/>
      <c r="U401" s="1750"/>
      <c r="V401" t="s">
        <v>1660</v>
      </c>
      <c r="AG401" s="1826"/>
      <c r="AH401" s="1826"/>
      <c r="AI401" s="1826"/>
      <c r="AJ401" s="1826"/>
    </row>
    <row r="402" spans="1:36" ht="13" customHeight="1">
      <c r="D402" s="3" t="s">
        <v>1657</v>
      </c>
      <c r="S402" s="1750" t="s">
        <v>591</v>
      </c>
      <c r="T402" s="1750"/>
      <c r="U402" s="1750"/>
      <c r="V402" t="s">
        <v>1662</v>
      </c>
      <c r="AE402" s="1821"/>
      <c r="AF402" s="1821"/>
      <c r="AG402" s="1821"/>
      <c r="AH402" s="1821"/>
      <c r="AI402" s="1821"/>
      <c r="AJ402" s="1821"/>
    </row>
    <row r="403" spans="1:36" ht="13" customHeight="1">
      <c r="D403" s="3" t="s">
        <v>1658</v>
      </c>
      <c r="K403" s="1801" t="s">
        <v>591</v>
      </c>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3" customHeight="1">
      <c r="D404" s="3" t="s">
        <v>1661</v>
      </c>
      <c r="K404" s="1801" t="s">
        <v>591</v>
      </c>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3" customHeight="1">
      <c r="D405" s="3" t="s">
        <v>1664</v>
      </c>
      <c r="E405" s="477"/>
      <c r="F405" s="477"/>
      <c r="G405" s="477"/>
      <c r="H405" s="477"/>
      <c r="I405" s="477"/>
      <c r="J405" s="477"/>
      <c r="K405" s="477"/>
      <c r="L405" s="477"/>
      <c r="M405" s="477"/>
      <c r="N405" s="477"/>
      <c r="O405" s="477"/>
      <c r="P405" s="477"/>
      <c r="Q405" s="477"/>
      <c r="R405" s="477"/>
      <c r="S405" s="1831" t="s">
        <v>2717</v>
      </c>
      <c r="T405" s="1831"/>
      <c r="U405" s="1831"/>
      <c r="V405" s="1831"/>
      <c r="W405" s="1831"/>
      <c r="X405" s="1831"/>
      <c r="Y405" s="1831"/>
      <c r="Z405" s="1831"/>
      <c r="AA405" s="1831"/>
      <c r="AB405" s="1831"/>
      <c r="AC405" s="1831"/>
      <c r="AD405" s="1831"/>
      <c r="AE405" s="1831"/>
      <c r="AF405" s="1831"/>
      <c r="AG405" s="1831"/>
      <c r="AH405" s="1831"/>
      <c r="AI405" s="1831"/>
      <c r="AJ405" s="1831"/>
    </row>
    <row r="406" spans="1:36" ht="13"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371" t="s">
        <v>2657</v>
      </c>
      <c r="J410" s="1371"/>
      <c r="K410" s="1371"/>
      <c r="L410" s="1371"/>
      <c r="M410" s="1371"/>
      <c r="N410" s="1371"/>
      <c r="O410" s="1371"/>
      <c r="P410" s="1371"/>
      <c r="Q410" s="1371"/>
      <c r="R410" s="1371"/>
      <c r="S410" s="1371"/>
      <c r="T410" s="1371"/>
      <c r="U410" s="1371"/>
      <c r="V410" s="1371"/>
      <c r="W410" s="1371"/>
      <c r="X410" s="1371"/>
      <c r="Y410" s="1371"/>
      <c r="Z410" s="1371"/>
      <c r="AA410" s="1371"/>
      <c r="AB410" s="1371"/>
      <c r="AC410" s="1371"/>
      <c r="AD410" s="1371"/>
      <c r="AE410" s="1371"/>
    </row>
    <row r="411" spans="1:36" ht="13" customHeight="1">
      <c r="E411" t="s">
        <v>106</v>
      </c>
      <c r="R411" s="1332" t="s">
        <v>545</v>
      </c>
      <c r="S411" s="1332"/>
      <c r="AC411" s="27" t="s">
        <v>570</v>
      </c>
      <c r="AD411" s="1662">
        <v>3</v>
      </c>
      <c r="AE411" s="1662"/>
    </row>
    <row r="412" spans="1:36" ht="13" customHeight="1">
      <c r="E412" t="s">
        <v>107</v>
      </c>
      <c r="R412" s="1332" t="s">
        <v>591</v>
      </c>
      <c r="S412" s="1332"/>
      <c r="AC412" s="27" t="s">
        <v>570</v>
      </c>
      <c r="AD412" s="1662"/>
      <c r="AE412" s="1662"/>
    </row>
    <row r="413" spans="1:36" ht="13" customHeight="1">
      <c r="E413" t="s">
        <v>108</v>
      </c>
      <c r="S413" s="1332" t="s">
        <v>591</v>
      </c>
      <c r="T413" s="1332"/>
    </row>
    <row r="414" spans="1:36" ht="13" customHeight="1">
      <c r="E414" t="s">
        <v>170</v>
      </c>
      <c r="H414" s="1757" t="s">
        <v>2718</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3"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3" customHeight="1"/>
    <row r="417" spans="1:39" ht="13" customHeight="1">
      <c r="A417" s="2" t="s">
        <v>590</v>
      </c>
      <c r="B417" s="2"/>
      <c r="C417" s="2"/>
      <c r="D417" s="2" t="s">
        <v>114</v>
      </c>
      <c r="AF417" s="2" t="s">
        <v>957</v>
      </c>
    </row>
    <row r="418" spans="1:39" ht="13" customHeight="1">
      <c r="E418" s="1820"/>
      <c r="F418" s="1820"/>
      <c r="G418" s="1820"/>
      <c r="H418" s="13" t="s">
        <v>115</v>
      </c>
      <c r="I418" s="1820"/>
      <c r="J418" s="1820"/>
      <c r="K418" s="1820"/>
      <c r="L418" t="s">
        <v>116</v>
      </c>
      <c r="N418" s="27" t="s">
        <v>575</v>
      </c>
      <c r="P418" s="1761">
        <v>1.8240000000000001</v>
      </c>
      <c r="Q418" s="1761"/>
      <c r="R418" s="1761"/>
      <c r="S418" t="s">
        <v>117</v>
      </c>
      <c r="W418" s="1830">
        <f>IF(E418&gt;0,(E418*I418),(P418*43560))</f>
        <v>79453.440000000002</v>
      </c>
      <c r="X418" s="1830"/>
      <c r="Y418" s="1830"/>
      <c r="Z418" t="s">
        <v>118</v>
      </c>
      <c r="AF418" s="1762">
        <f>IFERROR(IF(P418&gt;0,(AG437/P418),(AG437/(W418/43560))),0)</f>
        <v>41.118421052631575</v>
      </c>
      <c r="AG418" s="1762"/>
      <c r="AH418" s="1762"/>
      <c r="AM418" s="3"/>
    </row>
    <row r="419" spans="1:39" ht="13" customHeight="1">
      <c r="E419" t="s">
        <v>51</v>
      </c>
    </row>
    <row r="420" spans="1:39" ht="13"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3" customHeight="1">
      <c r="E421" s="118" t="s">
        <v>1735</v>
      </c>
      <c r="F421" s="1013"/>
      <c r="G421" s="1013"/>
      <c r="H421" s="1013"/>
      <c r="I421" s="1760">
        <v>1.8240000000000001</v>
      </c>
      <c r="J421" s="1760"/>
      <c r="K421" s="1760"/>
      <c r="L421" s="1013"/>
      <c r="M421" s="118"/>
      <c r="N421" s="1013"/>
      <c r="O421" s="1013"/>
      <c r="P421" s="1440">
        <f>(DU755+DU778+DU800)/I421</f>
        <v>41.666666666666664</v>
      </c>
      <c r="Q421" s="1440"/>
      <c r="R421" s="14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2">
        <v>1</v>
      </c>
      <c r="Q424" s="1332"/>
      <c r="S424" t="s">
        <v>189</v>
      </c>
      <c r="AE424" s="1332">
        <v>1</v>
      </c>
      <c r="AF424" s="1332"/>
    </row>
    <row r="425" spans="1:39" ht="13" customHeight="1">
      <c r="E425" t="s">
        <v>190</v>
      </c>
      <c r="P425" s="1332">
        <v>0</v>
      </c>
      <c r="Q425" s="1332"/>
      <c r="S425" t="s">
        <v>131</v>
      </c>
      <c r="AE425" s="1332" t="s">
        <v>591</v>
      </c>
      <c r="AF425" s="1332"/>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3" customHeight="1">
      <c r="E429" t="s">
        <v>608</v>
      </c>
      <c r="P429" s="1"/>
      <c r="Q429" s="1332" t="s">
        <v>545</v>
      </c>
      <c r="R429" s="1332"/>
    </row>
    <row r="430" spans="1:39" ht="13" customHeight="1">
      <c r="F430" t="s">
        <v>609</v>
      </c>
      <c r="P430" s="1"/>
      <c r="Q430" s="1"/>
      <c r="AF430" s="1332" t="s">
        <v>591</v>
      </c>
      <c r="AG430" s="1828"/>
    </row>
    <row r="431" spans="1:39" ht="13" customHeight="1"/>
    <row r="432" spans="1:39" ht="13" customHeight="1">
      <c r="A432" s="2"/>
      <c r="B432" s="2"/>
      <c r="C432" s="2"/>
      <c r="E432" s="4" t="s">
        <v>308</v>
      </c>
      <c r="Z432" s="1332" t="s">
        <v>669</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3" customHeight="1"/>
    <row r="436" spans="1:55" ht="13" customHeight="1">
      <c r="A436" s="2" t="s">
        <v>467</v>
      </c>
      <c r="B436" s="2"/>
      <c r="C436" s="2"/>
      <c r="D436" s="2" t="s">
        <v>764</v>
      </c>
      <c r="AF436" s="48"/>
    </row>
    <row r="437" spans="1:55" ht="13"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3"/>
      <c r="AG437" s="1825">
        <v>75</v>
      </c>
      <c r="AH437" s="1825"/>
      <c r="AI437" s="1825"/>
      <c r="AJ437" s="1825"/>
    </row>
    <row r="438" spans="1:55" ht="13" customHeight="1">
      <c r="D438" s="1742" t="s">
        <v>1221</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9">
        <v>0</v>
      </c>
      <c r="AH438" s="1612"/>
      <c r="AI438" s="1612"/>
      <c r="AJ438" s="1612"/>
    </row>
    <row r="439" spans="1:55" ht="13" customHeight="1">
      <c r="D439" s="1742" t="s">
        <v>1030</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5">
        <v>74</v>
      </c>
      <c r="AH439" s="1825"/>
      <c r="AI439" s="1825"/>
      <c r="AJ439" s="1825"/>
    </row>
    <row r="440" spans="1:55" ht="13" customHeight="1">
      <c r="D440" s="1742" t="s">
        <v>1031</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5">
        <v>74</v>
      </c>
      <c r="AH440" s="1825"/>
      <c r="AI440" s="1825"/>
      <c r="AJ440" s="1825"/>
    </row>
    <row r="441" spans="1:55" ht="13" customHeight="1">
      <c r="D441" s="1742" t="s">
        <v>1033</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9">
        <f>IF(ISERROR(AG440/AG439),0,AG440/AG439)</f>
        <v>1</v>
      </c>
      <c r="AH441" s="1809"/>
      <c r="AI441" s="1809"/>
      <c r="AJ441" s="1809"/>
    </row>
    <row r="442" spans="1:55" ht="13" customHeight="1">
      <c r="D442" s="1742" t="s">
        <v>1032</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43290</v>
      </c>
      <c r="AH442" s="1695"/>
      <c r="AI442" s="1695"/>
      <c r="AJ442" s="1695"/>
    </row>
    <row r="443" spans="1:55" ht="13" customHeight="1">
      <c r="D443" s="1742" t="s">
        <v>1034</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43290</v>
      </c>
      <c r="AH443" s="1695"/>
      <c r="AI443" s="1695"/>
      <c r="AJ443" s="1695"/>
    </row>
    <row r="444" spans="1:55" ht="13" customHeight="1">
      <c r="D444" s="1742" t="s">
        <v>1035</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9">
        <f>IF(ISERROR(AG443/AG442),0,AG443/AG442)</f>
        <v>1</v>
      </c>
      <c r="AH444" s="1809"/>
      <c r="AI444" s="1809"/>
      <c r="AJ444" s="1809"/>
    </row>
    <row r="445" spans="1:55" ht="13" customHeight="1">
      <c r="D445" s="1742" t="s">
        <v>1036</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9">
        <f>MIN(IF(AG441&gt;AG444,AG444,AG441),1)</f>
        <v>1</v>
      </c>
      <c r="AH445" s="1809"/>
      <c r="AI445" s="1809"/>
      <c r="AJ445" s="1809"/>
    </row>
    <row r="446" spans="1:55" ht="13" customHeight="1">
      <c r="D446" s="1742" t="s">
        <v>2086</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3"/>
      <c r="AG446" s="1695">
        <v>1368</v>
      </c>
      <c r="AH446" s="1695"/>
      <c r="AI446" s="1695"/>
      <c r="AJ446" s="1695"/>
      <c r="AZ446" s="34"/>
      <c r="BA446" s="34"/>
      <c r="BB446" s="34"/>
      <c r="BC446" s="34"/>
    </row>
    <row r="447" spans="1:55" ht="13"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3"/>
      <c r="AG447" s="1695">
        <v>0</v>
      </c>
      <c r="AH447" s="1695"/>
      <c r="AI447" s="1695"/>
      <c r="AJ447" s="1695"/>
      <c r="AZ447" s="3"/>
      <c r="BA447" s="3"/>
      <c r="BB447" s="3"/>
      <c r="BC447" s="3"/>
    </row>
    <row r="448" spans="1:55" ht="13" customHeight="1">
      <c r="D448" s="1742" t="s">
        <v>1204</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3"/>
      <c r="AG448" s="1695">
        <v>16890</v>
      </c>
      <c r="AH448" s="1695"/>
      <c r="AI448" s="1695"/>
      <c r="AJ448" s="1695"/>
      <c r="AZ448" s="3"/>
      <c r="BA448" s="3"/>
      <c r="BB448" s="3"/>
      <c r="BC448" s="3"/>
    </row>
    <row r="449" spans="1:55" ht="13" customHeight="1">
      <c r="D449" s="1742" t="s">
        <v>1037</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3"/>
      <c r="AG449" s="1695">
        <v>0</v>
      </c>
      <c r="AH449" s="1695"/>
      <c r="AI449" s="1695"/>
      <c r="AJ449" s="1695"/>
      <c r="BB449" s="3"/>
      <c r="BC449" s="3"/>
    </row>
    <row r="450" spans="1:55" ht="13" customHeight="1">
      <c r="D450" s="1768" t="s">
        <v>1038</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9">
        <f>AG442+AG446+AG448+AG449</f>
        <v>61548</v>
      </c>
      <c r="AH450" s="1849"/>
      <c r="AI450" s="1849"/>
      <c r="AJ450" s="1849"/>
      <c r="AZ450" s="3"/>
      <c r="BA450" s="3"/>
      <c r="BB450" s="3"/>
      <c r="BC450" s="3"/>
    </row>
    <row r="451" spans="1:55" ht="13" customHeight="1">
      <c r="D451" s="1745" t="s">
        <v>1205</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482636.92</v>
      </c>
      <c r="AD454" s="1817"/>
      <c r="AE454" s="1817"/>
      <c r="AF454" s="1817"/>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482636.92</v>
      </c>
      <c r="AD455" s="1817"/>
      <c r="AE455" s="1817"/>
      <c r="AF455" s="1817"/>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434169.66666666669</v>
      </c>
      <c r="AD456" s="1817"/>
      <c r="AE456" s="1817"/>
      <c r="AF456" s="1817"/>
      <c r="AG456" s="177"/>
      <c r="AH456" s="177"/>
      <c r="AI456" s="177"/>
      <c r="AJ456" s="183"/>
      <c r="AZ456" s="3"/>
      <c r="BA456" s="3"/>
      <c r="BB456" s="3"/>
      <c r="BC456" s="3"/>
    </row>
    <row r="457" spans="1:55" ht="13"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2098</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2" t="s">
        <v>1011</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2189</v>
      </c>
      <c r="E472" s="1853"/>
      <c r="F472" s="1853"/>
      <c r="G472" s="1853"/>
      <c r="H472" s="1853"/>
      <c r="I472" s="1853"/>
      <c r="J472" s="1853"/>
      <c r="K472" s="1853"/>
      <c r="L472" s="1853"/>
      <c r="M472" s="1853"/>
      <c r="N472" s="1853"/>
      <c r="O472" s="1853"/>
      <c r="P472" s="1853"/>
      <c r="Q472" s="1853"/>
      <c r="R472" s="1853"/>
      <c r="S472" s="1853"/>
      <c r="T472" s="1853"/>
      <c r="U472" s="1853"/>
      <c r="V472" s="1854"/>
      <c r="W472" s="1664">
        <v>0</v>
      </c>
      <c r="X472" s="1665"/>
      <c r="Y472" s="166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1653</v>
      </c>
      <c r="E473" s="1753"/>
      <c r="F473" s="1753"/>
      <c r="G473" s="1753"/>
      <c r="H473" s="1753"/>
      <c r="I473" s="1753"/>
      <c r="J473" s="1753"/>
      <c r="K473" s="1753"/>
      <c r="L473" s="1753"/>
      <c r="M473" s="1753"/>
      <c r="N473" s="1753"/>
      <c r="O473" s="1753"/>
      <c r="P473" s="1753"/>
      <c r="Q473" s="1753"/>
      <c r="R473" s="1753"/>
      <c r="S473" s="1753"/>
      <c r="T473" s="1753"/>
      <c r="U473" s="1753"/>
      <c r="V473" s="1754"/>
      <c r="W473" s="1664">
        <v>8</v>
      </c>
      <c r="X473" s="1665"/>
      <c r="Y473" s="166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394</v>
      </c>
      <c r="C486" s="5"/>
      <c r="D486" s="5"/>
      <c r="E486" s="5"/>
      <c r="F486" s="5"/>
      <c r="G486" s="5"/>
      <c r="H486" s="5"/>
      <c r="I486" s="5"/>
      <c r="J486" s="5"/>
      <c r="K486" s="5"/>
      <c r="L486" s="5"/>
      <c r="M486" s="5"/>
      <c r="N486" s="5"/>
      <c r="O486" s="5"/>
      <c r="P486" s="5"/>
      <c r="Q486" s="1576" t="s">
        <v>2658</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3" customHeight="1">
      <c r="B487" s="45" t="s">
        <v>395</v>
      </c>
      <c r="C487" s="5"/>
      <c r="D487" s="5"/>
      <c r="E487" s="5"/>
      <c r="F487" s="5"/>
      <c r="G487" s="5"/>
      <c r="H487" s="5"/>
      <c r="I487" s="5"/>
      <c r="J487" s="5"/>
      <c r="K487" s="5"/>
      <c r="L487" s="5"/>
      <c r="M487" s="5"/>
      <c r="N487" s="5"/>
      <c r="O487" s="5"/>
      <c r="P487" s="5"/>
      <c r="Q487" s="1576" t="s">
        <v>2659</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3" customHeight="1">
      <c r="B488" s="45" t="s">
        <v>396</v>
      </c>
      <c r="C488" s="5"/>
      <c r="D488" s="5"/>
      <c r="E488" s="5"/>
      <c r="F488" s="5"/>
      <c r="G488" s="5"/>
      <c r="H488" s="5"/>
      <c r="I488" s="5"/>
      <c r="J488" s="5"/>
      <c r="K488" s="5"/>
      <c r="L488" s="5"/>
      <c r="M488" s="5"/>
      <c r="N488" s="5"/>
      <c r="O488" s="5"/>
      <c r="P488" s="5"/>
      <c r="Q488" s="1576" t="s">
        <v>2660</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3" customHeight="1">
      <c r="B489" s="1837" t="s">
        <v>397</v>
      </c>
      <c r="C489" s="1838"/>
      <c r="D489" s="1838"/>
      <c r="E489" s="1838"/>
      <c r="F489" s="1838"/>
      <c r="G489" s="1838"/>
      <c r="H489" s="1838"/>
      <c r="I489" s="1838"/>
      <c r="J489" s="1838"/>
      <c r="K489" s="1838"/>
      <c r="L489" s="1838"/>
      <c r="M489" s="1838"/>
      <c r="N489" s="1838"/>
      <c r="O489" s="1838"/>
      <c r="P489" s="1839"/>
      <c r="Q489" s="1843" t="s">
        <v>669</v>
      </c>
      <c r="R489" s="1844"/>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3" customHeight="1">
      <c r="B490" s="1840"/>
      <c r="C490" s="1841"/>
      <c r="D490" s="1841"/>
      <c r="E490" s="1841"/>
      <c r="F490" s="1841"/>
      <c r="G490" s="1841"/>
      <c r="H490" s="1841"/>
      <c r="I490" s="1841"/>
      <c r="J490" s="1841"/>
      <c r="K490" s="1841"/>
      <c r="L490" s="1841"/>
      <c r="M490" s="1841"/>
      <c r="N490" s="1841"/>
      <c r="O490" s="1841"/>
      <c r="P490" s="1842"/>
      <c r="Q490" s="1845"/>
      <c r="R490" s="1846"/>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850" t="s">
        <v>669</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3" customHeight="1">
      <c r="B492" s="45" t="s">
        <v>398</v>
      </c>
      <c r="C492" s="5"/>
      <c r="D492" s="5"/>
      <c r="E492" s="5"/>
      <c r="F492" s="5"/>
      <c r="G492" s="5"/>
      <c r="H492" s="5"/>
      <c r="I492" s="5"/>
      <c r="J492" s="5"/>
      <c r="K492" s="5"/>
      <c r="L492" s="5"/>
      <c r="M492" s="5"/>
      <c r="N492" s="5"/>
      <c r="O492" s="5"/>
      <c r="P492" s="5"/>
      <c r="Q492" s="1576" t="s">
        <v>2661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3" customHeight="1">
      <c r="B493" s="45" t="s">
        <v>399</v>
      </c>
      <c r="C493" s="5"/>
      <c r="D493" s="5"/>
      <c r="E493" s="5"/>
      <c r="F493" s="5"/>
      <c r="G493" s="5"/>
      <c r="H493" s="5"/>
      <c r="I493" s="5"/>
      <c r="J493" s="5"/>
      <c r="K493" s="5"/>
      <c r="L493" s="5"/>
      <c r="M493" s="5"/>
      <c r="N493" s="5"/>
      <c r="O493" s="5"/>
      <c r="P493" s="5"/>
      <c r="Q493" s="1576" t="s">
        <v>2662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76">
        <v>31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3" customHeight="1">
      <c r="B495" s="121" t="s">
        <v>1668</v>
      </c>
      <c r="C495" s="5"/>
      <c r="D495" s="5"/>
      <c r="E495" s="5"/>
      <c r="F495" s="5"/>
      <c r="G495" s="5"/>
      <c r="H495" s="5"/>
      <c r="I495" s="5"/>
      <c r="J495" s="5"/>
      <c r="K495" s="5"/>
      <c r="L495" s="5"/>
      <c r="M495" s="1445"/>
      <c r="N495" s="1446"/>
      <c r="O495" s="1446"/>
      <c r="P495" s="1447"/>
      <c r="Q495" s="121" t="s">
        <v>1669</v>
      </c>
      <c r="R495" s="5"/>
      <c r="S495" s="5"/>
      <c r="T495" s="5"/>
      <c r="U495" s="5"/>
      <c r="V495" s="5"/>
      <c r="W495" s="5"/>
      <c r="X495" s="5"/>
      <c r="Y495" s="5"/>
      <c r="Z495" s="5"/>
      <c r="AA495" s="5"/>
      <c r="AB495" s="5"/>
      <c r="AC495" s="5"/>
      <c r="AD495" s="5"/>
      <c r="AE495" s="5"/>
      <c r="AF495" s="5"/>
      <c r="AG495" s="5"/>
      <c r="AH495" s="1445">
        <v>31</v>
      </c>
      <c r="AI495" s="1446"/>
      <c r="AJ495" s="1446"/>
      <c r="AK495" s="1447"/>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t="s">
        <v>591</v>
      </c>
      <c r="AD501" s="1662"/>
      <c r="AE501" s="1662"/>
      <c r="AF501" s="1662"/>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11</v>
      </c>
      <c r="AD502" s="1662"/>
      <c r="AE502" s="1662"/>
      <c r="AF502" s="1662"/>
      <c r="AG502" s="38" t="s">
        <v>403</v>
      </c>
      <c r="AH502" s="1403">
        <v>2025</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591</v>
      </c>
      <c r="AD503" s="1662"/>
      <c r="AE503" s="1662"/>
      <c r="AF503" s="1662"/>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2"/>
      <c r="C504" s="1432"/>
      <c r="D504" s="1432"/>
      <c r="E504" s="1432"/>
      <c r="F504" s="1432"/>
      <c r="G504" s="1432"/>
      <c r="H504" s="1433"/>
      <c r="I504" t="s">
        <v>410</v>
      </c>
      <c r="AC504" s="1661" t="s">
        <v>591</v>
      </c>
      <c r="AD504" s="1662"/>
      <c r="AE504" s="1662"/>
      <c r="AF504" s="1662"/>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2"/>
      <c r="C505" s="1432"/>
      <c r="D505" s="1432"/>
      <c r="E505" s="1432"/>
      <c r="F505" s="1432"/>
      <c r="G505" s="1432"/>
      <c r="H505" s="1433"/>
      <c r="I505" t="s">
        <v>411</v>
      </c>
      <c r="AC505" s="1661" t="s">
        <v>591</v>
      </c>
      <c r="AD505" s="1662"/>
      <c r="AE505" s="1662"/>
      <c r="AF505" s="1662"/>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3" customHeight="1">
      <c r="B506" s="1672"/>
      <c r="C506" s="1432"/>
      <c r="D506" s="1432"/>
      <c r="E506" s="1432"/>
      <c r="F506" s="1432"/>
      <c r="G506" s="1432"/>
      <c r="H506" s="1433"/>
      <c r="I506" t="s">
        <v>412</v>
      </c>
      <c r="AC506" s="1661" t="s">
        <v>591</v>
      </c>
      <c r="AD506" s="1662"/>
      <c r="AE506" s="1662"/>
      <c r="AF506" s="1662"/>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3" customHeight="1">
      <c r="B507" s="1672"/>
      <c r="C507" s="1432"/>
      <c r="D507" s="1432"/>
      <c r="E507" s="1432"/>
      <c r="F507" s="1432"/>
      <c r="G507" s="1432"/>
      <c r="H507" s="1433"/>
      <c r="I507" s="3" t="s">
        <v>413</v>
      </c>
      <c r="AC507" s="1337">
        <v>4</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2"/>
      <c r="C508" s="1432"/>
      <c r="D508" s="1432"/>
      <c r="E508" s="1432"/>
      <c r="F508" s="1432"/>
      <c r="G508" s="1432"/>
      <c r="H508" s="1433"/>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8"/>
      <c r="AC508" s="1661" t="s">
        <v>591</v>
      </c>
      <c r="AD508" s="1662"/>
      <c r="AE508" s="1662"/>
      <c r="AF508" s="1662"/>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25" t="s">
        <v>669</v>
      </c>
      <c r="AD509" s="1825"/>
      <c r="AE509" s="1825"/>
      <c r="AF509" s="1825"/>
      <c r="AG509" s="13"/>
      <c r="AH509" s="1335"/>
      <c r="AI509" s="1335"/>
      <c r="AJ509" s="1335"/>
      <c r="AK509" s="1670"/>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4">
        <v>0.8</v>
      </c>
      <c r="AD512" s="1835"/>
      <c r="AE512" s="1835"/>
      <c r="AF512" s="1836"/>
      <c r="AG512" s="38"/>
      <c r="AH512" s="1747"/>
      <c r="AI512" s="1747"/>
      <c r="AJ512" s="1747"/>
      <c r="AK512" s="1748"/>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7"/>
      <c r="AZ513" s="3"/>
      <c r="BA513" s="3"/>
      <c r="BB513" s="3"/>
      <c r="BC513" s="3"/>
      <c r="BD513" s="3"/>
      <c r="BE513" s="3"/>
      <c r="BF513" s="3"/>
      <c r="BG513" s="3"/>
      <c r="BH513" s="3"/>
      <c r="BI513" s="3"/>
      <c r="BJ513" s="3"/>
      <c r="BK513" s="3"/>
      <c r="BL513" s="3"/>
      <c r="BM513" s="3"/>
      <c r="BN513" s="3" t="s">
        <v>2103</v>
      </c>
    </row>
    <row r="514" spans="2:66" ht="13"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8</v>
      </c>
      <c r="AD514" s="1662"/>
      <c r="AE514" s="1662"/>
      <c r="AF514" s="1662"/>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2104</v>
      </c>
    </row>
    <row r="515" spans="2:66" ht="13" customHeight="1">
      <c r="B515" s="1672"/>
      <c r="C515" s="1432"/>
      <c r="D515" s="1432"/>
      <c r="E515" s="1432"/>
      <c r="F515" s="1432"/>
      <c r="G515" s="1432"/>
      <c r="H515" s="1433"/>
      <c r="I515" t="s">
        <v>416</v>
      </c>
      <c r="AC515" s="1661">
        <v>8</v>
      </c>
      <c r="AD515" s="1662"/>
      <c r="AE515" s="1662"/>
      <c r="AF515" s="1662"/>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2105</v>
      </c>
    </row>
    <row r="516" spans="2:66" ht="13"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4</v>
      </c>
      <c r="AD516" s="1662"/>
      <c r="AE516" s="1662"/>
      <c r="AF516" s="1662"/>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2106</v>
      </c>
    </row>
    <row r="517" spans="2:66" ht="13"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2107</v>
      </c>
    </row>
    <row r="518" spans="2:66" ht="13" customHeight="1">
      <c r="B518" s="1672"/>
      <c r="C518" s="1432"/>
      <c r="D518" s="1432"/>
      <c r="E518" s="1432"/>
      <c r="F518" s="1432"/>
      <c r="G518" s="1432"/>
      <c r="H518" s="1433"/>
      <c r="I518" t="s">
        <v>416</v>
      </c>
      <c r="AC518" s="1661">
        <v>8</v>
      </c>
      <c r="AD518" s="1662"/>
      <c r="AE518" s="1662"/>
      <c r="AF518" s="1662"/>
      <c r="AG518" s="13" t="s">
        <v>403</v>
      </c>
      <c r="AH518" s="1403">
        <v>2025</v>
      </c>
      <c r="AI518" s="1403"/>
      <c r="AJ518" s="1403"/>
      <c r="AK518" s="1404"/>
      <c r="BB518" s="3"/>
      <c r="BC518" s="3"/>
      <c r="BD518" s="3"/>
      <c r="BE518" s="3"/>
      <c r="BF518" s="3"/>
      <c r="BG518" s="3"/>
      <c r="BH518" s="3"/>
      <c r="BI518" s="3"/>
      <c r="BJ518" s="3"/>
      <c r="BK518" s="3"/>
      <c r="BL518" s="3"/>
      <c r="BM518" s="3"/>
      <c r="BN518" s="3" t="s">
        <v>2108</v>
      </c>
    </row>
    <row r="519" spans="2:66" ht="13"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4</v>
      </c>
      <c r="AD519" s="1662"/>
      <c r="AE519" s="1662"/>
      <c r="AF519" s="1662"/>
      <c r="AG519" s="38" t="s">
        <v>403</v>
      </c>
      <c r="AH519" s="1403">
        <v>2026</v>
      </c>
      <c r="AI519" s="1403"/>
      <c r="AJ519" s="1403"/>
      <c r="AK519" s="1404"/>
      <c r="BB519" s="3"/>
      <c r="BC519" s="3"/>
      <c r="BD519" s="3"/>
      <c r="BE519" s="3"/>
      <c r="BF519" s="3"/>
      <c r="BG519" s="3"/>
      <c r="BH519" s="3"/>
      <c r="BI519" s="3"/>
      <c r="BJ519" s="3"/>
      <c r="BK519" s="3"/>
      <c r="BL519" s="3"/>
      <c r="BM519" s="3"/>
      <c r="BN519" s="3" t="s">
        <v>2109</v>
      </c>
    </row>
    <row r="520" spans="2:66" ht="13" customHeight="1">
      <c r="B520" s="1671" t="s">
        <v>419</v>
      </c>
      <c r="C520" s="1430"/>
      <c r="D520" s="1430"/>
      <c r="E520" s="1430"/>
      <c r="F520" s="1430"/>
      <c r="G520" s="1430"/>
      <c r="H520" s="1431"/>
      <c r="I520" s="41" t="s">
        <v>420</v>
      </c>
      <c r="J520" s="42"/>
      <c r="K520" s="42"/>
      <c r="L520" s="42"/>
      <c r="M520" s="42"/>
      <c r="N520" s="42"/>
      <c r="O520" s="1749"/>
      <c r="P520" s="1750"/>
      <c r="Q520" s="1750"/>
      <c r="R520" s="1750"/>
      <c r="S520" s="1750"/>
      <c r="T520" s="1750"/>
      <c r="U520" s="1750"/>
      <c r="V520" s="1750"/>
      <c r="W520" s="1750"/>
      <c r="X520" s="1750"/>
      <c r="Y520" s="1750"/>
      <c r="Z520" s="1750"/>
      <c r="AA520" s="1750"/>
      <c r="AB520" s="58"/>
      <c r="AC520" s="1337" t="s">
        <v>591</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2110</v>
      </c>
    </row>
    <row r="521" spans="2:66" ht="13" customHeight="1">
      <c r="B521" s="1672"/>
      <c r="C521" s="1432"/>
      <c r="D521" s="1432"/>
      <c r="E521" s="1432"/>
      <c r="F521" s="1432"/>
      <c r="G521" s="1432"/>
      <c r="H521" s="1433"/>
      <c r="I521" s="114" t="s">
        <v>421</v>
      </c>
      <c r="AB521" s="65"/>
      <c r="AC521" s="1661" t="s">
        <v>591</v>
      </c>
      <c r="AD521" s="1662"/>
      <c r="AE521" s="1662"/>
      <c r="AF521" s="1662"/>
      <c r="AG521" s="13" t="s">
        <v>403</v>
      </c>
      <c r="AH521" s="1403"/>
      <c r="AI521" s="1403"/>
      <c r="AJ521" s="1403"/>
      <c r="AK521" s="1404"/>
      <c r="AZ521" s="3"/>
      <c r="BB521" s="3"/>
      <c r="BC521" s="3"/>
      <c r="BD521" s="3"/>
      <c r="BE521" s="3"/>
      <c r="BF521" s="3"/>
      <c r="BG521" s="3"/>
      <c r="BH521" s="3"/>
      <c r="BI521" s="3"/>
      <c r="BJ521" s="3"/>
      <c r="BK521" s="3"/>
      <c r="BL521" s="3"/>
      <c r="BM521" s="3"/>
      <c r="BN521" s="3" t="s">
        <v>2111</v>
      </c>
    </row>
    <row r="522" spans="2:66" ht="13"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591</v>
      </c>
      <c r="AD522" s="1662"/>
      <c r="AE522" s="1662"/>
      <c r="AF522" s="1662"/>
      <c r="AG522" s="38" t="s">
        <v>403</v>
      </c>
      <c r="AH522" s="1403"/>
      <c r="AI522" s="1403"/>
      <c r="AJ522" s="1403"/>
      <c r="AK522" s="1404"/>
      <c r="AZ522" s="3"/>
      <c r="BA522" s="3"/>
      <c r="BB522" s="3"/>
      <c r="BC522" s="3"/>
      <c r="BD522" s="3"/>
      <c r="BE522" s="3"/>
      <c r="BF522" s="3"/>
      <c r="BG522" s="3"/>
      <c r="BH522" s="3"/>
      <c r="BI522" s="3"/>
      <c r="BJ522" s="3"/>
      <c r="BK522" s="3"/>
      <c r="BL522" s="3"/>
      <c r="BM522" s="3"/>
      <c r="BN522" s="3" t="s">
        <v>2112</v>
      </c>
    </row>
    <row r="523" spans="2:66" ht="13" customHeight="1">
      <c r="B523" s="1672"/>
      <c r="C523" s="1432"/>
      <c r="D523" s="1432"/>
      <c r="E523" s="1432"/>
      <c r="F523" s="1432"/>
      <c r="G523" s="1432"/>
      <c r="H523" s="1433"/>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1" t="s">
        <v>591</v>
      </c>
      <c r="AD523" s="1662"/>
      <c r="AE523" s="1662"/>
      <c r="AF523" s="1662"/>
      <c r="AG523" s="13" t="s">
        <v>403</v>
      </c>
      <c r="AH523" s="1759"/>
      <c r="AI523" s="1403"/>
      <c r="AJ523" s="1403"/>
      <c r="AK523" s="1404"/>
      <c r="AZ523" s="3"/>
      <c r="BA523" s="3"/>
      <c r="BB523" s="3"/>
      <c r="BC523" s="3"/>
      <c r="BD523" s="3"/>
      <c r="BE523" s="3"/>
      <c r="BF523" s="3"/>
      <c r="BG523" s="3"/>
      <c r="BH523" s="3"/>
      <c r="BI523" s="3"/>
      <c r="BJ523" s="3"/>
      <c r="BK523" s="3"/>
      <c r="BL523" s="3"/>
      <c r="BM523" s="3"/>
      <c r="BN523" s="3" t="s">
        <v>2113</v>
      </c>
    </row>
    <row r="524" spans="2:66" ht="13" customHeight="1">
      <c r="B524" s="1672"/>
      <c r="C524" s="1432"/>
      <c r="D524" s="1432"/>
      <c r="E524" s="1432"/>
      <c r="F524" s="1432"/>
      <c r="G524" s="1432"/>
      <c r="H524" s="1433"/>
      <c r="I524" t="s">
        <v>421</v>
      </c>
      <c r="AC524" s="1661" t="s">
        <v>591</v>
      </c>
      <c r="AD524" s="1662"/>
      <c r="AE524" s="1662"/>
      <c r="AF524" s="1662"/>
      <c r="AG524" s="13" t="s">
        <v>403</v>
      </c>
      <c r="AH524" s="1403"/>
      <c r="AI524" s="1403"/>
      <c r="AJ524" s="1403"/>
      <c r="AK524" s="1404"/>
      <c r="AZ524" s="3"/>
      <c r="BA524" s="3"/>
      <c r="BB524" s="3"/>
      <c r="BC524" s="3"/>
      <c r="BD524" s="3"/>
      <c r="BE524" s="3"/>
      <c r="BF524" s="3"/>
      <c r="BG524" s="3"/>
      <c r="BH524" s="3"/>
      <c r="BI524" s="3"/>
      <c r="BJ524" s="3"/>
      <c r="BK524" s="3"/>
      <c r="BL524" s="3"/>
      <c r="BM524" s="3"/>
      <c r="BN524" s="3" t="s">
        <v>2114</v>
      </c>
    </row>
    <row r="525" spans="2:66" ht="13"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591</v>
      </c>
      <c r="AD525" s="1662"/>
      <c r="AE525" s="1662"/>
      <c r="AF525" s="1662"/>
      <c r="AG525" s="38" t="s">
        <v>403</v>
      </c>
      <c r="AH525" s="1403"/>
      <c r="AI525" s="1403"/>
      <c r="AJ525" s="1403"/>
      <c r="AK525" s="1404"/>
      <c r="AZ525" s="3"/>
      <c r="BA525" s="3"/>
      <c r="BB525" s="3"/>
      <c r="BC525" s="3"/>
      <c r="BD525" s="3"/>
      <c r="BE525" s="3"/>
      <c r="BF525" s="3"/>
      <c r="BG525" s="3"/>
      <c r="BH525" s="3"/>
      <c r="BI525" s="3"/>
      <c r="BJ525" s="3"/>
      <c r="BK525" s="3"/>
      <c r="BL525" s="3"/>
      <c r="BM525" s="3"/>
      <c r="BN525" s="3" t="s">
        <v>2115</v>
      </c>
    </row>
    <row r="526" spans="2:66" ht="13" customHeight="1">
      <c r="B526" s="1672"/>
      <c r="C526" s="1432"/>
      <c r="D526" s="1432"/>
      <c r="E526" s="1432"/>
      <c r="F526" s="1432"/>
      <c r="G526" s="1432"/>
      <c r="H526" s="1433"/>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1" t="s">
        <v>591</v>
      </c>
      <c r="AD526" s="1662"/>
      <c r="AE526" s="1662"/>
      <c r="AF526" s="1662"/>
      <c r="AG526" s="13" t="s">
        <v>403</v>
      </c>
      <c r="AH526" s="1403"/>
      <c r="AI526" s="1403"/>
      <c r="AJ526" s="1403"/>
      <c r="AK526" s="1404"/>
      <c r="AZ526" s="3"/>
      <c r="BA526" s="3"/>
      <c r="BB526" s="3"/>
      <c r="BC526" s="3"/>
      <c r="BD526" s="3"/>
      <c r="BE526" s="3"/>
      <c r="BF526" s="3"/>
      <c r="BG526" s="3"/>
      <c r="BH526" s="3"/>
      <c r="BI526" s="3"/>
      <c r="BJ526" s="3"/>
      <c r="BK526" s="3"/>
      <c r="BL526" s="3"/>
      <c r="BM526" s="3"/>
      <c r="BN526" s="3" t="s">
        <v>2116</v>
      </c>
    </row>
    <row r="527" spans="2:66" ht="13" customHeight="1">
      <c r="B527" s="1672"/>
      <c r="C527" s="1432"/>
      <c r="D527" s="1432"/>
      <c r="E527" s="1432"/>
      <c r="F527" s="1432"/>
      <c r="G527" s="1432"/>
      <c r="H527" s="1433"/>
      <c r="I527" t="s">
        <v>421</v>
      </c>
      <c r="AC527" s="1661" t="s">
        <v>591</v>
      </c>
      <c r="AD527" s="1662"/>
      <c r="AE527" s="1662"/>
      <c r="AF527" s="1662"/>
      <c r="AG527" s="13" t="s">
        <v>403</v>
      </c>
      <c r="AH527" s="1403"/>
      <c r="AI527" s="1403"/>
      <c r="AJ527" s="1403"/>
      <c r="AK527" s="1404"/>
      <c r="AZ527" s="3"/>
      <c r="BA527" s="3"/>
      <c r="BB527" s="3"/>
      <c r="BC527" s="3"/>
      <c r="BD527" s="3"/>
      <c r="BE527" s="3"/>
      <c r="BF527" s="3"/>
      <c r="BG527" s="3"/>
      <c r="BH527" s="3"/>
      <c r="BI527" s="3"/>
      <c r="BJ527" s="3"/>
      <c r="BK527" s="3"/>
      <c r="BL527" s="3"/>
      <c r="BM527" s="3"/>
      <c r="BN527" s="3" t="s">
        <v>2117</v>
      </c>
    </row>
    <row r="528" spans="2:66" ht="13"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591</v>
      </c>
      <c r="AD528" s="1662"/>
      <c r="AE528" s="1662"/>
      <c r="AF528" s="1662"/>
      <c r="AG528" s="38" t="s">
        <v>403</v>
      </c>
      <c r="AH528" s="1403"/>
      <c r="AI528" s="1403"/>
      <c r="AJ528" s="1403"/>
      <c r="AK528" s="1404"/>
      <c r="AZ528" s="3"/>
      <c r="BA528" s="3"/>
      <c r="BB528" s="3"/>
      <c r="BC528" s="3"/>
      <c r="BD528" s="3"/>
      <c r="BE528" s="3"/>
      <c r="BF528" s="3"/>
      <c r="BG528" s="3"/>
      <c r="BH528" s="3"/>
      <c r="BI528" s="3"/>
      <c r="BJ528" s="3"/>
      <c r="BK528" s="3"/>
      <c r="BL528" s="3"/>
      <c r="BM528" s="3"/>
      <c r="BN528" s="3" t="s">
        <v>2118</v>
      </c>
    </row>
    <row r="529" spans="1:66" ht="13" customHeight="1">
      <c r="B529" s="1672"/>
      <c r="C529" s="1432"/>
      <c r="D529" s="1432"/>
      <c r="E529" s="1432"/>
      <c r="F529" s="1432"/>
      <c r="G529" s="1432"/>
      <c r="H529" s="1433"/>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1" t="s">
        <v>591</v>
      </c>
      <c r="AD529" s="1662"/>
      <c r="AE529" s="1662"/>
      <c r="AF529" s="1662"/>
      <c r="AG529" s="13" t="s">
        <v>403</v>
      </c>
      <c r="AH529" s="1403"/>
      <c r="AI529" s="1403"/>
      <c r="AJ529" s="1403"/>
      <c r="AK529" s="1404"/>
      <c r="AZ529" s="3"/>
      <c r="BA529" s="3"/>
      <c r="BB529" s="3"/>
      <c r="BC529" s="3"/>
      <c r="BD529" s="3"/>
      <c r="BE529" s="3"/>
      <c r="BF529" s="3"/>
      <c r="BG529" s="3"/>
      <c r="BH529" s="3"/>
      <c r="BI529" s="3"/>
      <c r="BJ529" s="3"/>
      <c r="BK529" s="3"/>
      <c r="BL529" s="3"/>
      <c r="BM529" s="3"/>
      <c r="BN529" s="3" t="s">
        <v>2119</v>
      </c>
    </row>
    <row r="530" spans="1:66" ht="13" customHeight="1">
      <c r="B530" s="1672"/>
      <c r="C530" s="1432"/>
      <c r="D530" s="1432"/>
      <c r="E530" s="1432"/>
      <c r="F530" s="1432"/>
      <c r="G530" s="1432"/>
      <c r="H530" s="1433"/>
      <c r="I530" t="s">
        <v>421</v>
      </c>
      <c r="AC530" s="1661" t="s">
        <v>591</v>
      </c>
      <c r="AD530" s="1662"/>
      <c r="AE530" s="1662"/>
      <c r="AF530" s="1662"/>
      <c r="AG530" s="13" t="s">
        <v>403</v>
      </c>
      <c r="AH530" s="1403"/>
      <c r="AI530" s="1403"/>
      <c r="AJ530" s="1403"/>
      <c r="AK530" s="1404"/>
      <c r="AZ530" s="3"/>
      <c r="BA530" s="3"/>
      <c r="BB530" s="3"/>
      <c r="BC530" s="3"/>
      <c r="BD530" s="3"/>
      <c r="BE530" s="3"/>
      <c r="BF530" s="3"/>
      <c r="BG530" s="3"/>
      <c r="BH530" s="3"/>
      <c r="BI530" s="3"/>
      <c r="BJ530" s="3"/>
      <c r="BK530" s="3"/>
      <c r="BL530" s="3"/>
      <c r="BM530" s="3"/>
      <c r="BN530" s="3" t="s">
        <v>2120</v>
      </c>
    </row>
    <row r="531" spans="1:66" ht="13"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591</v>
      </c>
      <c r="AD531" s="1662"/>
      <c r="AE531" s="1662"/>
      <c r="AF531" s="1662"/>
      <c r="AG531" s="38" t="s">
        <v>403</v>
      </c>
      <c r="AH531" s="1403"/>
      <c r="AI531" s="1403"/>
      <c r="AJ531" s="1403"/>
      <c r="AK531" s="1404"/>
      <c r="AZ531" s="3"/>
      <c r="BA531" s="3"/>
      <c r="BB531" s="3"/>
      <c r="BC531" s="3"/>
      <c r="BD531" s="3"/>
      <c r="BE531" s="3"/>
      <c r="BF531" s="3"/>
      <c r="BG531" s="3"/>
      <c r="BH531" s="3"/>
      <c r="BI531" s="3"/>
      <c r="BJ531" s="3"/>
      <c r="BK531" s="3"/>
      <c r="BL531" s="3"/>
      <c r="BM531" s="3"/>
      <c r="BN531" s="3" t="s">
        <v>2121</v>
      </c>
    </row>
    <row r="532" spans="1:66" ht="13" customHeight="1">
      <c r="B532" s="1672"/>
      <c r="C532" s="1432"/>
      <c r="D532" s="1432"/>
      <c r="E532" s="1432"/>
      <c r="F532" s="1432"/>
      <c r="G532" s="1432"/>
      <c r="H532" s="1433"/>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1" t="s">
        <v>591</v>
      </c>
      <c r="AD532" s="1662"/>
      <c r="AE532" s="1662"/>
      <c r="AF532" s="1662"/>
      <c r="AG532" s="13" t="s">
        <v>403</v>
      </c>
      <c r="AH532" s="1403"/>
      <c r="AI532" s="1403"/>
      <c r="AJ532" s="1403"/>
      <c r="AK532" s="1404"/>
      <c r="AZ532" s="3"/>
      <c r="BA532" s="3"/>
      <c r="BB532" s="3"/>
      <c r="BC532" s="3"/>
      <c r="BD532" s="3"/>
      <c r="BE532" s="3"/>
      <c r="BF532" s="3"/>
      <c r="BG532" s="3"/>
      <c r="BH532" s="3"/>
      <c r="BI532" s="3"/>
      <c r="BJ532" s="3"/>
      <c r="BK532" s="3"/>
      <c r="BL532" s="3"/>
      <c r="BM532" s="3"/>
      <c r="BN532" s="3" t="s">
        <v>2122</v>
      </c>
    </row>
    <row r="533" spans="1:66" ht="13" customHeight="1">
      <c r="B533" s="1672"/>
      <c r="C533" s="1432"/>
      <c r="D533" s="1432"/>
      <c r="E533" s="1432"/>
      <c r="F533" s="1432"/>
      <c r="G533" s="1432"/>
      <c r="H533" s="1433"/>
      <c r="I533" t="s">
        <v>421</v>
      </c>
      <c r="AC533" s="1661" t="s">
        <v>591</v>
      </c>
      <c r="AD533" s="1662"/>
      <c r="AE533" s="1662"/>
      <c r="AF533" s="1662"/>
      <c r="AG533" s="38" t="s">
        <v>403</v>
      </c>
      <c r="AH533" s="1403"/>
      <c r="AI533" s="1403"/>
      <c r="AJ533" s="1403"/>
      <c r="AK533" s="1404"/>
      <c r="AZ533" s="3"/>
      <c r="BA533" s="3"/>
      <c r="BB533" s="3"/>
      <c r="BC533" s="3"/>
      <c r="BD533" s="3"/>
      <c r="BE533" s="3"/>
      <c r="BF533" s="3"/>
      <c r="BG533" s="3"/>
      <c r="BH533" s="3"/>
      <c r="BI533" s="3"/>
      <c r="BJ533" s="3"/>
      <c r="BK533" s="3"/>
      <c r="BL533" s="3"/>
      <c r="BM533" s="3"/>
      <c r="BN533" s="3" t="s">
        <v>2123</v>
      </c>
    </row>
    <row r="534" spans="1:66" ht="13"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591</v>
      </c>
      <c r="AD534" s="1662"/>
      <c r="AE534" s="1662"/>
      <c r="AF534" s="1662"/>
      <c r="AG534" s="13" t="s">
        <v>403</v>
      </c>
      <c r="AH534" s="1403"/>
      <c r="AI534" s="1403"/>
      <c r="AJ534" s="1403"/>
      <c r="AK534" s="1404"/>
      <c r="AZ534" s="3"/>
      <c r="BA534" s="3"/>
      <c r="BB534" s="3"/>
      <c r="BC534" s="3"/>
      <c r="BD534" s="3"/>
      <c r="BE534" s="3"/>
      <c r="BF534" s="3"/>
      <c r="BG534" s="3"/>
      <c r="BH534" s="3"/>
      <c r="BI534" s="3"/>
      <c r="BJ534" s="3"/>
      <c r="BK534" s="3"/>
      <c r="BL534" s="3"/>
      <c r="BM534" s="3"/>
      <c r="BN534" s="3" t="s">
        <v>2124</v>
      </c>
    </row>
    <row r="535" spans="1:66" ht="13" customHeight="1">
      <c r="B535" s="1672"/>
      <c r="C535" s="1432"/>
      <c r="D535" s="1432"/>
      <c r="E535" s="1432"/>
      <c r="F535" s="1432"/>
      <c r="G535" s="1432"/>
      <c r="H535" s="1433"/>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1" t="s">
        <v>591</v>
      </c>
      <c r="AD535" s="1662"/>
      <c r="AE535" s="1662"/>
      <c r="AF535" s="1662"/>
      <c r="AG535" s="38" t="s">
        <v>403</v>
      </c>
      <c r="AH535" s="1403"/>
      <c r="AI535" s="1403"/>
      <c r="AJ535" s="1403"/>
      <c r="AK535" s="1404"/>
      <c r="AZ535" s="3"/>
      <c r="BA535" s="3"/>
      <c r="BB535" s="3"/>
      <c r="BC535" s="3"/>
      <c r="BD535" s="3"/>
      <c r="BE535" s="3"/>
      <c r="BF535" s="3"/>
      <c r="BG535" s="3"/>
      <c r="BH535" s="3"/>
      <c r="BI535" s="3"/>
      <c r="BJ535" s="3"/>
      <c r="BK535" s="3"/>
      <c r="BL535" s="3"/>
      <c r="BM535" s="3"/>
      <c r="BN535" s="3" t="s">
        <v>2125</v>
      </c>
    </row>
    <row r="536" spans="1:66" ht="13" customHeight="1">
      <c r="B536" s="1672"/>
      <c r="C536" s="1432"/>
      <c r="D536" s="1432"/>
      <c r="E536" s="1432"/>
      <c r="F536" s="1432"/>
      <c r="G536" s="1432"/>
      <c r="H536" s="1433"/>
      <c r="I536" t="s">
        <v>421</v>
      </c>
      <c r="AC536" s="1661" t="s">
        <v>591</v>
      </c>
      <c r="AD536" s="1662"/>
      <c r="AE536" s="1662"/>
      <c r="AF536" s="1662"/>
      <c r="AG536" s="13" t="s">
        <v>403</v>
      </c>
      <c r="AH536" s="1403"/>
      <c r="AI536" s="1403"/>
      <c r="AJ536" s="1403"/>
      <c r="AK536" s="1404"/>
      <c r="AZ536" s="3"/>
      <c r="BA536" s="3"/>
      <c r="BB536" s="3"/>
      <c r="BC536" s="3"/>
      <c r="BD536" s="3"/>
      <c r="BE536" s="3"/>
      <c r="BF536" s="3"/>
      <c r="BG536" s="3"/>
      <c r="BH536" s="3"/>
      <c r="BI536" s="3"/>
      <c r="BJ536" s="3"/>
      <c r="BK536" s="3"/>
      <c r="BL536" s="3"/>
      <c r="BM536" s="3"/>
      <c r="BN536" s="3" t="s">
        <v>2126</v>
      </c>
    </row>
    <row r="537" spans="1:66" ht="13"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591</v>
      </c>
      <c r="AD537" s="1662"/>
      <c r="AE537" s="1662"/>
      <c r="AF537" s="1662"/>
      <c r="AG537" s="38" t="s">
        <v>403</v>
      </c>
      <c r="AH537" s="1403"/>
      <c r="AI537" s="1403"/>
      <c r="AJ537" s="1403"/>
      <c r="AK537" s="1404"/>
      <c r="AZ537" s="3"/>
      <c r="BA537" s="3"/>
      <c r="BB537" s="3"/>
      <c r="BC537" s="3"/>
      <c r="BD537" s="3"/>
      <c r="BE537" s="3"/>
      <c r="BF537" s="3"/>
      <c r="BG537" s="3"/>
      <c r="BH537" s="3"/>
      <c r="BI537" s="3"/>
      <c r="BJ537" s="3"/>
      <c r="BK537" s="3"/>
      <c r="BL537" s="3"/>
      <c r="BM537" s="3"/>
      <c r="BN537" s="3" t="s">
        <v>2127</v>
      </c>
    </row>
    <row r="538" spans="1:66" ht="13" customHeight="1">
      <c r="B538" s="1672"/>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1">
        <v>4</v>
      </c>
      <c r="AD538" s="1662"/>
      <c r="AE538" s="1662"/>
      <c r="AF538" s="1662"/>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2"/>
      <c r="C539" s="1432"/>
      <c r="D539" s="1432"/>
      <c r="E539" s="1432"/>
      <c r="F539" s="1432"/>
      <c r="G539" s="1432"/>
      <c r="H539" s="1433"/>
      <c r="I539" t="s">
        <v>563</v>
      </c>
      <c r="AC539" s="1661">
        <v>4</v>
      </c>
      <c r="AD539" s="1662"/>
      <c r="AE539" s="1662"/>
      <c r="AF539" s="1662"/>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2"/>
      <c r="C540" s="1432"/>
      <c r="D540" s="1432"/>
      <c r="E540" s="1432"/>
      <c r="F540" s="1432"/>
      <c r="G540" s="1432"/>
      <c r="H540" s="1433"/>
      <c r="I540" t="s">
        <v>564</v>
      </c>
      <c r="AC540" s="1661">
        <v>12</v>
      </c>
      <c r="AD540" s="1662"/>
      <c r="AE540" s="1662"/>
      <c r="AF540" s="1662"/>
      <c r="AG540" s="38" t="s">
        <v>403</v>
      </c>
      <c r="AH540" s="1403">
        <v>2026</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2"/>
      <c r="C541" s="1432"/>
      <c r="D541" s="1432"/>
      <c r="E541" s="1432"/>
      <c r="F541" s="1432"/>
      <c r="G541" s="1432"/>
      <c r="H541" s="1433"/>
      <c r="I541" t="s">
        <v>565</v>
      </c>
      <c r="AC541" s="1661">
        <v>12</v>
      </c>
      <c r="AD541" s="1662"/>
      <c r="AE541" s="1662"/>
      <c r="AF541" s="1662"/>
      <c r="AG541" s="38" t="s">
        <v>403</v>
      </c>
      <c r="AH541" s="1403">
        <v>2026</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3"/>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1">
        <v>12</v>
      </c>
      <c r="AD542" s="1662"/>
      <c r="AE542" s="1662"/>
      <c r="AF542" s="1662"/>
      <c r="AG542" s="38" t="s">
        <v>403</v>
      </c>
      <c r="AH542" s="1403">
        <v>2026</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1" t="s">
        <v>2101</v>
      </c>
      <c r="C551" s="1430"/>
      <c r="D551" s="1430"/>
      <c r="E551" s="1430"/>
      <c r="F551" s="1430"/>
      <c r="G551" s="1430"/>
      <c r="H551" s="1430"/>
      <c r="I551" s="1430"/>
      <c r="J551" s="1430"/>
      <c r="K551" s="1430"/>
      <c r="L551" s="1431"/>
      <c r="M551" s="1671" t="s">
        <v>2102</v>
      </c>
      <c r="N551" s="1430"/>
      <c r="O551" s="1430"/>
      <c r="P551" s="1431"/>
      <c r="Q551" s="1671" t="s">
        <v>2128</v>
      </c>
      <c r="R551" s="1430"/>
      <c r="S551" s="1431"/>
      <c r="T551" s="1671" t="s">
        <v>2129</v>
      </c>
      <c r="U551" s="1430"/>
      <c r="V551" s="1431"/>
      <c r="W551" s="1671" t="s">
        <v>453</v>
      </c>
      <c r="X551" s="1430"/>
      <c r="Y551" s="1431"/>
      <c r="Z551" s="1671" t="s">
        <v>1850</v>
      </c>
      <c r="AA551" s="1430"/>
      <c r="AB551" s="1430"/>
      <c r="AC551" s="1430"/>
      <c r="AD551" s="1431"/>
      <c r="AE551" s="1671" t="s">
        <v>1675</v>
      </c>
      <c r="AF551" s="1430"/>
      <c r="AG551" s="1430"/>
      <c r="AH551" s="1431"/>
      <c r="AI551" s="1671" t="s">
        <v>1676</v>
      </c>
      <c r="AJ551" s="1430"/>
      <c r="AK551" s="1430"/>
      <c r="AL551" s="1431"/>
      <c r="AM551" s="1671" t="s">
        <v>454</v>
      </c>
      <c r="AN551" s="1430"/>
      <c r="AO551" s="1430"/>
      <c r="AP551" s="1430"/>
      <c r="AQ551" s="1430"/>
      <c r="AR551" s="1430"/>
      <c r="AS551" s="1431"/>
      <c r="BB551" s="3"/>
      <c r="BC551" s="3"/>
      <c r="BD551" s="3"/>
      <c r="BE551" s="3"/>
      <c r="BF551" s="3"/>
      <c r="BG551" s="3"/>
      <c r="BH551" s="3" t="s">
        <v>581</v>
      </c>
      <c r="BI551" s="3" t="str">
        <f>AG657</f>
        <v>Yes</v>
      </c>
    </row>
    <row r="552" spans="1:61" ht="13"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3"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3" customHeight="1">
      <c r="B554" s="51" t="s">
        <v>112</v>
      </c>
      <c r="C554" s="1692" t="s">
        <v>2663</v>
      </c>
      <c r="D554" s="1692"/>
      <c r="E554" s="1692"/>
      <c r="F554" s="1692"/>
      <c r="G554" s="1692"/>
      <c r="H554" s="1692"/>
      <c r="I554" s="1692"/>
      <c r="J554" s="1692"/>
      <c r="K554" s="1692"/>
      <c r="L554" s="1692"/>
      <c r="M554" s="1692" t="s">
        <v>2118</v>
      </c>
      <c r="N554" s="1692"/>
      <c r="O554" s="1692"/>
      <c r="P554" s="1692"/>
      <c r="Q554" s="1452">
        <v>216</v>
      </c>
      <c r="R554" s="1452"/>
      <c r="S554" s="1453"/>
      <c r="T554" s="1451">
        <v>480</v>
      </c>
      <c r="U554" s="1452"/>
      <c r="V554" s="1453"/>
      <c r="W554" s="1454">
        <v>5.5399999999999998E-2</v>
      </c>
      <c r="X554" s="1455"/>
      <c r="Y554" s="1456"/>
      <c r="Z554" s="1693" t="s">
        <v>2664</v>
      </c>
      <c r="AA554" s="1693"/>
      <c r="AB554" s="1693"/>
      <c r="AC554" s="1693"/>
      <c r="AD554" s="1693"/>
      <c r="AE554" s="1674">
        <v>1</v>
      </c>
      <c r="AF554" s="1675"/>
      <c r="AG554" s="1675"/>
      <c r="AH554" s="1676"/>
      <c r="AI554" s="1677">
        <v>553752.31469136011</v>
      </c>
      <c r="AJ554" s="1678"/>
      <c r="AK554" s="1678"/>
      <c r="AL554" s="1679"/>
      <c r="AM554" s="1667">
        <v>8900000</v>
      </c>
      <c r="AN554" s="1668"/>
      <c r="AO554" s="1668"/>
      <c r="AP554" s="1668"/>
      <c r="AQ554" s="1668"/>
      <c r="AR554" s="1668"/>
      <c r="AS554" s="1669"/>
      <c r="AT554" s="1148"/>
      <c r="AU554" s="1147"/>
      <c r="BB554" s="3"/>
      <c r="BC554" s="3"/>
      <c r="BD554" s="3"/>
      <c r="BE554" s="3"/>
      <c r="BF554" s="3"/>
      <c r="BG554" s="3"/>
      <c r="BH554" s="3"/>
      <c r="BI554" s="3"/>
    </row>
    <row r="555" spans="1:61" ht="13" customHeight="1">
      <c r="B555" s="52" t="s">
        <v>113</v>
      </c>
      <c r="C555" s="1680" t="s">
        <v>2663</v>
      </c>
      <c r="D555" s="1680"/>
      <c r="E555" s="1680"/>
      <c r="F555" s="1680"/>
      <c r="G555" s="1680"/>
      <c r="H555" s="1680"/>
      <c r="I555" s="1680"/>
      <c r="J555" s="1680"/>
      <c r="K555" s="1680"/>
      <c r="L555" s="1680"/>
      <c r="M555" s="1692" t="s">
        <v>2119</v>
      </c>
      <c r="N555" s="1692"/>
      <c r="O555" s="1692"/>
      <c r="P555" s="1692"/>
      <c r="Q555" s="1451">
        <v>216</v>
      </c>
      <c r="R555" s="1452"/>
      <c r="S555" s="1453"/>
      <c r="T555" s="1451">
        <v>480</v>
      </c>
      <c r="U555" s="1452"/>
      <c r="V555" s="1453"/>
      <c r="W555" s="1454">
        <v>5.5399999999999998E-2</v>
      </c>
      <c r="X555" s="1455"/>
      <c r="Y555" s="1456"/>
      <c r="Z555" s="1693" t="s">
        <v>2664</v>
      </c>
      <c r="AA555" s="1693"/>
      <c r="AB555" s="1693"/>
      <c r="AC555" s="1693"/>
      <c r="AD555" s="1693"/>
      <c r="AE555" s="1674">
        <v>1</v>
      </c>
      <c r="AF555" s="1675"/>
      <c r="AG555" s="1675"/>
      <c r="AH555" s="1676"/>
      <c r="AI555" s="1677">
        <v>205323.89196421218</v>
      </c>
      <c r="AJ555" s="1678"/>
      <c r="AK555" s="1678"/>
      <c r="AL555" s="1679"/>
      <c r="AM555" s="1667">
        <v>3300000</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3" customHeight="1">
      <c r="B556" s="52" t="s">
        <v>119</v>
      </c>
      <c r="C556" s="1680" t="s">
        <v>2739</v>
      </c>
      <c r="D556" s="1680"/>
      <c r="E556" s="1680"/>
      <c r="F556" s="1680"/>
      <c r="G556" s="1680"/>
      <c r="H556" s="1680"/>
      <c r="I556" s="1680"/>
      <c r="J556" s="1680"/>
      <c r="K556" s="1680"/>
      <c r="L556" s="1680"/>
      <c r="M556" s="1692" t="s">
        <v>2117</v>
      </c>
      <c r="N556" s="1692"/>
      <c r="O556" s="1692"/>
      <c r="P556" s="1692"/>
      <c r="Q556" s="1451">
        <v>216</v>
      </c>
      <c r="R556" s="1452"/>
      <c r="S556" s="1453"/>
      <c r="T556" s="1451">
        <v>480</v>
      </c>
      <c r="U556" s="1452"/>
      <c r="V556" s="1453"/>
      <c r="W556" s="1454">
        <v>5.9399999999999994E-2</v>
      </c>
      <c r="X556" s="1455"/>
      <c r="Y556" s="1456"/>
      <c r="Z556" s="1693" t="s">
        <v>2664</v>
      </c>
      <c r="AA556" s="1693"/>
      <c r="AB556" s="1693"/>
      <c r="AC556" s="1693"/>
      <c r="AD556" s="1693"/>
      <c r="AE556" s="1674">
        <v>2</v>
      </c>
      <c r="AF556" s="1675"/>
      <c r="AG556" s="1675"/>
      <c r="AH556" s="1676"/>
      <c r="AI556" s="1677">
        <v>748715.0553562711</v>
      </c>
      <c r="AJ556" s="1678"/>
      <c r="AK556" s="1678"/>
      <c r="AL556" s="1679"/>
      <c r="AM556" s="1667">
        <v>11426504</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3" customHeight="1">
      <c r="B557" s="52" t="s">
        <v>581</v>
      </c>
      <c r="C557" s="1680" t="s">
        <v>2740</v>
      </c>
      <c r="D557" s="1680"/>
      <c r="E557" s="1680"/>
      <c r="F557" s="1680"/>
      <c r="G557" s="1680"/>
      <c r="H557" s="1680"/>
      <c r="I557" s="1680"/>
      <c r="J557" s="1680"/>
      <c r="K557" s="1680"/>
      <c r="L557" s="1680"/>
      <c r="M557" s="1692" t="s">
        <v>2113</v>
      </c>
      <c r="N557" s="1692"/>
      <c r="O557" s="1692"/>
      <c r="P557" s="1692"/>
      <c r="Q557" s="1451">
        <v>36</v>
      </c>
      <c r="R557" s="1452"/>
      <c r="S557" s="1453"/>
      <c r="T557" s="1451"/>
      <c r="U557" s="1452"/>
      <c r="V557" s="1453"/>
      <c r="W557" s="1454">
        <v>7.0000000000000007E-2</v>
      </c>
      <c r="X557" s="1455"/>
      <c r="Y557" s="1456"/>
      <c r="Z557" s="1693" t="s">
        <v>2664</v>
      </c>
      <c r="AA557" s="1693"/>
      <c r="AB557" s="1693"/>
      <c r="AC557" s="1693"/>
      <c r="AD557" s="1693"/>
      <c r="AE557" s="1674"/>
      <c r="AF557" s="1675"/>
      <c r="AG557" s="1675"/>
      <c r="AH557" s="1676"/>
      <c r="AI557" s="1677"/>
      <c r="AJ557" s="1678"/>
      <c r="AK557" s="1678"/>
      <c r="AL557" s="1679"/>
      <c r="AM557" s="1667">
        <v>8507074</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3" customHeight="1">
      <c r="B558" s="52" t="s">
        <v>763</v>
      </c>
      <c r="C558" s="1680" t="s">
        <v>2665</v>
      </c>
      <c r="D558" s="1680"/>
      <c r="E558" s="1680"/>
      <c r="F558" s="1680"/>
      <c r="G558" s="1680"/>
      <c r="H558" s="1680"/>
      <c r="I558" s="1680"/>
      <c r="J558" s="1680"/>
      <c r="K558" s="1680"/>
      <c r="L558" s="1680"/>
      <c r="M558" s="1692" t="s">
        <v>2109</v>
      </c>
      <c r="N558" s="1692"/>
      <c r="O558" s="1692"/>
      <c r="P558" s="1692"/>
      <c r="Q558" s="1451"/>
      <c r="R558" s="1452"/>
      <c r="S558" s="1453"/>
      <c r="T558" s="1451"/>
      <c r="U558" s="1452"/>
      <c r="V558" s="1453"/>
      <c r="W558" s="1454"/>
      <c r="X558" s="1455"/>
      <c r="Y558" s="1456"/>
      <c r="Z558" s="1693" t="s">
        <v>591</v>
      </c>
      <c r="AA558" s="1693"/>
      <c r="AB558" s="1693"/>
      <c r="AC558" s="1693"/>
      <c r="AD558" s="1693"/>
      <c r="AE558" s="1674"/>
      <c r="AF558" s="1675"/>
      <c r="AG558" s="1675"/>
      <c r="AH558" s="1676"/>
      <c r="AI558" s="1677"/>
      <c r="AJ558" s="1678"/>
      <c r="AK558" s="1678"/>
      <c r="AL558" s="1679"/>
      <c r="AM558" s="1667">
        <v>1802085</v>
      </c>
      <c r="AN558" s="1668"/>
      <c r="AO558" s="1668"/>
      <c r="AP558" s="1668"/>
      <c r="AQ558" s="1668"/>
      <c r="AR558" s="1668"/>
      <c r="AS558" s="1669"/>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680" t="s">
        <v>2721</v>
      </c>
      <c r="D559" s="1680"/>
      <c r="E559" s="1680"/>
      <c r="F559" s="1680"/>
      <c r="G559" s="1680"/>
      <c r="H559" s="1680"/>
      <c r="I559" s="1680"/>
      <c r="J559" s="1680"/>
      <c r="K559" s="1680"/>
      <c r="L559" s="1680"/>
      <c r="M559" s="1692" t="s">
        <v>2108</v>
      </c>
      <c r="N559" s="1692"/>
      <c r="O559" s="1692"/>
      <c r="P559" s="1692"/>
      <c r="Q559" s="1451"/>
      <c r="R559" s="1452"/>
      <c r="S559" s="1453"/>
      <c r="T559" s="1451"/>
      <c r="U559" s="1452"/>
      <c r="V559" s="1453"/>
      <c r="W559" s="1454"/>
      <c r="X559" s="1455"/>
      <c r="Y559" s="1456"/>
      <c r="Z559" s="1693" t="s">
        <v>591</v>
      </c>
      <c r="AA559" s="1693"/>
      <c r="AB559" s="1693"/>
      <c r="AC559" s="1693"/>
      <c r="AD559" s="1693"/>
      <c r="AE559" s="1674"/>
      <c r="AF559" s="1675"/>
      <c r="AG559" s="1675"/>
      <c r="AH559" s="1676"/>
      <c r="AI559" s="1677"/>
      <c r="AJ559" s="1678"/>
      <c r="AK559" s="1678"/>
      <c r="AL559" s="1679"/>
      <c r="AM559" s="1667">
        <v>100</v>
      </c>
      <c r="AN559" s="1668"/>
      <c r="AO559" s="1668"/>
      <c r="AP559" s="1668"/>
      <c r="AQ559" s="1668"/>
      <c r="AR559" s="1668"/>
      <c r="AS559" s="1669"/>
      <c r="AT559" s="1148" t="str">
        <f t="shared" si="0"/>
        <v/>
      </c>
      <c r="AU559" s="1147"/>
      <c r="BB559" s="3"/>
      <c r="BC559" s="3"/>
      <c r="BD559" s="3"/>
      <c r="BE559" s="3"/>
      <c r="BF559" s="3"/>
      <c r="BG559" s="3"/>
      <c r="BH559" s="3" t="s">
        <v>584</v>
      </c>
      <c r="BI559" s="3" t="str">
        <f>AG665</f>
        <v>Yes</v>
      </c>
    </row>
    <row r="560" spans="1:61" ht="13" customHeight="1">
      <c r="B560" s="52" t="s">
        <v>455</v>
      </c>
      <c r="C560" s="1680" t="s">
        <v>2741</v>
      </c>
      <c r="D560" s="1680"/>
      <c r="E560" s="1680"/>
      <c r="F560" s="1680"/>
      <c r="G560" s="1680"/>
      <c r="H560" s="1680"/>
      <c r="I560" s="1680"/>
      <c r="J560" s="1680"/>
      <c r="K560" s="1680"/>
      <c r="L560" s="1680"/>
      <c r="M560" s="1692" t="s">
        <v>2104</v>
      </c>
      <c r="N560" s="1692"/>
      <c r="O560" s="1692"/>
      <c r="P560" s="1692"/>
      <c r="Q560" s="1451"/>
      <c r="R560" s="1452"/>
      <c r="S560" s="1453"/>
      <c r="T560" s="1451"/>
      <c r="U560" s="1452"/>
      <c r="V560" s="1453"/>
      <c r="W560" s="1454"/>
      <c r="X560" s="1455"/>
      <c r="Y560" s="1456"/>
      <c r="Z560" s="1693" t="s">
        <v>1183</v>
      </c>
      <c r="AA560" s="1693"/>
      <c r="AB560" s="1693"/>
      <c r="AC560" s="1693"/>
      <c r="AD560" s="1693"/>
      <c r="AE560" s="1674"/>
      <c r="AF560" s="1675"/>
      <c r="AG560" s="1675"/>
      <c r="AH560" s="1676"/>
      <c r="AI560" s="1677"/>
      <c r="AJ560" s="1678"/>
      <c r="AK560" s="1678"/>
      <c r="AL560" s="1679"/>
      <c r="AM560" s="1667">
        <v>314615</v>
      </c>
      <c r="AN560" s="1668"/>
      <c r="AO560" s="1668"/>
      <c r="AP560" s="1668"/>
      <c r="AQ560" s="1668"/>
      <c r="AR560" s="1668"/>
      <c r="AS560" s="1669"/>
      <c r="AT560" s="1148" t="str">
        <f t="shared" si="0"/>
        <v/>
      </c>
      <c r="AU560" s="1147"/>
      <c r="BB560" s="3"/>
      <c r="BC560" s="3"/>
      <c r="BD560" s="3"/>
      <c r="BE560" s="3"/>
      <c r="BF560" s="3"/>
      <c r="BG560" s="3"/>
      <c r="BH560" s="3"/>
      <c r="BI560" s="3"/>
    </row>
    <row r="561" spans="1:61" ht="13" customHeight="1">
      <c r="B561" s="52" t="s">
        <v>456</v>
      </c>
      <c r="C561" s="1680" t="s">
        <v>2737</v>
      </c>
      <c r="D561" s="1680"/>
      <c r="E561" s="1680"/>
      <c r="F561" s="1680"/>
      <c r="G561" s="1680"/>
      <c r="H561" s="1680"/>
      <c r="I561" s="1680"/>
      <c r="J561" s="1680"/>
      <c r="K561" s="1680"/>
      <c r="L561" s="1680"/>
      <c r="M561" s="1692" t="s">
        <v>2105</v>
      </c>
      <c r="N561" s="1692"/>
      <c r="O561" s="1692"/>
      <c r="P561" s="1692"/>
      <c r="Q561" s="1451"/>
      <c r="R561" s="1452"/>
      <c r="S561" s="1453"/>
      <c r="T561" s="1451"/>
      <c r="U561" s="1452"/>
      <c r="V561" s="1453"/>
      <c r="W561" s="1454"/>
      <c r="X561" s="1455"/>
      <c r="Y561" s="1456"/>
      <c r="Z561" s="1693" t="s">
        <v>1183</v>
      </c>
      <c r="AA561" s="1693"/>
      <c r="AB561" s="1693"/>
      <c r="AC561" s="1693"/>
      <c r="AD561" s="1693"/>
      <c r="AE561" s="1674"/>
      <c r="AF561" s="1675"/>
      <c r="AG561" s="1675"/>
      <c r="AH561" s="1676"/>
      <c r="AI561" s="1677"/>
      <c r="AJ561" s="1678"/>
      <c r="AK561" s="1678"/>
      <c r="AL561" s="1679"/>
      <c r="AM561" s="1667">
        <v>1853502</v>
      </c>
      <c r="AN561" s="1668"/>
      <c r="AO561" s="1668"/>
      <c r="AP561" s="1668"/>
      <c r="AQ561" s="1668"/>
      <c r="AR561" s="1668"/>
      <c r="AS561" s="1669"/>
      <c r="AT561" s="1148" t="str">
        <f t="shared" si="0"/>
        <v/>
      </c>
      <c r="AU561" s="1147"/>
      <c r="BB561" s="3"/>
      <c r="BC561" s="3"/>
      <c r="BD561" s="3"/>
      <c r="BE561" s="3"/>
      <c r="BF561" s="3"/>
      <c r="BG561" s="3"/>
      <c r="BH561" s="3"/>
      <c r="BI561" s="3"/>
    </row>
    <row r="562" spans="1:61" ht="13" customHeight="1">
      <c r="B562" s="52" t="s">
        <v>461</v>
      </c>
      <c r="C562" s="1680" t="s">
        <v>2728</v>
      </c>
      <c r="D562" s="1680"/>
      <c r="E562" s="1680"/>
      <c r="F562" s="1680"/>
      <c r="G562" s="1680"/>
      <c r="H562" s="1680"/>
      <c r="I562" s="1680"/>
      <c r="J562" s="1680"/>
      <c r="K562" s="1680"/>
      <c r="L562" s="1680"/>
      <c r="M562" s="1692" t="s">
        <v>2121</v>
      </c>
      <c r="N562" s="1692"/>
      <c r="O562" s="1692"/>
      <c r="P562" s="1692"/>
      <c r="Q562" s="1451"/>
      <c r="R562" s="1452"/>
      <c r="S562" s="1453"/>
      <c r="T562" s="1451"/>
      <c r="U562" s="1452"/>
      <c r="V562" s="1453"/>
      <c r="W562" s="1454"/>
      <c r="X562" s="1455"/>
      <c r="Y562" s="1456"/>
      <c r="Z562" s="1693" t="s">
        <v>1183</v>
      </c>
      <c r="AA562" s="1693"/>
      <c r="AB562" s="1693"/>
      <c r="AC562" s="1693"/>
      <c r="AD562" s="1693"/>
      <c r="AE562" s="1674"/>
      <c r="AF562" s="1675"/>
      <c r="AG562" s="1675"/>
      <c r="AH562" s="1676"/>
      <c r="AI562" s="1677"/>
      <c r="AJ562" s="1678"/>
      <c r="AK562" s="1678"/>
      <c r="AL562" s="1679"/>
      <c r="AM562" s="1667">
        <v>93889</v>
      </c>
      <c r="AN562" s="1668"/>
      <c r="AO562" s="1668"/>
      <c r="AP562" s="1668"/>
      <c r="AQ562" s="1668"/>
      <c r="AR562" s="1668"/>
      <c r="AS562" s="1669"/>
      <c r="AT562" s="1148" t="str">
        <f t="shared" si="0"/>
        <v/>
      </c>
      <c r="AU562" s="1147"/>
      <c r="BB562" s="3"/>
      <c r="BC562" s="3"/>
      <c r="BD562" s="3"/>
      <c r="BE562" s="3"/>
      <c r="BF562" s="3"/>
      <c r="BG562" s="3"/>
      <c r="BH562" s="3"/>
      <c r="BI562" s="3"/>
    </row>
    <row r="563" spans="1:61" ht="13" customHeight="1">
      <c r="B563" s="52" t="s">
        <v>646</v>
      </c>
      <c r="C563" s="1680"/>
      <c r="D563" s="1680"/>
      <c r="E563" s="1680"/>
      <c r="F563" s="1680"/>
      <c r="G563" s="1680"/>
      <c r="H563" s="1680"/>
      <c r="I563" s="1680"/>
      <c r="J563" s="1680"/>
      <c r="K563" s="1680"/>
      <c r="L563" s="1680"/>
      <c r="M563" s="1692" t="s">
        <v>1183</v>
      </c>
      <c r="N563" s="1692"/>
      <c r="O563" s="1692"/>
      <c r="P563" s="1692"/>
      <c r="Q563" s="1451"/>
      <c r="R563" s="1452"/>
      <c r="S563" s="1453"/>
      <c r="T563" s="1451"/>
      <c r="U563" s="1452"/>
      <c r="V563" s="1453"/>
      <c r="W563" s="1454"/>
      <c r="X563" s="1455"/>
      <c r="Y563" s="1456"/>
      <c r="Z563" s="1693" t="s">
        <v>1183</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3" customHeight="1">
      <c r="B564" s="52" t="s">
        <v>362</v>
      </c>
      <c r="C564" s="1680"/>
      <c r="D564" s="1680"/>
      <c r="E564" s="1680"/>
      <c r="F564" s="1680"/>
      <c r="G564" s="1680"/>
      <c r="H564" s="1680"/>
      <c r="I564" s="1680"/>
      <c r="J564" s="1680"/>
      <c r="K564" s="1680"/>
      <c r="L564" s="1680"/>
      <c r="M564" s="1692" t="s">
        <v>1183</v>
      </c>
      <c r="N564" s="1692"/>
      <c r="O564" s="1692"/>
      <c r="P564" s="1692"/>
      <c r="Q564" s="1451"/>
      <c r="R564" s="1452"/>
      <c r="S564" s="1453"/>
      <c r="T564" s="1451"/>
      <c r="U564" s="1452"/>
      <c r="V564" s="1453"/>
      <c r="W564" s="1454"/>
      <c r="X564" s="1455"/>
      <c r="Y564" s="1456"/>
      <c r="Z564" s="1693" t="s">
        <v>1183</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3" customHeight="1">
      <c r="B565" s="52" t="s">
        <v>363</v>
      </c>
      <c r="C565" s="1680"/>
      <c r="D565" s="1680"/>
      <c r="E565" s="1680"/>
      <c r="F565" s="1680"/>
      <c r="G565" s="1680"/>
      <c r="H565" s="1680"/>
      <c r="I565" s="1680"/>
      <c r="J565" s="1680"/>
      <c r="K565" s="1680"/>
      <c r="L565" s="1680"/>
      <c r="M565" s="1692" t="s">
        <v>1183</v>
      </c>
      <c r="N565" s="1692"/>
      <c r="O565" s="1692"/>
      <c r="P565" s="1692"/>
      <c r="Q565" s="1451"/>
      <c r="R565" s="1452"/>
      <c r="S565" s="1453"/>
      <c r="T565" s="1451"/>
      <c r="U565" s="1452"/>
      <c r="V565" s="1453"/>
      <c r="W565" s="1454"/>
      <c r="X565" s="1455"/>
      <c r="Y565" s="1456"/>
      <c r="Z565" s="1693" t="s">
        <v>1183</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3"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36197769</v>
      </c>
      <c r="AN566" s="1615"/>
      <c r="AO566" s="1615"/>
      <c r="AP566" s="1615"/>
      <c r="AQ566" s="1615"/>
      <c r="AR566" s="1615"/>
      <c r="AS566" s="1616"/>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8" t="str">
        <f>C554</f>
        <v>Fannie Mae / Berkadia</v>
      </c>
      <c r="H568" s="1358"/>
      <c r="I568" s="1358"/>
      <c r="J568" s="1358"/>
      <c r="K568" s="1358"/>
      <c r="L568" s="1358"/>
      <c r="M568" s="1358"/>
      <c r="N568" s="1358"/>
      <c r="O568" s="1358"/>
      <c r="P568" s="1358"/>
      <c r="Q568" s="1358"/>
      <c r="R568" s="1358"/>
      <c r="S568" s="8"/>
      <c r="T568" s="55" t="s">
        <v>113</v>
      </c>
      <c r="U568" t="s">
        <v>463</v>
      </c>
      <c r="Z568" s="1358" t="str">
        <f>C555</f>
        <v>Fannie Mae / Berkadia</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2" t="s">
        <v>2700</v>
      </c>
      <c r="H569" s="1372"/>
      <c r="I569" s="1372"/>
      <c r="J569" s="1372"/>
      <c r="K569" s="1372"/>
      <c r="L569" s="1372"/>
      <c r="M569" s="1372"/>
      <c r="N569" s="1372"/>
      <c r="O569" s="1372"/>
      <c r="P569" s="1372"/>
      <c r="Q569" s="1372"/>
      <c r="R569" s="1372"/>
      <c r="S569" s="8"/>
      <c r="T569" s="22"/>
      <c r="U569" t="s">
        <v>85</v>
      </c>
      <c r="Z569" s="1372" t="s">
        <v>2700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580</v>
      </c>
      <c r="G570" s="1372" t="s">
        <v>2701</v>
      </c>
      <c r="H570" s="1372"/>
      <c r="I570" s="1372"/>
      <c r="J570" s="1372"/>
      <c r="K570" s="1372"/>
      <c r="L570" s="1372"/>
      <c r="M570" s="1372"/>
      <c r="N570" s="1372"/>
      <c r="O570" s="1372"/>
      <c r="P570" s="1372"/>
      <c r="Q570" s="1372"/>
      <c r="R570" s="1372"/>
      <c r="T570" s="22"/>
      <c r="U570" t="s">
        <v>580</v>
      </c>
      <c r="Z570" s="1348" t="s">
        <v>2701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2" t="s">
        <v>2702</v>
      </c>
      <c r="H571" s="1372"/>
      <c r="I571" s="1372"/>
      <c r="J571" s="1372"/>
      <c r="K571" s="1372"/>
      <c r="L571" s="1372"/>
      <c r="M571" s="1372"/>
      <c r="N571" s="1372"/>
      <c r="O571" s="1372"/>
      <c r="P571" s="1372"/>
      <c r="Q571" s="1372"/>
      <c r="R571" s="1372"/>
      <c r="S571" s="8"/>
      <c r="T571" s="22"/>
      <c r="U571" t="s">
        <v>17</v>
      </c>
      <c r="Z571" s="1348" t="s">
        <v>2702</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1346">
        <v>2143603849</v>
      </c>
      <c r="H572" s="1346"/>
      <c r="I572" s="1346"/>
      <c r="J572" s="1346"/>
      <c r="K572" s="1346"/>
      <c r="L572" s="1346"/>
      <c r="O572" s="33" t="s">
        <v>206</v>
      </c>
      <c r="P572" s="1436"/>
      <c r="Q572" s="1436"/>
      <c r="R572" s="1436"/>
      <c r="S572" s="10"/>
      <c r="T572" s="22"/>
      <c r="U572" t="s">
        <v>316</v>
      </c>
      <c r="Z572" s="1346">
        <v>2143603849</v>
      </c>
      <c r="AA572" s="1346"/>
      <c r="AB572" s="1346"/>
      <c r="AC572" s="1346"/>
      <c r="AD572" s="1346"/>
      <c r="AE572" s="1346"/>
      <c r="AH572" s="33" t="s">
        <v>206</v>
      </c>
      <c r="AI572" s="1436"/>
      <c r="AJ572" s="1436"/>
      <c r="AK572" s="1436"/>
      <c r="BB572" s="3"/>
      <c r="BC572" s="3"/>
      <c r="BD572" s="3"/>
      <c r="BE572" s="3"/>
      <c r="BF572" s="3"/>
      <c r="BG572" s="3"/>
      <c r="BH572" s="3"/>
      <c r="BI572" s="3"/>
    </row>
    <row r="573" spans="1:61" ht="13" customHeight="1">
      <c r="A573" s="22"/>
      <c r="B573" t="s">
        <v>18</v>
      </c>
      <c r="H573" s="1372" t="s">
        <v>2722</v>
      </c>
      <c r="I573" s="1372"/>
      <c r="J573" s="1372"/>
      <c r="K573" s="1372"/>
      <c r="L573" s="1372"/>
      <c r="M573" s="1372"/>
      <c r="N573" s="1372"/>
      <c r="O573" s="1372"/>
      <c r="P573" s="1372"/>
      <c r="Q573" s="1372"/>
      <c r="R573" s="1372"/>
      <c r="S573" s="8"/>
      <c r="T573" s="22"/>
      <c r="U573" t="s">
        <v>18</v>
      </c>
      <c r="AA573" s="1372" t="s">
        <v>2723</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1184</v>
      </c>
      <c r="H574" s="8"/>
      <c r="I574" s="8"/>
      <c r="J574" s="8"/>
      <c r="K574" s="8"/>
      <c r="L574" s="8"/>
      <c r="M574" s="1696"/>
      <c r="N574" s="1696"/>
      <c r="O574" s="1696"/>
      <c r="P574" s="1696"/>
      <c r="Q574" s="1696"/>
      <c r="R574" s="1696"/>
      <c r="S574" s="8"/>
      <c r="T574" s="22"/>
      <c r="U574" s="320" t="s">
        <v>1184</v>
      </c>
      <c r="AA574" s="8"/>
      <c r="AB574" s="8"/>
      <c r="AC574" s="8"/>
      <c r="AD574" s="8"/>
      <c r="AE574" s="8"/>
      <c r="AF574" s="1696"/>
      <c r="AG574" s="1696"/>
      <c r="AH574" s="1696"/>
      <c r="AI574" s="1696"/>
      <c r="AJ574" s="1696"/>
      <c r="AK574" s="1696"/>
      <c r="BB574" s="3"/>
      <c r="BC574" s="3"/>
      <c r="BD574" s="3"/>
      <c r="BE574" s="3"/>
      <c r="BF574" s="3"/>
      <c r="BG574" s="3"/>
      <c r="BH574" s="3"/>
      <c r="BI574" s="3"/>
    </row>
    <row r="575" spans="1:61" ht="13" customHeight="1">
      <c r="A575" s="22"/>
      <c r="B575" t="s">
        <v>20</v>
      </c>
      <c r="N575" s="1332" t="s">
        <v>669</v>
      </c>
      <c r="O575" s="1332"/>
      <c r="T575" s="22"/>
      <c r="U575" t="s">
        <v>20</v>
      </c>
      <c r="AG575" s="1332" t="s">
        <v>545</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8" t="str">
        <f>C556</f>
        <v xml:space="preserve">Berkadia </v>
      </c>
      <c r="H577" s="1358"/>
      <c r="I577" s="1358"/>
      <c r="J577" s="1358"/>
      <c r="K577" s="1358"/>
      <c r="L577" s="1358"/>
      <c r="M577" s="1358"/>
      <c r="N577" s="1358"/>
      <c r="O577" s="1358"/>
      <c r="P577" s="1358"/>
      <c r="Q577" s="1358"/>
      <c r="R577" s="1358"/>
      <c r="T577" s="55" t="s">
        <v>581</v>
      </c>
      <c r="U577" t="s">
        <v>463</v>
      </c>
      <c r="Z577" s="1358" t="str">
        <f>C557</f>
        <v>Berkadia</v>
      </c>
      <c r="AA577" s="1358"/>
      <c r="AB577" s="1358"/>
      <c r="AC577" s="1358"/>
      <c r="AD577" s="1358"/>
      <c r="AE577" s="1358"/>
      <c r="AF577" s="1358"/>
      <c r="AG577" s="1358"/>
      <c r="AH577" s="1358"/>
      <c r="AI577" s="1358"/>
      <c r="AJ577" s="1358"/>
      <c r="AK577" s="1358"/>
      <c r="BB577" s="3"/>
      <c r="BC577" s="3"/>
    </row>
    <row r="578" spans="1:55" ht="13" customHeight="1">
      <c r="A578" s="22"/>
      <c r="B578" t="s">
        <v>85</v>
      </c>
      <c r="G578" s="1372" t="s">
        <v>2700</v>
      </c>
      <c r="H578" s="1372"/>
      <c r="I578" s="1372"/>
      <c r="J578" s="1372"/>
      <c r="K578" s="1372"/>
      <c r="L578" s="1372"/>
      <c r="M578" s="1372"/>
      <c r="N578" s="1372"/>
      <c r="O578" s="1372"/>
      <c r="P578" s="1372"/>
      <c r="Q578" s="1372"/>
      <c r="R578" s="1372"/>
      <c r="T578" s="22"/>
      <c r="U578" t="s">
        <v>85</v>
      </c>
      <c r="Z578" s="1372" t="s">
        <v>2700</v>
      </c>
      <c r="AA578" s="1372"/>
      <c r="AB578" s="1372"/>
      <c r="AC578" s="1372"/>
      <c r="AD578" s="1372"/>
      <c r="AE578" s="1372"/>
      <c r="AF578" s="1372"/>
      <c r="AG578" s="1372"/>
      <c r="AH578" s="1372"/>
      <c r="AI578" s="1372"/>
      <c r="AJ578" s="1372"/>
      <c r="AK578" s="1372"/>
      <c r="BB578" s="3"/>
      <c r="BC578" s="3"/>
    </row>
    <row r="579" spans="1:55" ht="13" customHeight="1">
      <c r="A579" s="22"/>
      <c r="B579" t="s">
        <v>580</v>
      </c>
      <c r="G579" s="1348" t="s">
        <v>2701</v>
      </c>
      <c r="H579" s="1348"/>
      <c r="I579" s="1348"/>
      <c r="J579" s="1348"/>
      <c r="K579" s="1348"/>
      <c r="L579" s="1348"/>
      <c r="M579" s="1348"/>
      <c r="N579" s="1348"/>
      <c r="O579" s="1348"/>
      <c r="P579" s="1348"/>
      <c r="Q579" s="1348"/>
      <c r="R579" s="1348"/>
      <c r="T579" s="22"/>
      <c r="U579" t="s">
        <v>580</v>
      </c>
      <c r="Z579" s="1348" t="s">
        <v>2701</v>
      </c>
      <c r="AA579" s="1348"/>
      <c r="AB579" s="1348"/>
      <c r="AC579" s="1348"/>
      <c r="AD579" s="1348"/>
      <c r="AE579" s="1348"/>
      <c r="AF579" s="1348"/>
      <c r="AG579" s="1348"/>
      <c r="AH579" s="1348"/>
      <c r="AI579" s="1348"/>
      <c r="AJ579" s="1348"/>
      <c r="AK579" s="1348"/>
      <c r="BB579" s="3"/>
      <c r="BC579" s="3"/>
    </row>
    <row r="580" spans="1:55" ht="13" customHeight="1">
      <c r="A580" s="22"/>
      <c r="B580" t="s">
        <v>17</v>
      </c>
      <c r="G580" s="1348" t="s">
        <v>2702</v>
      </c>
      <c r="H580" s="1348"/>
      <c r="I580" s="1348"/>
      <c r="J580" s="1348"/>
      <c r="K580" s="1348"/>
      <c r="L580" s="1348"/>
      <c r="M580" s="1348"/>
      <c r="N580" s="1348"/>
      <c r="O580" s="1348"/>
      <c r="P580" s="1348"/>
      <c r="Q580" s="1348"/>
      <c r="R580" s="1348"/>
      <c r="T580" s="22"/>
      <c r="U580" t="s">
        <v>17</v>
      </c>
      <c r="Z580" s="1348" t="s">
        <v>2702</v>
      </c>
      <c r="AA580" s="1348"/>
      <c r="AB580" s="1348"/>
      <c r="AC580" s="1348"/>
      <c r="AD580" s="1348"/>
      <c r="AE580" s="1348"/>
      <c r="AF580" s="1348"/>
      <c r="AG580" s="1348"/>
      <c r="AH580" s="1348"/>
      <c r="AI580" s="1348"/>
      <c r="AJ580" s="1348"/>
      <c r="AK580" s="1348"/>
      <c r="BB580" s="3"/>
      <c r="BC580" s="3"/>
    </row>
    <row r="581" spans="1:55" ht="13" customHeight="1">
      <c r="A581" s="22"/>
      <c r="B581" t="s">
        <v>316</v>
      </c>
      <c r="G581" s="1346">
        <v>2143603849</v>
      </c>
      <c r="H581" s="1346"/>
      <c r="I581" s="1346"/>
      <c r="J581" s="1346"/>
      <c r="K581" s="1346"/>
      <c r="L581" s="1346"/>
      <c r="O581" s="33" t="s">
        <v>206</v>
      </c>
      <c r="P581" s="1436"/>
      <c r="Q581" s="1436"/>
      <c r="R581" s="1436"/>
      <c r="T581" s="22"/>
      <c r="U581" t="s">
        <v>316</v>
      </c>
      <c r="Z581" s="1346">
        <v>2143603849</v>
      </c>
      <c r="AA581" s="1346"/>
      <c r="AB581" s="1346"/>
      <c r="AC581" s="1346"/>
      <c r="AD581" s="1346"/>
      <c r="AE581" s="1346"/>
      <c r="AH581" s="33" t="s">
        <v>206</v>
      </c>
      <c r="AI581" s="1436"/>
      <c r="AJ581" s="1436"/>
      <c r="AK581" s="1436"/>
      <c r="BB581" s="3"/>
      <c r="BC581" s="3"/>
    </row>
    <row r="582" spans="1:55" ht="13" customHeight="1">
      <c r="A582" s="22"/>
      <c r="B582" t="s">
        <v>18</v>
      </c>
      <c r="H582" s="1372" t="s">
        <v>2724</v>
      </c>
      <c r="I582" s="1372"/>
      <c r="J582" s="1372"/>
      <c r="K582" s="1372"/>
      <c r="L582" s="1372"/>
      <c r="M582" s="1372"/>
      <c r="N582" s="1372"/>
      <c r="O582" s="1372"/>
      <c r="P582" s="1372"/>
      <c r="Q582" s="1372"/>
      <c r="R582" s="1372"/>
      <c r="T582" s="22"/>
      <c r="U582" t="s">
        <v>18</v>
      </c>
      <c r="AA582" s="1372" t="s">
        <v>2719</v>
      </c>
      <c r="AB582" s="1372"/>
      <c r="AC582" s="1372"/>
      <c r="AD582" s="1372"/>
      <c r="AE582" s="1372"/>
      <c r="AF582" s="1372"/>
      <c r="AG582" s="1372"/>
      <c r="AH582" s="1372"/>
      <c r="AI582" s="1372"/>
      <c r="AJ582" s="1372"/>
      <c r="AK582" s="1372"/>
      <c r="BB582" s="3"/>
      <c r="BC582" s="3"/>
    </row>
    <row r="583" spans="1:55" ht="13" customHeight="1">
      <c r="A583" s="22"/>
      <c r="B583" t="s">
        <v>20</v>
      </c>
      <c r="N583" s="1332" t="s">
        <v>545</v>
      </c>
      <c r="O583" s="1332"/>
      <c r="T583" s="22"/>
      <c r="U583" t="s">
        <v>20</v>
      </c>
      <c r="AG583" s="1332" t="s">
        <v>545</v>
      </c>
      <c r="AH583" s="1332"/>
      <c r="BB583" s="3"/>
      <c r="BC583" s="3"/>
    </row>
    <row r="584" spans="1:55" ht="13" customHeight="1">
      <c r="A584" s="22"/>
      <c r="T584" s="22"/>
      <c r="BB584" s="3"/>
      <c r="BC584" s="3"/>
    </row>
    <row r="585" spans="1:55" ht="13" customHeight="1">
      <c r="A585" s="55" t="s">
        <v>763</v>
      </c>
      <c r="B585" t="s">
        <v>463</v>
      </c>
      <c r="G585" s="1358" t="str">
        <f>C558</f>
        <v>Berkadia Affordable Tax Credit Solutions</v>
      </c>
      <c r="H585" s="1358"/>
      <c r="I585" s="1358"/>
      <c r="J585" s="1358"/>
      <c r="K585" s="1358"/>
      <c r="L585" s="1358"/>
      <c r="M585" s="1358"/>
      <c r="N585" s="1358"/>
      <c r="O585" s="1358"/>
      <c r="P585" s="1358"/>
      <c r="Q585" s="1358"/>
      <c r="R585" s="1358"/>
      <c r="T585" s="55" t="s">
        <v>584</v>
      </c>
      <c r="U585" t="s">
        <v>463</v>
      </c>
      <c r="Z585" s="1358" t="str">
        <f>C559</f>
        <v>Pacific Housing, Inc</v>
      </c>
      <c r="AA585" s="1358"/>
      <c r="AB585" s="1358"/>
      <c r="AC585" s="1358"/>
      <c r="AD585" s="1358"/>
      <c r="AE585" s="1358"/>
      <c r="AF585" s="1358"/>
      <c r="AG585" s="1358"/>
      <c r="AH585" s="1358"/>
      <c r="AI585" s="1358"/>
      <c r="AJ585" s="1358"/>
      <c r="AK585" s="1358"/>
      <c r="BB585" s="3"/>
      <c r="BC585" s="3"/>
    </row>
    <row r="586" spans="1:55" ht="13" customHeight="1">
      <c r="A586" s="22"/>
      <c r="B586" t="s">
        <v>85</v>
      </c>
      <c r="G586" s="1372" t="s">
        <v>2700</v>
      </c>
      <c r="H586" s="1372"/>
      <c r="I586" s="1372"/>
      <c r="J586" s="1372"/>
      <c r="K586" s="1372"/>
      <c r="L586" s="1372"/>
      <c r="M586" s="1372"/>
      <c r="N586" s="1372"/>
      <c r="O586" s="1372"/>
      <c r="P586" s="1372"/>
      <c r="Q586" s="1372"/>
      <c r="R586" s="1372"/>
      <c r="T586" s="22"/>
      <c r="U586" t="s">
        <v>85</v>
      </c>
      <c r="Z586" s="1371"/>
      <c r="AA586" s="1372"/>
      <c r="AB586" s="1372"/>
      <c r="AC586" s="1372"/>
      <c r="AD586" s="1372"/>
      <c r="AE586" s="1372"/>
      <c r="AF586" s="1372"/>
      <c r="AG586" s="1372"/>
      <c r="AH586" s="1372"/>
      <c r="AI586" s="1372"/>
      <c r="AJ586" s="1372"/>
      <c r="AK586" s="1372"/>
      <c r="BB586" s="3"/>
      <c r="BC586" s="3"/>
    </row>
    <row r="587" spans="1:55" ht="13" customHeight="1">
      <c r="A587" s="22"/>
      <c r="B587" t="s">
        <v>580</v>
      </c>
      <c r="G587" s="1372" t="s">
        <v>2701</v>
      </c>
      <c r="H587" s="1372"/>
      <c r="I587" s="1372"/>
      <c r="J587" s="1372"/>
      <c r="K587" s="1372"/>
      <c r="L587" s="1372"/>
      <c r="M587" s="1372"/>
      <c r="N587" s="1372"/>
      <c r="O587" s="1372"/>
      <c r="P587" s="1372"/>
      <c r="Q587" s="1372"/>
      <c r="R587" s="1372"/>
      <c r="T587" s="22"/>
      <c r="U587" t="s">
        <v>580</v>
      </c>
      <c r="Z587" s="1545"/>
      <c r="AA587" s="1348"/>
      <c r="AB587" s="1348"/>
      <c r="AC587" s="1348"/>
      <c r="AD587" s="1348"/>
      <c r="AE587" s="1348"/>
      <c r="AF587" s="1348"/>
      <c r="AG587" s="1348"/>
      <c r="AH587" s="1348"/>
      <c r="AI587" s="1348"/>
      <c r="AJ587" s="1348"/>
      <c r="AK587" s="1348"/>
      <c r="BB587" s="3"/>
      <c r="BC587" s="3"/>
    </row>
    <row r="588" spans="1:55" ht="13" customHeight="1">
      <c r="A588" s="22"/>
      <c r="B588" t="s">
        <v>17</v>
      </c>
      <c r="G588" s="1372" t="s">
        <v>2702</v>
      </c>
      <c r="H588" s="1372"/>
      <c r="I588" s="1372"/>
      <c r="J588" s="1372"/>
      <c r="K588" s="1372"/>
      <c r="L588" s="1372"/>
      <c r="M588" s="1372"/>
      <c r="N588" s="1372"/>
      <c r="O588" s="1372"/>
      <c r="P588" s="1372"/>
      <c r="Q588" s="1372"/>
      <c r="R588" s="1372"/>
      <c r="T588" s="22"/>
      <c r="U588" t="s">
        <v>17</v>
      </c>
      <c r="Z588" s="1545"/>
      <c r="AA588" s="1348"/>
      <c r="AB588" s="1348"/>
      <c r="AC588" s="1348"/>
      <c r="AD588" s="1348"/>
      <c r="AE588" s="1348"/>
      <c r="AF588" s="1348"/>
      <c r="AG588" s="1348"/>
      <c r="AH588" s="1348"/>
      <c r="AI588" s="1348"/>
      <c r="AJ588" s="1348"/>
      <c r="AK588" s="1348"/>
    </row>
    <row r="589" spans="1:55" ht="13" customHeight="1">
      <c r="A589" s="22"/>
      <c r="B589" t="s">
        <v>316</v>
      </c>
      <c r="G589" s="1346">
        <v>2143603849</v>
      </c>
      <c r="H589" s="1346"/>
      <c r="I589" s="1346"/>
      <c r="J589" s="1346"/>
      <c r="K589" s="1346"/>
      <c r="L589" s="1346"/>
      <c r="O589" s="33" t="s">
        <v>206</v>
      </c>
      <c r="P589" s="1436"/>
      <c r="Q589" s="1436"/>
      <c r="R589" s="1436"/>
      <c r="T589" s="22"/>
      <c r="U589" t="s">
        <v>316</v>
      </c>
      <c r="Z589" s="1694"/>
      <c r="AA589" s="1346"/>
      <c r="AB589" s="1346"/>
      <c r="AC589" s="1346"/>
      <c r="AD589" s="1346"/>
      <c r="AE589" s="1346"/>
      <c r="AH589" s="33" t="s">
        <v>206</v>
      </c>
      <c r="AI589" s="1436"/>
      <c r="AJ589" s="1436"/>
      <c r="AK589" s="1436"/>
      <c r="AZ589" s="3"/>
      <c r="BA589" s="3"/>
      <c r="BB589" s="3"/>
      <c r="BC589" s="3"/>
    </row>
    <row r="590" spans="1:55" ht="13" customHeight="1">
      <c r="A590" s="22"/>
      <c r="B590" t="s">
        <v>18</v>
      </c>
      <c r="H590" s="1372" t="s">
        <v>2725</v>
      </c>
      <c r="I590" s="1372"/>
      <c r="J590" s="1372"/>
      <c r="K590" s="1372"/>
      <c r="L590" s="1372"/>
      <c r="M590" s="1372"/>
      <c r="N590" s="1372"/>
      <c r="O590" s="1372"/>
      <c r="P590" s="1372"/>
      <c r="Q590" s="1372"/>
      <c r="R590" s="1372"/>
      <c r="T590" s="22"/>
      <c r="U590" t="s">
        <v>18</v>
      </c>
      <c r="AA590" s="1371"/>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545</v>
      </c>
      <c r="O591" s="1332"/>
      <c r="T591" s="22"/>
      <c r="U591" t="s">
        <v>20</v>
      </c>
      <c r="AG591" s="1332" t="s">
        <v>545</v>
      </c>
      <c r="AH591" s="1332"/>
      <c r="AZ591" s="3"/>
      <c r="BA591" s="3"/>
      <c r="BB591" s="3"/>
      <c r="BC591" s="3"/>
    </row>
    <row r="592" spans="1:55" ht="13" customHeight="1">
      <c r="A592" s="22"/>
      <c r="T592" s="22"/>
      <c r="AZ592" s="3"/>
      <c r="BA592" s="3"/>
      <c r="BB592" s="3"/>
      <c r="BC592" s="3"/>
    </row>
    <row r="593" spans="1:55" ht="13" customHeight="1">
      <c r="A593" s="55" t="s">
        <v>455</v>
      </c>
      <c r="B593" t="s">
        <v>463</v>
      </c>
      <c r="G593" s="1358" t="str">
        <f>C560</f>
        <v>Deferred Costs</v>
      </c>
      <c r="H593" s="1358"/>
      <c r="I593" s="1358"/>
      <c r="J593" s="1358"/>
      <c r="K593" s="1358"/>
      <c r="L593" s="1358"/>
      <c r="M593" s="1358"/>
      <c r="N593" s="1358"/>
      <c r="O593" s="1358"/>
      <c r="P593" s="1358"/>
      <c r="Q593" s="1358"/>
      <c r="R593" s="1358"/>
      <c r="T593" s="55" t="s">
        <v>456</v>
      </c>
      <c r="U593" t="s">
        <v>463</v>
      </c>
      <c r="Z593" s="1358" t="str">
        <f>C561</f>
        <v>Plummer Village Developer LLC</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2" t="s">
        <v>2726</v>
      </c>
      <c r="H594" s="1372"/>
      <c r="I594" s="1372"/>
      <c r="J594" s="1372"/>
      <c r="K594" s="1372"/>
      <c r="L594" s="1372"/>
      <c r="M594" s="1372"/>
      <c r="N594" s="1372"/>
      <c r="O594" s="1372"/>
      <c r="P594" s="1372"/>
      <c r="Q594" s="1372"/>
      <c r="R594" s="1372"/>
      <c r="S594"/>
      <c r="T594" s="22"/>
      <c r="U594" t="s">
        <v>85</v>
      </c>
      <c r="V594"/>
      <c r="W594"/>
      <c r="X594"/>
      <c r="Y594"/>
      <c r="Z594" s="1372" t="s">
        <v>2726</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2" t="s">
        <v>2633</v>
      </c>
      <c r="H595" s="1372"/>
      <c r="I595" s="1372"/>
      <c r="J595" s="1372"/>
      <c r="K595" s="1372"/>
      <c r="L595" s="1372"/>
      <c r="M595" s="1372"/>
      <c r="N595" s="1372"/>
      <c r="O595" s="1372"/>
      <c r="P595" s="1372"/>
      <c r="Q595" s="1372"/>
      <c r="R595" s="1372"/>
      <c r="S595"/>
      <c r="T595" s="22"/>
      <c r="U595" t="s">
        <v>580</v>
      </c>
      <c r="V595"/>
      <c r="W595"/>
      <c r="X595"/>
      <c r="Y595"/>
      <c r="Z595" s="1348" t="s">
        <v>2633</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t="s">
        <v>2626</v>
      </c>
      <c r="H596" s="1372"/>
      <c r="I596" s="1372"/>
      <c r="J596" s="1372"/>
      <c r="K596" s="1372"/>
      <c r="L596" s="1372"/>
      <c r="M596" s="1372"/>
      <c r="N596" s="1372"/>
      <c r="O596" s="1372"/>
      <c r="P596" s="1372"/>
      <c r="Q596" s="1372"/>
      <c r="R596" s="1372"/>
      <c r="S596"/>
      <c r="T596" s="22"/>
      <c r="U596" t="s">
        <v>17</v>
      </c>
      <c r="V596"/>
      <c r="W596"/>
      <c r="X596"/>
      <c r="Y596"/>
      <c r="Z596" s="1348" t="s">
        <v>2626</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6">
        <v>4242228253</v>
      </c>
      <c r="H597" s="1346"/>
      <c r="I597" s="1346"/>
      <c r="J597" s="1346"/>
      <c r="K597" s="1346"/>
      <c r="L597" s="1346"/>
      <c r="M597"/>
      <c r="N597"/>
      <c r="O597" s="33" t="s">
        <v>206</v>
      </c>
      <c r="P597" s="1436"/>
      <c r="Q597" s="1436"/>
      <c r="R597" s="1436"/>
      <c r="S597"/>
      <c r="T597" s="22"/>
      <c r="U597" t="s">
        <v>316</v>
      </c>
      <c r="V597"/>
      <c r="W597"/>
      <c r="X597"/>
      <c r="Y597"/>
      <c r="Z597" s="1346">
        <v>4242228253</v>
      </c>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t="s">
        <v>2720</v>
      </c>
      <c r="I598" s="1372"/>
      <c r="J598" s="1372"/>
      <c r="K598" s="1372"/>
      <c r="L598" s="1372"/>
      <c r="M598" s="1372"/>
      <c r="N598" s="1372"/>
      <c r="O598" s="1372"/>
      <c r="P598" s="1372"/>
      <c r="Q598" s="1372"/>
      <c r="R598" s="1372"/>
      <c r="S598"/>
      <c r="T598" s="22"/>
      <c r="U598" t="s">
        <v>18</v>
      </c>
      <c r="V598"/>
      <c r="W598"/>
      <c r="X598"/>
      <c r="Y598"/>
      <c r="Z598"/>
      <c r="AA598" s="1371" t="s">
        <v>2319</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545</v>
      </c>
      <c r="O599" s="1332"/>
      <c r="T599" s="22"/>
      <c r="U599" t="s">
        <v>20</v>
      </c>
      <c r="AG599" s="1332" t="s">
        <v>545</v>
      </c>
      <c r="AH599" s="1332"/>
      <c r="BB599" s="3"/>
      <c r="BC599" s="3"/>
    </row>
    <row r="600" spans="1:55" ht="13" customHeight="1">
      <c r="A600" s="22"/>
      <c r="T600" s="22"/>
      <c r="BB600" s="3"/>
      <c r="BC600" s="3"/>
    </row>
    <row r="601" spans="1:55" ht="13" customHeight="1">
      <c r="A601" s="55" t="s">
        <v>461</v>
      </c>
      <c r="B601" t="s">
        <v>463</v>
      </c>
      <c r="G601" s="1358" t="str">
        <f>C562</f>
        <v>Cash Flow From Operations</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2" t="s">
        <v>2726</v>
      </c>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580</v>
      </c>
      <c r="G603" s="1372" t="s">
        <v>2633</v>
      </c>
      <c r="H603" s="1372"/>
      <c r="I603" s="1372"/>
      <c r="J603" s="1372"/>
      <c r="K603" s="1372"/>
      <c r="L603" s="1372"/>
      <c r="M603" s="1372"/>
      <c r="N603" s="1372"/>
      <c r="O603" s="1372"/>
      <c r="P603" s="1372"/>
      <c r="Q603" s="1372"/>
      <c r="R603" s="1372"/>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2" t="s">
        <v>2626</v>
      </c>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6">
        <v>4242228253</v>
      </c>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t="s">
        <v>2319</v>
      </c>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545</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358">
        <f>C564</f>
        <v>0</v>
      </c>
      <c r="H609" s="1358"/>
      <c r="I609" s="1358"/>
      <c r="J609" s="1358"/>
      <c r="K609" s="1358"/>
      <c r="L609" s="1358"/>
      <c r="M609" s="1358"/>
      <c r="N609" s="1358"/>
      <c r="O609" s="1358"/>
      <c r="P609" s="1358"/>
      <c r="Q609" s="1358"/>
      <c r="R609" s="1358"/>
      <c r="T609" s="55" t="s">
        <v>363</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580</v>
      </c>
      <c r="G611" s="1372"/>
      <c r="H611" s="1372"/>
      <c r="I611" s="1372"/>
      <c r="J611" s="1372"/>
      <c r="K611" s="1372"/>
      <c r="L611" s="1372"/>
      <c r="M611" s="1372"/>
      <c r="N611" s="1372"/>
      <c r="O611" s="1372"/>
      <c r="P611" s="1372"/>
      <c r="Q611" s="1372"/>
      <c r="R611" s="1372"/>
      <c r="U611" t="s">
        <v>580</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669</v>
      </c>
      <c r="O615" s="1332"/>
      <c r="U615" t="s">
        <v>20</v>
      </c>
      <c r="AG615" s="1332" t="s">
        <v>669</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700" t="s">
        <v>2101</v>
      </c>
      <c r="C624" s="1700"/>
      <c r="D624" s="1700"/>
      <c r="E624" s="1700"/>
      <c r="F624" s="1700"/>
      <c r="G624" s="1700"/>
      <c r="H624" s="1700"/>
      <c r="I624" s="1700"/>
      <c r="J624" s="1700"/>
      <c r="K624" s="1700"/>
      <c r="L624" s="1700"/>
      <c r="M624" s="1441" t="s">
        <v>2102</v>
      </c>
      <c r="N624" s="1441"/>
      <c r="O624" s="1441"/>
      <c r="P624" s="1441"/>
      <c r="Q624" s="1441" t="s">
        <v>1851</v>
      </c>
      <c r="R624" s="1441"/>
      <c r="S624" s="1441"/>
      <c r="T624" s="1441" t="s">
        <v>1849</v>
      </c>
      <c r="U624" s="1441"/>
      <c r="V624" s="1441"/>
      <c r="W624" s="1701" t="s">
        <v>453</v>
      </c>
      <c r="X624" s="1701"/>
      <c r="Y624" s="1701"/>
      <c r="Z624" s="1430" t="s">
        <v>2131</v>
      </c>
      <c r="AA624" s="1430"/>
      <c r="AB624" s="1431"/>
      <c r="AC624" s="1681" t="s">
        <v>1675</v>
      </c>
      <c r="AD624" s="1682"/>
      <c r="AE624" s="1683"/>
      <c r="AF624" s="1671" t="s">
        <v>1929</v>
      </c>
      <c r="AG624" s="1430"/>
      <c r="AH624" s="1430"/>
      <c r="AI624" s="1430"/>
      <c r="AJ624" s="1431"/>
      <c r="AK624" s="1733" t="s">
        <v>1930</v>
      </c>
      <c r="AL624" s="1734"/>
      <c r="AM624" s="1734"/>
      <c r="AN624" s="1735"/>
      <c r="AO624" s="1441" t="s">
        <v>454</v>
      </c>
      <c r="AP624" s="1441"/>
      <c r="AQ624" s="1441"/>
      <c r="AR624" s="1441"/>
      <c r="AS624" s="1441"/>
      <c r="AU624" s="3"/>
      <c r="AZ624" s="3"/>
      <c r="BA624" s="3"/>
      <c r="BB624" s="3"/>
      <c r="BC624" s="3"/>
    </row>
    <row r="625" spans="2:157" ht="13"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3" customHeight="1">
      <c r="B627" s="51" t="s">
        <v>112</v>
      </c>
      <c r="C627" s="1691" t="s">
        <v>2663</v>
      </c>
      <c r="D627" s="1691"/>
      <c r="E627" s="1691"/>
      <c r="F627" s="1691"/>
      <c r="G627" s="1691"/>
      <c r="H627" s="1691"/>
      <c r="I627" s="1691"/>
      <c r="J627" s="1691"/>
      <c r="K627" s="1691"/>
      <c r="L627" s="1691"/>
      <c r="M627" s="1617" t="s">
        <v>2118</v>
      </c>
      <c r="N627" s="1617"/>
      <c r="O627" s="1617"/>
      <c r="P627" s="1617"/>
      <c r="Q627" s="1425">
        <v>216</v>
      </c>
      <c r="R627" s="1425"/>
      <c r="S627" s="1426"/>
      <c r="T627" s="1424">
        <v>480</v>
      </c>
      <c r="U627" s="1425"/>
      <c r="V627" s="1426"/>
      <c r="W627" s="1437">
        <v>5.5399999999999998E-2</v>
      </c>
      <c r="X627" s="1438"/>
      <c r="Y627" s="1439"/>
      <c r="Z627" s="1477" t="s">
        <v>2664</v>
      </c>
      <c r="AA627" s="1478"/>
      <c r="AB627" s="1479"/>
      <c r="AC627" s="1445">
        <v>1</v>
      </c>
      <c r="AD627" s="1446"/>
      <c r="AE627" s="1447"/>
      <c r="AF627" s="1474">
        <v>553752.31469136011</v>
      </c>
      <c r="AG627" s="1475"/>
      <c r="AH627" s="1475"/>
      <c r="AI627" s="1475"/>
      <c r="AJ627" s="1476"/>
      <c r="AK627" s="1427"/>
      <c r="AL627" s="1428"/>
      <c r="AM627" s="1428"/>
      <c r="AN627" s="1429"/>
      <c r="AO627" s="1480">
        <v>8900000</v>
      </c>
      <c r="AP627" s="1480"/>
      <c r="AQ627" s="1480"/>
      <c r="AR627" s="1480"/>
      <c r="AS627" s="1480"/>
      <c r="AT627" s="3"/>
      <c r="AU627" s="3"/>
      <c r="AZ627" s="3"/>
      <c r="BA627" s="3"/>
      <c r="BB627" s="3"/>
      <c r="BC627" s="3"/>
      <c r="BD627" s="3"/>
    </row>
    <row r="628" spans="2:157" ht="13" customHeight="1">
      <c r="B628" s="52" t="s">
        <v>113</v>
      </c>
      <c r="C628" s="1691" t="s">
        <v>2663</v>
      </c>
      <c r="D628" s="1691"/>
      <c r="E628" s="1691"/>
      <c r="F628" s="1691"/>
      <c r="G628" s="1691"/>
      <c r="H628" s="1691"/>
      <c r="I628" s="1691"/>
      <c r="J628" s="1691"/>
      <c r="K628" s="1691"/>
      <c r="L628" s="1691"/>
      <c r="M628" s="1617" t="s">
        <v>2119</v>
      </c>
      <c r="N628" s="1617"/>
      <c r="O628" s="1617"/>
      <c r="P628" s="1617"/>
      <c r="Q628" s="1424">
        <v>216</v>
      </c>
      <c r="R628" s="1425"/>
      <c r="S628" s="1426"/>
      <c r="T628" s="1424">
        <v>480</v>
      </c>
      <c r="U628" s="1425"/>
      <c r="V628" s="1426"/>
      <c r="W628" s="1437">
        <v>5.5399999999999998E-2</v>
      </c>
      <c r="X628" s="1438"/>
      <c r="Y628" s="1439"/>
      <c r="Z628" s="1477" t="s">
        <v>2664</v>
      </c>
      <c r="AA628" s="1478"/>
      <c r="AB628" s="1479"/>
      <c r="AC628" s="1445">
        <v>1</v>
      </c>
      <c r="AD628" s="1446"/>
      <c r="AE628" s="1447"/>
      <c r="AF628" s="1474">
        <v>205323.89196421218</v>
      </c>
      <c r="AG628" s="1475"/>
      <c r="AH628" s="1475"/>
      <c r="AI628" s="1475"/>
      <c r="AJ628" s="1476"/>
      <c r="AK628" s="1427"/>
      <c r="AL628" s="1428"/>
      <c r="AM628" s="1428"/>
      <c r="AN628" s="1429"/>
      <c r="AO628" s="1465">
        <v>3300000</v>
      </c>
      <c r="AP628" s="1466"/>
      <c r="AQ628" s="1466"/>
      <c r="AR628" s="1466"/>
      <c r="AS628" s="1467"/>
      <c r="AT628" s="1148" t="str">
        <f>IF(AND(NOT(C627=""),C628="",NOT(C629="")),"!","")</f>
        <v/>
      </c>
      <c r="AU628" s="3"/>
      <c r="AZ628" s="3"/>
      <c r="BA628" s="3"/>
      <c r="BB628" s="3"/>
      <c r="BC628" s="3"/>
      <c r="BD628" s="3"/>
    </row>
    <row r="629" spans="2:157" ht="13" customHeight="1">
      <c r="B629" s="52" t="s">
        <v>119</v>
      </c>
      <c r="C629" s="1691" t="s">
        <v>2663</v>
      </c>
      <c r="D629" s="1691"/>
      <c r="E629" s="1691"/>
      <c r="F629" s="1691"/>
      <c r="G629" s="1691"/>
      <c r="H629" s="1691"/>
      <c r="I629" s="1691"/>
      <c r="J629" s="1691"/>
      <c r="K629" s="1691"/>
      <c r="L629" s="1691"/>
      <c r="M629" s="1617" t="s">
        <v>2117</v>
      </c>
      <c r="N629" s="1617"/>
      <c r="O629" s="1617"/>
      <c r="P629" s="1617"/>
      <c r="Q629" s="1424">
        <v>216</v>
      </c>
      <c r="R629" s="1425"/>
      <c r="S629" s="1426"/>
      <c r="T629" s="1424">
        <v>480</v>
      </c>
      <c r="U629" s="1425"/>
      <c r="V629" s="1426"/>
      <c r="W629" s="1437">
        <v>5.9399999999999994E-2</v>
      </c>
      <c r="X629" s="1438"/>
      <c r="Y629" s="1439"/>
      <c r="Z629" s="1477" t="s">
        <v>2664</v>
      </c>
      <c r="AA629" s="1478"/>
      <c r="AB629" s="1479"/>
      <c r="AC629" s="1445">
        <v>2</v>
      </c>
      <c r="AD629" s="1446"/>
      <c r="AE629" s="1447"/>
      <c r="AF629" s="1474">
        <v>748715.0553562711</v>
      </c>
      <c r="AG629" s="1475"/>
      <c r="AH629" s="1475"/>
      <c r="AI629" s="1475"/>
      <c r="AJ629" s="1476"/>
      <c r="AK629" s="1427"/>
      <c r="AL629" s="1428"/>
      <c r="AM629" s="1428"/>
      <c r="AN629" s="1429"/>
      <c r="AO629" s="1465">
        <v>11426504</v>
      </c>
      <c r="AP629" s="1466"/>
      <c r="AQ629" s="1466"/>
      <c r="AR629" s="1466"/>
      <c r="AS629" s="1467"/>
      <c r="AT629" s="1148" t="str">
        <f t="shared" ref="AT629:AT638" si="1">IF(AND(NOT(C628=""),C629="",NOT(C630="")),"!","")</f>
        <v/>
      </c>
      <c r="AU629" s="3"/>
      <c r="AZ629" s="3"/>
      <c r="BA629" s="3"/>
      <c r="BB629" s="3"/>
      <c r="BC629" s="3"/>
      <c r="BD629" s="3"/>
    </row>
    <row r="630" spans="2:157" ht="13" customHeight="1">
      <c r="B630" s="52" t="s">
        <v>581</v>
      </c>
      <c r="C630" s="1691" t="s">
        <v>2611</v>
      </c>
      <c r="D630" s="1347"/>
      <c r="E630" s="1347"/>
      <c r="F630" s="1347"/>
      <c r="G630" s="1347"/>
      <c r="H630" s="1347"/>
      <c r="I630" s="1347"/>
      <c r="J630" s="1347"/>
      <c r="K630" s="1347"/>
      <c r="L630" s="1347"/>
      <c r="M630" s="1617" t="s">
        <v>2108</v>
      </c>
      <c r="N630" s="1617"/>
      <c r="O630" s="1617"/>
      <c r="P630" s="1617"/>
      <c r="Q630" s="1424"/>
      <c r="R630" s="1425"/>
      <c r="S630" s="1426"/>
      <c r="T630" s="1424"/>
      <c r="U630" s="1425"/>
      <c r="V630" s="1426"/>
      <c r="W630" s="1437"/>
      <c r="X630" s="1438"/>
      <c r="Y630" s="1439"/>
      <c r="Z630" s="1477" t="s">
        <v>300</v>
      </c>
      <c r="AA630" s="1478"/>
      <c r="AB630" s="1479"/>
      <c r="AC630" s="1445"/>
      <c r="AD630" s="1446"/>
      <c r="AE630" s="1447"/>
      <c r="AF630" s="1474"/>
      <c r="AG630" s="1475"/>
      <c r="AH630" s="1475"/>
      <c r="AI630" s="1475"/>
      <c r="AJ630" s="1476"/>
      <c r="AK630" s="1427"/>
      <c r="AL630" s="1428"/>
      <c r="AM630" s="1428"/>
      <c r="AN630" s="1429"/>
      <c r="AO630" s="1465">
        <v>100</v>
      </c>
      <c r="AP630" s="1466"/>
      <c r="AQ630" s="1466"/>
      <c r="AR630" s="1466"/>
      <c r="AS630" s="1467"/>
      <c r="AT630" s="1148" t="str">
        <f t="shared" si="1"/>
        <v/>
      </c>
      <c r="AU630" s="3"/>
      <c r="AZ630" s="3"/>
      <c r="BA630" s="3"/>
      <c r="BB630" s="3"/>
      <c r="BC630" s="3"/>
      <c r="BD630" s="3"/>
    </row>
    <row r="631" spans="2:157" ht="13" customHeight="1">
      <c r="B631" s="52" t="s">
        <v>763</v>
      </c>
      <c r="C631" s="1691" t="s">
        <v>2737</v>
      </c>
      <c r="D631" s="1347"/>
      <c r="E631" s="1347"/>
      <c r="F631" s="1347"/>
      <c r="G631" s="1347"/>
      <c r="H631" s="1347"/>
      <c r="I631" s="1347"/>
      <c r="J631" s="1347"/>
      <c r="K631" s="1347"/>
      <c r="L631" s="1347"/>
      <c r="M631" s="1617" t="s">
        <v>2105</v>
      </c>
      <c r="N631" s="1617"/>
      <c r="O631" s="1617"/>
      <c r="P631" s="1617"/>
      <c r="Q631" s="1424"/>
      <c r="R631" s="1425"/>
      <c r="S631" s="1426"/>
      <c r="T631" s="1424"/>
      <c r="U631" s="1425"/>
      <c r="V631" s="1426"/>
      <c r="W631" s="1437">
        <f>+W560</f>
        <v>0</v>
      </c>
      <c r="X631" s="1438"/>
      <c r="Y631" s="1439"/>
      <c r="Z631" s="1477" t="s">
        <v>458</v>
      </c>
      <c r="AA631" s="1478"/>
      <c r="AB631" s="1479"/>
      <c r="AC631" s="1445"/>
      <c r="AD631" s="1446"/>
      <c r="AE631" s="1447"/>
      <c r="AF631" s="1474"/>
      <c r="AG631" s="1475"/>
      <c r="AH631" s="1475"/>
      <c r="AI631" s="1475"/>
      <c r="AJ631" s="1476"/>
      <c r="AK631" s="1427"/>
      <c r="AL631" s="1428"/>
      <c r="AM631" s="1428"/>
      <c r="AN631" s="1429"/>
      <c r="AO631" s="1465">
        <v>463375</v>
      </c>
      <c r="AP631" s="1466"/>
      <c r="AQ631" s="1466"/>
      <c r="AR631" s="1466"/>
      <c r="AS631" s="1467"/>
      <c r="AT631" s="1148" t="str">
        <f t="shared" si="1"/>
        <v/>
      </c>
      <c r="AU631" s="3"/>
      <c r="AZ631" s="3"/>
      <c r="BA631" s="3"/>
      <c r="BB631" s="3"/>
      <c r="BC631" s="3"/>
      <c r="BD631" s="3"/>
    </row>
    <row r="632" spans="2:157" ht="13" customHeight="1">
      <c r="B632" s="52" t="s">
        <v>584</v>
      </c>
      <c r="C632" s="1691" t="s">
        <v>2728</v>
      </c>
      <c r="D632" s="1347"/>
      <c r="E632" s="1347"/>
      <c r="F632" s="1347"/>
      <c r="G632" s="1347"/>
      <c r="H632" s="1347"/>
      <c r="I632" s="1347"/>
      <c r="J632" s="1347"/>
      <c r="K632" s="1347"/>
      <c r="L632" s="1347"/>
      <c r="M632" s="1617" t="s">
        <v>2121</v>
      </c>
      <c r="N632" s="1617"/>
      <c r="O632" s="1617"/>
      <c r="P632" s="1617"/>
      <c r="Q632" s="1424"/>
      <c r="R632" s="1425"/>
      <c r="S632" s="1426"/>
      <c r="T632" s="1424"/>
      <c r="U632" s="1425"/>
      <c r="V632" s="1426"/>
      <c r="W632" s="1437"/>
      <c r="X632" s="1438"/>
      <c r="Y632" s="1439"/>
      <c r="Z632" s="1477" t="s">
        <v>457</v>
      </c>
      <c r="AA632" s="1478"/>
      <c r="AB632" s="1479"/>
      <c r="AC632" s="1445"/>
      <c r="AD632" s="1446"/>
      <c r="AE632" s="1447"/>
      <c r="AF632" s="1474"/>
      <c r="AG632" s="1475"/>
      <c r="AH632" s="1475"/>
      <c r="AI632" s="1475"/>
      <c r="AJ632" s="1476"/>
      <c r="AK632" s="1427"/>
      <c r="AL632" s="1428"/>
      <c r="AM632" s="1428"/>
      <c r="AN632" s="1429"/>
      <c r="AO632" s="1465">
        <v>93889</v>
      </c>
      <c r="AP632" s="1466"/>
      <c r="AQ632" s="1466"/>
      <c r="AR632" s="1466"/>
      <c r="AS632" s="1467"/>
      <c r="AT632" s="1148" t="str">
        <f t="shared" si="1"/>
        <v/>
      </c>
      <c r="AU632" s="3"/>
      <c r="AZ632" s="3"/>
      <c r="BA632" s="3"/>
      <c r="BB632" s="3"/>
      <c r="BC632" s="3"/>
      <c r="BD632" s="3"/>
    </row>
    <row r="633" spans="2:157" ht="13" customHeight="1">
      <c r="B633" s="52" t="s">
        <v>455</v>
      </c>
      <c r="C633" s="1347"/>
      <c r="D633" s="1347"/>
      <c r="E633" s="1347"/>
      <c r="F633" s="1347"/>
      <c r="G633" s="1347"/>
      <c r="H633" s="1347"/>
      <c r="I633" s="1347"/>
      <c r="J633" s="1347"/>
      <c r="K633" s="1347"/>
      <c r="L633" s="1347"/>
      <c r="M633" s="1617" t="s">
        <v>1183</v>
      </c>
      <c r="N633" s="1617"/>
      <c r="O633" s="1617"/>
      <c r="P633" s="1617"/>
      <c r="Q633" s="1424"/>
      <c r="R633" s="1425"/>
      <c r="S633" s="1426"/>
      <c r="T633" s="1424"/>
      <c r="U633" s="1425"/>
      <c r="V633" s="1426"/>
      <c r="W633" s="1437"/>
      <c r="X633" s="1438"/>
      <c r="Y633" s="1439"/>
      <c r="Z633" s="1477" t="s">
        <v>1183</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3" customHeight="1">
      <c r="B634" s="52" t="s">
        <v>456</v>
      </c>
      <c r="C634" s="1347"/>
      <c r="D634" s="1347"/>
      <c r="E634" s="1347"/>
      <c r="F634" s="1347"/>
      <c r="G634" s="1347"/>
      <c r="H634" s="1347"/>
      <c r="I634" s="1347"/>
      <c r="J634" s="1347"/>
      <c r="K634" s="1347"/>
      <c r="L634" s="1347"/>
      <c r="M634" s="1617" t="s">
        <v>1183</v>
      </c>
      <c r="N634" s="1617"/>
      <c r="O634" s="1617"/>
      <c r="P634" s="1617"/>
      <c r="Q634" s="1424"/>
      <c r="R634" s="1425"/>
      <c r="S634" s="1426"/>
      <c r="T634" s="1424"/>
      <c r="U634" s="1425"/>
      <c r="V634" s="1426"/>
      <c r="W634" s="1437"/>
      <c r="X634" s="1438"/>
      <c r="Y634" s="1439"/>
      <c r="Z634" s="1477" t="s">
        <v>1183</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1183</v>
      </c>
      <c r="BB634" s="3"/>
      <c r="BC634" s="3"/>
      <c r="BD634" s="3"/>
    </row>
    <row r="635" spans="2:157" ht="13" customHeight="1">
      <c r="B635" s="52" t="s">
        <v>461</v>
      </c>
      <c r="C635" s="1347"/>
      <c r="D635" s="1347"/>
      <c r="E635" s="1347"/>
      <c r="F635" s="1347"/>
      <c r="G635" s="1347"/>
      <c r="H635" s="1347"/>
      <c r="I635" s="1347"/>
      <c r="J635" s="1347"/>
      <c r="K635" s="1347"/>
      <c r="L635" s="1347"/>
      <c r="M635" s="1617" t="s">
        <v>1183</v>
      </c>
      <c r="N635" s="1617"/>
      <c r="O635" s="1617"/>
      <c r="P635" s="1617"/>
      <c r="Q635" s="1424"/>
      <c r="R635" s="1425"/>
      <c r="S635" s="1426"/>
      <c r="T635" s="1424"/>
      <c r="U635" s="1425"/>
      <c r="V635" s="1426"/>
      <c r="W635" s="1437"/>
      <c r="X635" s="1438"/>
      <c r="Y635" s="1439"/>
      <c r="Z635" s="1477" t="s">
        <v>1183</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88.432432432432435</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3" customHeight="1">
      <c r="B636" s="52" t="s">
        <v>646</v>
      </c>
      <c r="C636" s="1347"/>
      <c r="D636" s="1347"/>
      <c r="E636" s="1347"/>
      <c r="F636" s="1347"/>
      <c r="G636" s="1347"/>
      <c r="H636" s="1347"/>
      <c r="I636" s="1347"/>
      <c r="J636" s="1347"/>
      <c r="K636" s="1347"/>
      <c r="L636" s="1347"/>
      <c r="M636" s="1617" t="s">
        <v>1183</v>
      </c>
      <c r="N636" s="1617"/>
      <c r="O636" s="1617"/>
      <c r="P636" s="1617"/>
      <c r="Q636" s="1424"/>
      <c r="R636" s="1425"/>
      <c r="S636" s="1426"/>
      <c r="T636" s="1424"/>
      <c r="U636" s="1425"/>
      <c r="V636" s="1426"/>
      <c r="W636" s="1437"/>
      <c r="X636" s="1438"/>
      <c r="Y636" s="1439"/>
      <c r="Z636" s="1477" t="s">
        <v>1183</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119.13513513513514</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3" customHeight="1">
      <c r="B637" s="52" t="s">
        <v>362</v>
      </c>
      <c r="C637" s="1347"/>
      <c r="D637" s="1347"/>
      <c r="E637" s="1347"/>
      <c r="F637" s="1347"/>
      <c r="G637" s="1347"/>
      <c r="H637" s="1347"/>
      <c r="I637" s="1347"/>
      <c r="J637" s="1347"/>
      <c r="K637" s="1347"/>
      <c r="L637" s="1347"/>
      <c r="M637" s="1617" t="s">
        <v>1183</v>
      </c>
      <c r="N637" s="1617"/>
      <c r="O637" s="1617"/>
      <c r="P637" s="1617"/>
      <c r="Q637" s="1424"/>
      <c r="R637" s="1425"/>
      <c r="S637" s="1426"/>
      <c r="T637" s="1424"/>
      <c r="U637" s="1425"/>
      <c r="V637" s="1426"/>
      <c r="W637" s="1437"/>
      <c r="X637" s="1438"/>
      <c r="Y637" s="1439"/>
      <c r="Z637" s="1477" t="s">
        <v>1183</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711.72972972972968</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3" customHeight="1">
      <c r="B638" s="52" t="s">
        <v>363</v>
      </c>
      <c r="C638" s="1347"/>
      <c r="D638" s="1347"/>
      <c r="E638" s="1347"/>
      <c r="F638" s="1347"/>
      <c r="G638" s="1347"/>
      <c r="H638" s="1347"/>
      <c r="I638" s="1347"/>
      <c r="J638" s="1347"/>
      <c r="K638" s="1347"/>
      <c r="L638" s="1347"/>
      <c r="M638" s="1617" t="s">
        <v>1183</v>
      </c>
      <c r="N638" s="1617"/>
      <c r="O638" s="1617"/>
      <c r="P638" s="1617"/>
      <c r="Q638" s="1424"/>
      <c r="R638" s="1425"/>
      <c r="S638" s="1426"/>
      <c r="T638" s="1424"/>
      <c r="U638" s="1425"/>
      <c r="V638" s="1426"/>
      <c r="W638" s="1437"/>
      <c r="X638" s="1438"/>
      <c r="Y638" s="1439"/>
      <c r="Z638" s="1477" t="s">
        <v>1183</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451.35135135135135</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3"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24183868</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3"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12013901</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3"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36197769</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3" customHeight="1">
      <c r="A643" s="55" t="s">
        <v>112</v>
      </c>
      <c r="B643" t="s">
        <v>463</v>
      </c>
      <c r="G643" s="1358" t="str">
        <f>C627</f>
        <v>Fannie Mae / Berkadia</v>
      </c>
      <c r="H643" s="1358"/>
      <c r="I643" s="1358"/>
      <c r="J643" s="1358"/>
      <c r="K643" s="1358"/>
      <c r="L643" s="1358"/>
      <c r="M643" s="1358"/>
      <c r="N643" s="1358"/>
      <c r="O643" s="1358"/>
      <c r="P643" s="1358"/>
      <c r="Q643" s="1358"/>
      <c r="R643" s="1358"/>
      <c r="S643" s="8"/>
      <c r="T643" s="55" t="s">
        <v>113</v>
      </c>
      <c r="U643" t="s">
        <v>463</v>
      </c>
      <c r="Z643" s="1358" t="str">
        <f>C628</f>
        <v>Fannie Mae / Berkadia</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3" customHeight="1">
      <c r="A644" s="22"/>
      <c r="B644" t="s">
        <v>85</v>
      </c>
      <c r="G644" s="1372" t="s">
        <v>2700</v>
      </c>
      <c r="H644" s="1372"/>
      <c r="I644" s="1372"/>
      <c r="J644" s="1372"/>
      <c r="K644" s="1372"/>
      <c r="L644" s="1372"/>
      <c r="M644" s="1372"/>
      <c r="N644" s="1372"/>
      <c r="O644" s="1372"/>
      <c r="P644" s="1372"/>
      <c r="Q644" s="1372"/>
      <c r="R644" s="1372"/>
      <c r="S644" s="8"/>
      <c r="T644" s="22"/>
      <c r="U644" t="s">
        <v>85</v>
      </c>
      <c r="Z644" s="1372" t="s">
        <v>2700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3" customHeight="1">
      <c r="A645" s="22"/>
      <c r="B645" t="s">
        <v>580</v>
      </c>
      <c r="G645" s="1372" t="s">
        <v>2701</v>
      </c>
      <c r="H645" s="1372"/>
      <c r="I645" s="1372"/>
      <c r="J645" s="1372"/>
      <c r="K645" s="1372"/>
      <c r="L645" s="1372"/>
      <c r="M645" s="1372"/>
      <c r="N645" s="1372"/>
      <c r="O645" s="1372"/>
      <c r="P645" s="1372"/>
      <c r="Q645" s="1372"/>
      <c r="R645" s="1372"/>
      <c r="T645" s="22"/>
      <c r="U645" t="s">
        <v>580</v>
      </c>
      <c r="Z645" s="1348" t="s">
        <v>2701</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3" customHeight="1">
      <c r="A646" s="22"/>
      <c r="B646" t="s">
        <v>17</v>
      </c>
      <c r="G646" s="1372" t="s">
        <v>2702</v>
      </c>
      <c r="H646" s="1372"/>
      <c r="I646" s="1372"/>
      <c r="J646" s="1372"/>
      <c r="K646" s="1372"/>
      <c r="L646" s="1372"/>
      <c r="M646" s="1372"/>
      <c r="N646" s="1372"/>
      <c r="O646" s="1372"/>
      <c r="P646" s="1372"/>
      <c r="Q646" s="1372"/>
      <c r="R646" s="1372"/>
      <c r="S646" s="8"/>
      <c r="T646" s="22"/>
      <c r="U646" t="s">
        <v>17</v>
      </c>
      <c r="Z646" s="1348" t="s">
        <v>2702</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3" customHeight="1">
      <c r="A647" s="22"/>
      <c r="B647" t="s">
        <v>316</v>
      </c>
      <c r="G647" s="1346">
        <v>2143603849</v>
      </c>
      <c r="H647" s="1346"/>
      <c r="I647" s="1346"/>
      <c r="J647" s="1346"/>
      <c r="K647" s="1346"/>
      <c r="L647" s="1346"/>
      <c r="O647" s="33" t="s">
        <v>206</v>
      </c>
      <c r="P647" s="1436"/>
      <c r="Q647" s="1436"/>
      <c r="R647" s="1436"/>
      <c r="S647" s="10"/>
      <c r="T647" s="22"/>
      <c r="U647" t="s">
        <v>316</v>
      </c>
      <c r="Z647" s="1346">
        <v>2143603849</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3" customHeight="1">
      <c r="A648" s="22"/>
      <c r="B648" t="s">
        <v>18</v>
      </c>
      <c r="H648" s="1371" t="s">
        <v>2118</v>
      </c>
      <c r="I648" s="1372"/>
      <c r="J648" s="1372"/>
      <c r="K648" s="1372"/>
      <c r="L648" s="1372"/>
      <c r="M648" s="1372"/>
      <c r="N648" s="1372"/>
      <c r="O648" s="1372"/>
      <c r="P648" s="1372"/>
      <c r="Q648" s="1372"/>
      <c r="R648" s="1372"/>
      <c r="S648" s="8"/>
      <c r="T648" s="22"/>
      <c r="U648" t="s">
        <v>18</v>
      </c>
      <c r="AA648" s="1372" t="s">
        <v>2729</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3"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3"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3" customHeight="1">
      <c r="A651" s="55" t="s">
        <v>119</v>
      </c>
      <c r="B651" t="s">
        <v>463</v>
      </c>
      <c r="G651" s="1358" t="str">
        <f>C629</f>
        <v>Fannie Mae / Berkadia</v>
      </c>
      <c r="H651" s="1358"/>
      <c r="I651" s="1358"/>
      <c r="J651" s="1358"/>
      <c r="K651" s="1358"/>
      <c r="L651" s="1358"/>
      <c r="M651" s="1358"/>
      <c r="N651" s="1358"/>
      <c r="O651" s="1358"/>
      <c r="P651" s="1358"/>
      <c r="Q651" s="1358"/>
      <c r="R651" s="1358"/>
      <c r="T651" s="55" t="s">
        <v>581</v>
      </c>
      <c r="U651" t="s">
        <v>463</v>
      </c>
      <c r="Z651" s="1358" t="str">
        <f>C630</f>
        <v>Plummer Village Apartments LP</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3" customHeight="1">
      <c r="A652" s="22"/>
      <c r="B652" t="s">
        <v>85</v>
      </c>
      <c r="G652" s="1372" t="s">
        <v>2700</v>
      </c>
      <c r="H652" s="1372"/>
      <c r="I652" s="1372"/>
      <c r="J652" s="1372"/>
      <c r="K652" s="1372"/>
      <c r="L652" s="1372"/>
      <c r="M652" s="1372"/>
      <c r="N652" s="1372"/>
      <c r="O652" s="1372"/>
      <c r="P652" s="1372"/>
      <c r="Q652" s="1372"/>
      <c r="R652" s="1372"/>
      <c r="T652" s="22"/>
      <c r="U652" t="s">
        <v>85</v>
      </c>
      <c r="Z652" s="1372" t="s">
        <v>2726</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3" customHeight="1">
      <c r="A653" s="22"/>
      <c r="B653" t="s">
        <v>580</v>
      </c>
      <c r="G653" s="1348" t="s">
        <v>2701</v>
      </c>
      <c r="H653" s="1348"/>
      <c r="I653" s="1348"/>
      <c r="J653" s="1348"/>
      <c r="K653" s="1348"/>
      <c r="L653" s="1348"/>
      <c r="M653" s="1348"/>
      <c r="N653" s="1348"/>
      <c r="O653" s="1348"/>
      <c r="P653" s="1348"/>
      <c r="Q653" s="1348"/>
      <c r="R653" s="1348"/>
      <c r="T653" s="22"/>
      <c r="U653" t="s">
        <v>580</v>
      </c>
      <c r="Z653" s="1348" t="s">
        <v>2633</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3" customHeight="1">
      <c r="A654" s="22"/>
      <c r="B654" t="s">
        <v>17</v>
      </c>
      <c r="G654" s="1348" t="s">
        <v>2702</v>
      </c>
      <c r="H654" s="1348"/>
      <c r="I654" s="1348"/>
      <c r="J654" s="1348"/>
      <c r="K654" s="1348"/>
      <c r="L654" s="1348"/>
      <c r="M654" s="1348"/>
      <c r="N654" s="1348"/>
      <c r="O654" s="1348"/>
      <c r="P654" s="1348"/>
      <c r="Q654" s="1348"/>
      <c r="R654" s="1348"/>
      <c r="T654" s="22"/>
      <c r="U654" t="s">
        <v>17</v>
      </c>
      <c r="Z654" s="1348" t="s">
        <v>2626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3" customHeight="1">
      <c r="A655" s="22"/>
      <c r="B655" t="s">
        <v>316</v>
      </c>
      <c r="G655" s="1346">
        <v>2143603849</v>
      </c>
      <c r="H655" s="1346"/>
      <c r="I655" s="1346"/>
      <c r="J655" s="1346"/>
      <c r="K655" s="1346"/>
      <c r="L655" s="1346"/>
      <c r="O655" s="33" t="s">
        <v>206</v>
      </c>
      <c r="P655" s="1436"/>
      <c r="Q655" s="1436"/>
      <c r="R655" s="1436"/>
      <c r="T655" s="22"/>
      <c r="U655" t="s">
        <v>316</v>
      </c>
      <c r="Z655" s="1346">
        <v>4242228253</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3" customHeight="1">
      <c r="A656" s="22"/>
      <c r="B656" t="s">
        <v>18</v>
      </c>
      <c r="H656" s="1371" t="s">
        <v>2117</v>
      </c>
      <c r="I656" s="1372"/>
      <c r="J656" s="1372"/>
      <c r="K656" s="1372"/>
      <c r="L656" s="1372"/>
      <c r="M656" s="1372"/>
      <c r="N656" s="1372"/>
      <c r="O656" s="1372"/>
      <c r="P656" s="1372"/>
      <c r="Q656" s="1372"/>
      <c r="R656" s="1372"/>
      <c r="T656" s="22"/>
      <c r="U656" t="s">
        <v>18</v>
      </c>
      <c r="AA656" s="1371" t="s">
        <v>2727</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3"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3"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3" customHeight="1">
      <c r="A659" s="55" t="s">
        <v>763</v>
      </c>
      <c r="B659" t="s">
        <v>463</v>
      </c>
      <c r="G659" s="1358" t="str">
        <f>C631</f>
        <v>Plummer Village Developer LLC</v>
      </c>
      <c r="H659" s="1358"/>
      <c r="I659" s="1358"/>
      <c r="J659" s="1358"/>
      <c r="K659" s="1358"/>
      <c r="L659" s="1358"/>
      <c r="M659" s="1358"/>
      <c r="N659" s="1358"/>
      <c r="O659" s="1358"/>
      <c r="P659" s="1358"/>
      <c r="Q659" s="1358"/>
      <c r="R659" s="1358"/>
      <c r="T659" s="55" t="s">
        <v>584</v>
      </c>
      <c r="U659" t="s">
        <v>463</v>
      </c>
      <c r="Z659" s="1358" t="str">
        <f>C632</f>
        <v>Cash Flow From Operations</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3" customHeight="1">
      <c r="A660" s="22"/>
      <c r="B660" t="s">
        <v>85</v>
      </c>
      <c r="G660" s="1372" t="s">
        <v>2726</v>
      </c>
      <c r="H660" s="1372"/>
      <c r="I660" s="1372"/>
      <c r="J660" s="1372"/>
      <c r="K660" s="1372"/>
      <c r="L660" s="1372"/>
      <c r="M660" s="1372"/>
      <c r="N660" s="1372"/>
      <c r="O660" s="1372"/>
      <c r="P660" s="1372"/>
      <c r="Q660" s="1372"/>
      <c r="R660" s="1372"/>
      <c r="T660" s="22"/>
      <c r="U660" t="s">
        <v>85</v>
      </c>
      <c r="Z660" s="1372" t="s">
        <v>2726</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3" customHeight="1">
      <c r="A661" s="22"/>
      <c r="B661" t="s">
        <v>580</v>
      </c>
      <c r="G661" s="1372" t="s">
        <v>2633</v>
      </c>
      <c r="H661" s="1372"/>
      <c r="I661" s="1372"/>
      <c r="J661" s="1372"/>
      <c r="K661" s="1372"/>
      <c r="L661" s="1372"/>
      <c r="M661" s="1372"/>
      <c r="N661" s="1372"/>
      <c r="O661" s="1372"/>
      <c r="P661" s="1372"/>
      <c r="Q661" s="1372"/>
      <c r="R661" s="1372"/>
      <c r="T661" s="22"/>
      <c r="U661" t="s">
        <v>580</v>
      </c>
      <c r="Z661" s="1348" t="s">
        <v>2633</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3" customHeight="1">
      <c r="A662" s="22"/>
      <c r="B662" t="s">
        <v>17</v>
      </c>
      <c r="G662" s="1372" t="s">
        <v>2626</v>
      </c>
      <c r="H662" s="1372"/>
      <c r="I662" s="1372"/>
      <c r="J662" s="1372"/>
      <c r="K662" s="1372"/>
      <c r="L662" s="1372"/>
      <c r="M662" s="1372"/>
      <c r="N662" s="1372"/>
      <c r="O662" s="1372"/>
      <c r="P662" s="1372"/>
      <c r="Q662" s="1372"/>
      <c r="R662" s="1372"/>
      <c r="T662" s="22"/>
      <c r="U662" t="s">
        <v>17</v>
      </c>
      <c r="Z662" s="1348" t="s">
        <v>2626</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3" customHeight="1">
      <c r="A663" s="22"/>
      <c r="B663" t="s">
        <v>316</v>
      </c>
      <c r="G663" s="1346">
        <v>4242228253</v>
      </c>
      <c r="H663" s="1346"/>
      <c r="I663" s="1346"/>
      <c r="J663" s="1346"/>
      <c r="K663" s="1346"/>
      <c r="L663" s="1346"/>
      <c r="O663" s="33" t="s">
        <v>206</v>
      </c>
      <c r="P663" s="1436"/>
      <c r="Q663" s="1436"/>
      <c r="R663" s="1436"/>
      <c r="T663" s="22"/>
      <c r="U663" t="s">
        <v>316</v>
      </c>
      <c r="Z663" s="1346">
        <v>4242228253</v>
      </c>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3" customHeight="1">
      <c r="A664" s="22"/>
      <c r="B664" t="s">
        <v>18</v>
      </c>
      <c r="H664" s="1371" t="s">
        <v>2319</v>
      </c>
      <c r="I664" s="1372"/>
      <c r="J664" s="1372"/>
      <c r="K664" s="1372"/>
      <c r="L664" s="1372"/>
      <c r="M664" s="1372"/>
      <c r="N664" s="1372"/>
      <c r="O664" s="1372"/>
      <c r="P664" s="1372"/>
      <c r="Q664" s="1372"/>
      <c r="R664" s="1372"/>
      <c r="T664" s="22"/>
      <c r="U664" t="s">
        <v>18</v>
      </c>
      <c r="AA664" s="1371" t="s">
        <v>2728</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3"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3"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3" customHeight="1">
      <c r="A669" s="22"/>
      <c r="B669" t="s">
        <v>580</v>
      </c>
      <c r="G669" s="1372"/>
      <c r="H669" s="1372"/>
      <c r="I669" s="1372"/>
      <c r="J669" s="1372"/>
      <c r="K669" s="1372"/>
      <c r="L669" s="1372"/>
      <c r="M669" s="1372"/>
      <c r="N669" s="1372"/>
      <c r="O669" s="1372"/>
      <c r="P669" s="1372"/>
      <c r="Q669" s="1372"/>
      <c r="R669" s="1372"/>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1370.6486486486488</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3"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669</v>
      </c>
      <c r="O673" s="1332"/>
      <c r="T673" s="22"/>
      <c r="U673" t="s">
        <v>20</v>
      </c>
      <c r="AG673" s="1332" t="s">
        <v>669</v>
      </c>
      <c r="AH673" s="1332"/>
      <c r="AZ673" s="3"/>
    </row>
    <row r="674" spans="1:52" ht="13" customHeight="1">
      <c r="A674" s="22"/>
      <c r="T674" s="22"/>
      <c r="AZ674" s="3"/>
    </row>
    <row r="675" spans="1:52" ht="13"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580</v>
      </c>
      <c r="G677" s="1372"/>
      <c r="H677" s="1372"/>
      <c r="I677" s="1372"/>
      <c r="J677" s="1372"/>
      <c r="K677" s="1372"/>
      <c r="L677" s="1372"/>
      <c r="M677" s="1372"/>
      <c r="N677" s="1372"/>
      <c r="O677" s="1372"/>
      <c r="P677" s="1372"/>
      <c r="Q677" s="1372"/>
      <c r="R677" s="1372"/>
      <c r="T677" s="22"/>
      <c r="U677" t="s">
        <v>580</v>
      </c>
      <c r="Z677" s="1348"/>
      <c r="AA677" s="1348"/>
      <c r="AB677" s="1348"/>
      <c r="AC677" s="1348"/>
      <c r="AD677" s="1348"/>
      <c r="AE677" s="1348"/>
      <c r="AF677" s="1348"/>
      <c r="AG677" s="1348"/>
      <c r="AH677" s="1348"/>
      <c r="AI677" s="1348"/>
      <c r="AJ677" s="1348"/>
      <c r="AK677" s="1348"/>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669</v>
      </c>
      <c r="O681" s="1332"/>
      <c r="T681" s="22"/>
      <c r="U681" t="s">
        <v>20</v>
      </c>
      <c r="AG681" s="1332" t="s">
        <v>669</v>
      </c>
      <c r="AH681" s="1332"/>
      <c r="AZ681" s="3"/>
    </row>
    <row r="682" spans="1:52" ht="13" customHeight="1">
      <c r="A682" s="22"/>
      <c r="T682" s="22"/>
      <c r="AZ682" s="3"/>
    </row>
    <row r="683" spans="1:52" ht="13" customHeight="1">
      <c r="A683" s="55" t="s">
        <v>362</v>
      </c>
      <c r="B683" t="s">
        <v>463</v>
      </c>
      <c r="G683" s="1358">
        <f>C637</f>
        <v>0</v>
      </c>
      <c r="H683" s="1358"/>
      <c r="I683" s="1358"/>
      <c r="J683" s="1358"/>
      <c r="K683" s="1358"/>
      <c r="L683" s="1358"/>
      <c r="M683" s="1358"/>
      <c r="N683" s="1358"/>
      <c r="O683" s="1358"/>
      <c r="P683" s="1358"/>
      <c r="Q683" s="1358"/>
      <c r="R683" s="1358"/>
      <c r="T683" s="55" t="s">
        <v>363</v>
      </c>
      <c r="U683" t="s">
        <v>463</v>
      </c>
      <c r="Z683" s="1358">
        <f>C638</f>
        <v>0</v>
      </c>
      <c r="AA683" s="1358"/>
      <c r="AB683" s="1358"/>
      <c r="AC683" s="1358"/>
      <c r="AD683" s="1358"/>
      <c r="AE683" s="1358"/>
      <c r="AF683" s="1358"/>
      <c r="AG683" s="1358"/>
      <c r="AH683" s="1358"/>
      <c r="AI683" s="1358"/>
      <c r="AJ683" s="1358"/>
      <c r="AK683" s="1358"/>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580</v>
      </c>
      <c r="G685" s="1372"/>
      <c r="H685" s="1372"/>
      <c r="I685" s="1372"/>
      <c r="J685" s="1372"/>
      <c r="K685" s="1372"/>
      <c r="L685" s="1372"/>
      <c r="M685" s="1372"/>
      <c r="N685" s="1372"/>
      <c r="O685" s="1372"/>
      <c r="P685" s="1372"/>
      <c r="Q685" s="1372"/>
      <c r="R685" s="1372"/>
      <c r="U685" t="s">
        <v>580</v>
      </c>
      <c r="Z685" s="1348"/>
      <c r="AA685" s="1348"/>
      <c r="AB685" s="1348"/>
      <c r="AC685" s="1348"/>
      <c r="AD685" s="1348"/>
      <c r="AE685" s="1348"/>
      <c r="AF685" s="1348"/>
      <c r="AG685" s="1348"/>
      <c r="AH685" s="1348"/>
      <c r="AI685" s="1348"/>
      <c r="AJ685" s="1348"/>
      <c r="AK685" s="1348"/>
      <c r="AZ685" s="3"/>
    </row>
    <row r="686" spans="1:52" ht="13"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669</v>
      </c>
      <c r="O689" s="1332"/>
      <c r="U689" t="s">
        <v>20</v>
      </c>
      <c r="AG689" s="1332" t="s">
        <v>669</v>
      </c>
      <c r="AH689" s="1332"/>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2" t="s">
        <v>669</v>
      </c>
      <c r="AF693" s="1332"/>
      <c r="AZ693" s="3"/>
    </row>
    <row r="694" spans="1:67" ht="13" customHeight="1">
      <c r="B694" s="135"/>
      <c r="C694" s="135"/>
      <c r="D694" s="136" t="s">
        <v>438</v>
      </c>
      <c r="E694" s="135"/>
      <c r="F694" s="135"/>
      <c r="G694" s="135"/>
      <c r="H694" s="135"/>
      <c r="AE694" s="1332" t="s">
        <v>669</v>
      </c>
      <c r="AF694" s="1332"/>
      <c r="AZ694" s="3"/>
    </row>
    <row r="695" spans="1:67" ht="13" customHeight="1">
      <c r="B695" s="135"/>
      <c r="C695" s="135"/>
      <c r="D695" s="136" t="s">
        <v>920</v>
      </c>
      <c r="E695" s="135"/>
      <c r="F695" s="135"/>
      <c r="G695" s="135"/>
      <c r="H695" s="135"/>
      <c r="AE695" s="1690">
        <v>45905</v>
      </c>
      <c r="AF695" s="1690"/>
      <c r="AG695" s="1690"/>
      <c r="AH695" s="1690"/>
      <c r="AI695" s="1690"/>
    </row>
    <row r="696" spans="1:67" ht="13" customHeight="1">
      <c r="B696" s="135"/>
      <c r="C696" s="135"/>
      <c r="D696" s="317" t="s">
        <v>982</v>
      </c>
      <c r="E696" s="135"/>
      <c r="F696" s="135"/>
      <c r="G696" s="135"/>
      <c r="H696" s="135"/>
      <c r="AE696" s="1702">
        <v>45996</v>
      </c>
      <c r="AF696" s="1702"/>
      <c r="AG696" s="1702"/>
      <c r="AH696" s="1702"/>
      <c r="AI696" s="1702"/>
    </row>
    <row r="697" spans="1:67" ht="13" customHeight="1">
      <c r="B697" s="135"/>
      <c r="C697" s="135"/>
    </row>
    <row r="698" spans="1:67" ht="13" customHeight="1">
      <c r="B698" s="135"/>
      <c r="C698" s="135"/>
      <c r="D698" s="136" t="s">
        <v>816</v>
      </c>
      <c r="E698" s="135"/>
      <c r="F698" s="135"/>
      <c r="G698" s="135"/>
      <c r="H698" s="135"/>
      <c r="AE698" s="1690">
        <v>46127</v>
      </c>
      <c r="AF698" s="1690"/>
      <c r="AG698" s="1690"/>
      <c r="AH698" s="1690"/>
      <c r="AI698" s="1690"/>
    </row>
    <row r="699" spans="1:67" ht="13" customHeight="1">
      <c r="B699" s="135"/>
      <c r="C699" s="135"/>
      <c r="D699" s="136" t="s">
        <v>436</v>
      </c>
      <c r="E699" s="135"/>
      <c r="F699" s="135"/>
      <c r="G699" s="135"/>
      <c r="H699" s="135"/>
      <c r="AE699" s="1660">
        <v>0.26282586497519134</v>
      </c>
      <c r="AF699" s="1660"/>
      <c r="AG699" s="1660"/>
      <c r="AH699" s="1660"/>
      <c r="AI699" s="1660"/>
    </row>
    <row r="700" spans="1:67" ht="13"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2" t="s">
        <v>545</v>
      </c>
      <c r="AF702" s="1332"/>
      <c r="AZ702" s="4" t="s">
        <v>324</v>
      </c>
    </row>
    <row r="703" spans="1:67" ht="13" customHeight="1">
      <c r="B703" s="135"/>
      <c r="C703" s="135"/>
      <c r="D703" s="136" t="s">
        <v>442</v>
      </c>
      <c r="E703" s="135"/>
      <c r="F703" s="135"/>
      <c r="G703" s="135"/>
      <c r="H703" s="135"/>
      <c r="W703" s="1372" t="s">
        <v>2742</v>
      </c>
      <c r="X703" s="1372"/>
      <c r="Y703" s="1372"/>
      <c r="Z703" s="1372"/>
      <c r="AA703" s="1372"/>
      <c r="AB703" s="1372"/>
      <c r="AC703" s="1372"/>
      <c r="AD703" s="1372"/>
      <c r="AE703" s="1372"/>
      <c r="AF703" s="1372"/>
      <c r="AG703" s="1372"/>
      <c r="AH703" s="1372"/>
      <c r="AI703" s="1372"/>
      <c r="AJ703" s="1372"/>
      <c r="AK703" s="1372"/>
      <c r="AZ703" s="4" t="s">
        <v>325</v>
      </c>
    </row>
    <row r="704" spans="1:67" ht="13" customHeight="1">
      <c r="B704" s="135"/>
      <c r="C704" s="135"/>
      <c r="D704" s="136" t="s">
        <v>87</v>
      </c>
      <c r="E704" s="135"/>
      <c r="F704" s="135"/>
      <c r="G704" s="135"/>
      <c r="H704" s="135"/>
      <c r="J704" s="1372" t="s">
        <v>2702</v>
      </c>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6">
        <v>2143603849</v>
      </c>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2" t="s">
        <v>300</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2743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19" t="s">
        <v>1678</v>
      </c>
      <c r="L714" s="1720"/>
      <c r="M714" s="1720"/>
      <c r="N714" s="1721"/>
      <c r="O714" s="1362" t="s">
        <v>447</v>
      </c>
      <c r="P714" s="1363"/>
      <c r="Q714" s="1363"/>
      <c r="R714" s="1363"/>
      <c r="S714" s="1364"/>
      <c r="T714" s="1658" t="s">
        <v>1948</v>
      </c>
      <c r="U714" s="1363"/>
      <c r="V714" s="1363"/>
      <c r="W714" s="1364"/>
      <c r="X714" s="1658" t="s">
        <v>1950</v>
      </c>
      <c r="Y714" s="1363"/>
      <c r="Z714" s="1363"/>
      <c r="AA714" s="1363"/>
      <c r="AB714" s="1364"/>
      <c r="AC714" s="1658" t="s">
        <v>1949</v>
      </c>
      <c r="AD714" s="1363"/>
      <c r="AE714" s="1363"/>
      <c r="AF714" s="1363"/>
      <c r="AG714" s="1364"/>
      <c r="AH714" s="1658" t="s">
        <v>1951</v>
      </c>
      <c r="AI714" s="1363"/>
      <c r="AJ714" s="1364"/>
      <c r="AK714" s="1658" t="s">
        <v>1978</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69"/>
      <c r="CK717" s="121" t="s">
        <v>475</v>
      </c>
      <c r="CL717" s="122"/>
      <c r="CM717" s="1468"/>
      <c r="CN717" s="1469"/>
      <c r="CO717" s="3"/>
      <c r="CP717" s="1387" t="s">
        <v>633</v>
      </c>
      <c r="CQ717" s="1388"/>
      <c r="CR717" s="1388"/>
      <c r="CS717" s="1388"/>
      <c r="CT717" s="1389"/>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3" customHeight="1">
      <c r="A718" s="4"/>
      <c r="B718" s="1337" t="s">
        <v>325</v>
      </c>
      <c r="C718" s="1338"/>
      <c r="D718" s="1338"/>
      <c r="E718" s="1338"/>
      <c r="F718" s="1339"/>
      <c r="G718" s="1349">
        <v>8</v>
      </c>
      <c r="H718" s="1350"/>
      <c r="I718" s="1350"/>
      <c r="J718" s="1351"/>
      <c r="K718" s="1343">
        <v>585</v>
      </c>
      <c r="L718" s="1344"/>
      <c r="M718" s="1344"/>
      <c r="N718" s="1345"/>
      <c r="O718" s="1340">
        <v>818</v>
      </c>
      <c r="P718" s="1341"/>
      <c r="Q718" s="1341"/>
      <c r="R718" s="1341"/>
      <c r="S718" s="1342"/>
      <c r="T718" s="1340">
        <v>34</v>
      </c>
      <c r="U718" s="1341"/>
      <c r="V718" s="1341"/>
      <c r="W718" s="1342"/>
      <c r="X718" s="1352">
        <f t="shared" ref="X718:X741" si="8">O718+T718</f>
        <v>852</v>
      </c>
      <c r="Y718" s="1353"/>
      <c r="Z718" s="1353"/>
      <c r="AA718" s="1353"/>
      <c r="AB718" s="1354"/>
      <c r="AC718" s="1359">
        <v>0.3</v>
      </c>
      <c r="AD718" s="1360"/>
      <c r="AE718" s="1360"/>
      <c r="AF718" s="1360"/>
      <c r="AG718" s="1361"/>
      <c r="AH718" s="1355">
        <f>IF($AC718&gt;0,($X718/$AZ718), "")</f>
        <v>0.3</v>
      </c>
      <c r="AI718" s="1356"/>
      <c r="AJ718" s="1357"/>
      <c r="AK718" s="1337" t="s">
        <v>591</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8</v>
      </c>
      <c r="BG718" s="297">
        <f t="shared" ref="BG718:BG752" si="11">IF($BF$753=0,0,BF718/$BF$753)</f>
        <v>0.10810810810810811</v>
      </c>
      <c r="BH718" s="298">
        <f t="shared" ref="BH718:BH752" si="12">IF(BG718=0,"",BG718*AC718)</f>
        <v>3.2432432432432434E-2</v>
      </c>
      <c r="BI718" s="3"/>
      <c r="BJ718" s="3"/>
      <c r="BK718" s="3"/>
      <c r="BL718" s="3"/>
      <c r="BM718" s="3"/>
      <c r="BN718" s="3"/>
      <c r="BS718" s="293">
        <f t="shared" ref="BS718:BS752" si="13">G718</f>
        <v>8</v>
      </c>
      <c r="BT718" s="297">
        <f t="shared" ref="BT718:BT752" si="14">IF($BS$753=0,0,BS718/$BS$753)</f>
        <v>0.10810810810810811</v>
      </c>
      <c r="BU718" s="298">
        <f t="shared" ref="BU718:BU752" si="15">IF(BT718=0,"",BT718*AH718)</f>
        <v>3.2432432432432434E-2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8</v>
      </c>
      <c r="CN718" s="1469"/>
      <c r="CO718" s="3"/>
      <c r="CP718" s="1457">
        <f t="shared" ref="CP718:CP752" si="18">IF(B718="SRO/Studio",G718,0)</f>
        <v>0</v>
      </c>
      <c r="CQ718" s="1458"/>
      <c r="CR718" s="1458"/>
      <c r="CS718" s="1458"/>
      <c r="CT718" s="1459"/>
      <c r="CU718" s="1442">
        <f t="shared" ref="CU718:CU752" si="19">IF(B718="1 Bedroom",G718,0)</f>
        <v>8</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8</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818</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3" customHeight="1">
      <c r="A719" s="4"/>
      <c r="B719" s="1337" t="s">
        <v>325</v>
      </c>
      <c r="C719" s="1338"/>
      <c r="D719" s="1338"/>
      <c r="E719" s="1338"/>
      <c r="F719" s="1339"/>
      <c r="G719" s="1349">
        <v>8</v>
      </c>
      <c r="H719" s="1350"/>
      <c r="I719" s="1350"/>
      <c r="J719" s="1351"/>
      <c r="K719" s="1343">
        <v>585</v>
      </c>
      <c r="L719" s="1344"/>
      <c r="M719" s="1344"/>
      <c r="N719" s="1345"/>
      <c r="O719" s="1340">
        <v>1102</v>
      </c>
      <c r="P719" s="1341"/>
      <c r="Q719" s="1341"/>
      <c r="R719" s="1341"/>
      <c r="S719" s="1342"/>
      <c r="T719" s="1340">
        <v>34</v>
      </c>
      <c r="U719" s="1341"/>
      <c r="V719" s="1341"/>
      <c r="W719" s="1342"/>
      <c r="X719" s="1352">
        <f t="shared" si="8"/>
        <v>1136</v>
      </c>
      <c r="Y719" s="1353"/>
      <c r="Z719" s="1353"/>
      <c r="AA719" s="1353"/>
      <c r="AB719" s="1354"/>
      <c r="AC719" s="1359">
        <v>0.4</v>
      </c>
      <c r="AD719" s="1360"/>
      <c r="AE719" s="1360"/>
      <c r="AF719" s="1360"/>
      <c r="AG719" s="1361"/>
      <c r="AH719" s="1355">
        <f t="shared" ref="AH719:AH752" si="36">IF($AC719&gt;0,($X719/$AZ719), "")</f>
        <v>0.4</v>
      </c>
      <c r="AI719" s="1356"/>
      <c r="AJ719" s="1357"/>
      <c r="AK719" s="1337" t="s">
        <v>591</v>
      </c>
      <c r="AL719" s="1338"/>
      <c r="AM719" s="1338"/>
      <c r="AN719" s="1338"/>
      <c r="AO719" s="1339"/>
      <c r="AP719" s="3"/>
      <c r="AQ719" s="3"/>
      <c r="AR719" s="3"/>
      <c r="AS719" s="3"/>
      <c r="AZ719" s="118">
        <f t="shared" si="9"/>
        <v>2840</v>
      </c>
      <c r="BA719" s="3"/>
      <c r="BB719" s="3"/>
      <c r="BC719" s="3"/>
      <c r="BD719" s="3"/>
      <c r="BE719" s="204"/>
      <c r="BF719" s="294">
        <f t="shared" si="10"/>
        <v>8</v>
      </c>
      <c r="BG719" s="297">
        <f t="shared" si="11"/>
        <v>0.10810810810810811</v>
      </c>
      <c r="BH719" s="298">
        <f t="shared" si="12"/>
        <v>4.3243243243243246E-2</v>
      </c>
      <c r="BI719" s="3"/>
      <c r="BJ719" s="3"/>
      <c r="BK719" s="3"/>
      <c r="BL719" s="3"/>
      <c r="BM719" s="3"/>
      <c r="BN719" s="3"/>
      <c r="BS719" s="294">
        <f t="shared" si="13"/>
        <v>8</v>
      </c>
      <c r="BT719" s="297">
        <f t="shared" si="14"/>
        <v>0.10810810810810811</v>
      </c>
      <c r="BU719" s="298">
        <f t="shared" si="15"/>
        <v>4.3243243243243246E-2</v>
      </c>
      <c r="CC719" s="3"/>
      <c r="CD719" s="3"/>
      <c r="CE719" s="3"/>
      <c r="CF719" s="3"/>
      <c r="CG719" s="1462">
        <f t="shared" ref="CG719:CG752" si="37">IF(AND(AC719&lt;=0.5,AC719&gt;=0.36),1,0)</f>
        <v>1</v>
      </c>
      <c r="CH719" s="1463"/>
      <c r="CI719" s="1468">
        <f t="shared" ref="CI719:CI752" si="38">IF(CG719=1,G719,0)</f>
        <v>8</v>
      </c>
      <c r="CJ719" s="1469"/>
      <c r="CK719" s="1462">
        <f t="shared" si="16"/>
        <v>0</v>
      </c>
      <c r="CL719" s="1463"/>
      <c r="CM719" s="1468">
        <f t="shared" si="17"/>
        <v>0</v>
      </c>
      <c r="CN719" s="1469"/>
      <c r="CO719" s="3"/>
      <c r="CP719" s="1457">
        <f t="shared" si="18"/>
        <v>0</v>
      </c>
      <c r="CQ719" s="1458"/>
      <c r="CR719" s="1458"/>
      <c r="CS719" s="1458"/>
      <c r="CT719" s="1459"/>
      <c r="CU719" s="1442">
        <f t="shared" si="19"/>
        <v>8</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1102</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3" customHeight="1">
      <c r="A720" s="4"/>
      <c r="B720" s="1337" t="s">
        <v>325</v>
      </c>
      <c r="C720" s="1338"/>
      <c r="D720" s="1338"/>
      <c r="E720" s="1338"/>
      <c r="F720" s="1339"/>
      <c r="G720" s="1349">
        <v>38</v>
      </c>
      <c r="H720" s="1350"/>
      <c r="I720" s="1350"/>
      <c r="J720" s="1351"/>
      <c r="K720" s="1343">
        <v>585</v>
      </c>
      <c r="L720" s="1344"/>
      <c r="M720" s="1344"/>
      <c r="N720" s="1345"/>
      <c r="O720" s="1340">
        <v>1386</v>
      </c>
      <c r="P720" s="1341"/>
      <c r="Q720" s="1341"/>
      <c r="R720" s="1341"/>
      <c r="S720" s="1342"/>
      <c r="T720" s="1340">
        <v>34</v>
      </c>
      <c r="U720" s="1341"/>
      <c r="V720" s="1341"/>
      <c r="W720" s="1342"/>
      <c r="X720" s="1352">
        <f t="shared" si="8"/>
        <v>1420</v>
      </c>
      <c r="Y720" s="1353"/>
      <c r="Z720" s="1353"/>
      <c r="AA720" s="1353"/>
      <c r="AB720" s="1354"/>
      <c r="AC720" s="1359">
        <v>0.5</v>
      </c>
      <c r="AD720" s="1360"/>
      <c r="AE720" s="1360"/>
      <c r="AF720" s="1360"/>
      <c r="AG720" s="1361"/>
      <c r="AH720" s="1355">
        <f t="shared" si="36"/>
        <v>0.5</v>
      </c>
      <c r="AI720" s="1356"/>
      <c r="AJ720" s="1357"/>
      <c r="AK720" s="1337" t="s">
        <v>591</v>
      </c>
      <c r="AL720" s="1338"/>
      <c r="AM720" s="1338"/>
      <c r="AN720" s="1338"/>
      <c r="AO720" s="1339"/>
      <c r="AP720" s="3"/>
      <c r="AQ720" s="3"/>
      <c r="AR720" s="3"/>
      <c r="AS720" s="3"/>
      <c r="AZ720" s="118">
        <f t="shared" si="9"/>
        <v>2840</v>
      </c>
      <c r="BA720" s="3"/>
      <c r="BB720" s="3"/>
      <c r="BC720" s="3"/>
      <c r="BD720" s="3"/>
      <c r="BE720" s="204"/>
      <c r="BF720" s="294">
        <f t="shared" si="10"/>
        <v>38</v>
      </c>
      <c r="BG720" s="297">
        <f t="shared" si="11"/>
        <v>0.51351351351351349</v>
      </c>
      <c r="BH720" s="298">
        <f t="shared" si="12"/>
        <v>0.25675675675675674</v>
      </c>
      <c r="BI720" s="3"/>
      <c r="BJ720" s="3"/>
      <c r="BK720" s="3"/>
      <c r="BL720" s="3"/>
      <c r="BM720" s="3"/>
      <c r="BN720" s="3"/>
      <c r="BS720" s="294">
        <f t="shared" si="13"/>
        <v>38</v>
      </c>
      <c r="BT720" s="297">
        <f t="shared" si="14"/>
        <v>0.51351351351351349</v>
      </c>
      <c r="BU720" s="298">
        <f t="shared" si="15"/>
        <v>0.25675675675675674</v>
      </c>
      <c r="CC720" s="3"/>
      <c r="CD720" s="3"/>
      <c r="CE720" s="3"/>
      <c r="CF720" s="3"/>
      <c r="CG720" s="1462">
        <f t="shared" si="37"/>
        <v>1</v>
      </c>
      <c r="CH720" s="1463"/>
      <c r="CI720" s="1468">
        <f t="shared" si="38"/>
        <v>38</v>
      </c>
      <c r="CJ720" s="1469"/>
      <c r="CK720" s="1462">
        <f t="shared" si="16"/>
        <v>0</v>
      </c>
      <c r="CL720" s="1463"/>
      <c r="CM720" s="1468">
        <f t="shared" si="17"/>
        <v>0</v>
      </c>
      <c r="CN720" s="1469"/>
      <c r="CO720" s="3"/>
      <c r="CP720" s="1457">
        <f t="shared" si="18"/>
        <v>0</v>
      </c>
      <c r="CQ720" s="1458"/>
      <c r="CR720" s="1458"/>
      <c r="CS720" s="1458"/>
      <c r="CT720" s="1459"/>
      <c r="CU720" s="1442">
        <f t="shared" si="19"/>
        <v>38</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f t="shared" si="31"/>
        <v>1386</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3" customHeight="1">
      <c r="B721" s="1337" t="s">
        <v>325</v>
      </c>
      <c r="C721" s="1338"/>
      <c r="D721" s="1338"/>
      <c r="E721" s="1338"/>
      <c r="F721" s="1339"/>
      <c r="G721" s="1349">
        <v>20</v>
      </c>
      <c r="H721" s="1350"/>
      <c r="I721" s="1350"/>
      <c r="J721" s="1351"/>
      <c r="K721" s="1343">
        <v>585</v>
      </c>
      <c r="L721" s="1344"/>
      <c r="M721" s="1344"/>
      <c r="N721" s="1345"/>
      <c r="O721" s="1340">
        <v>1670</v>
      </c>
      <c r="P721" s="1341"/>
      <c r="Q721" s="1341"/>
      <c r="R721" s="1341"/>
      <c r="S721" s="1342"/>
      <c r="T721" s="1340">
        <v>34</v>
      </c>
      <c r="U721" s="1341"/>
      <c r="V721" s="1341"/>
      <c r="W721" s="1342"/>
      <c r="X721" s="1352">
        <f t="shared" si="8"/>
        <v>1704</v>
      </c>
      <c r="Y721" s="1353"/>
      <c r="Z721" s="1353"/>
      <c r="AA721" s="1353"/>
      <c r="AB721" s="1354"/>
      <c r="AC721" s="1359">
        <v>0.6</v>
      </c>
      <c r="AD721" s="1360"/>
      <c r="AE721" s="1360"/>
      <c r="AF721" s="1360"/>
      <c r="AG721" s="1361"/>
      <c r="AH721" s="1355">
        <f t="shared" si="36"/>
        <v>0.6</v>
      </c>
      <c r="AI721" s="1356"/>
      <c r="AJ721" s="1357"/>
      <c r="AK721" s="1337" t="s">
        <v>591</v>
      </c>
      <c r="AL721" s="1338"/>
      <c r="AM721" s="1338"/>
      <c r="AN721" s="1338"/>
      <c r="AO721" s="1339"/>
      <c r="AP721" s="3"/>
      <c r="AQ721" s="3"/>
      <c r="AR721" s="3"/>
      <c r="AS721" s="3"/>
      <c r="AY721" s="116"/>
      <c r="AZ721" s="118">
        <f t="shared" si="9"/>
        <v>2840</v>
      </c>
      <c r="BA721" s="3"/>
      <c r="BB721" s="3"/>
      <c r="BC721" s="3"/>
      <c r="BD721" s="3"/>
      <c r="BE721" s="204"/>
      <c r="BF721" s="294">
        <f t="shared" si="10"/>
        <v>20</v>
      </c>
      <c r="BG721" s="297">
        <f t="shared" si="11"/>
        <v>0.27027027027027029</v>
      </c>
      <c r="BH721" s="298">
        <f t="shared" si="12"/>
        <v>0.16216216216216217</v>
      </c>
      <c r="BI721" s="3"/>
      <c r="BJ721" s="3"/>
      <c r="BK721" s="3"/>
      <c r="BL721" s="3"/>
      <c r="BM721" s="3"/>
      <c r="BN721" s="3"/>
      <c r="BS721" s="294">
        <f t="shared" si="13"/>
        <v>20</v>
      </c>
      <c r="BT721" s="297">
        <f t="shared" si="14"/>
        <v>0.27027027027027029</v>
      </c>
      <c r="BU721" s="298">
        <f t="shared" si="15"/>
        <v>0.16216216216216217</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20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f t="shared" si="31"/>
        <v>1670</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3"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8"/>
        <v>0</v>
      </c>
      <c r="Y722" s="1353"/>
      <c r="Z722" s="1353"/>
      <c r="AA722" s="1353"/>
      <c r="AB722" s="1354"/>
      <c r="AC722" s="1359"/>
      <c r="AD722" s="1360"/>
      <c r="AE722" s="1360"/>
      <c r="AF722" s="1360"/>
      <c r="AG722" s="1361"/>
      <c r="AH722" s="1355" t="str">
        <f t="shared" si="36"/>
        <v/>
      </c>
      <c r="AI722" s="1356"/>
      <c r="AJ722" s="1357"/>
      <c r="AK722" s="1337" t="s">
        <v>591</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3"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591</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3"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591</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3"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591</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3"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591</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3"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3"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591</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3"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3"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3"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3"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3"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3"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3"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3"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3"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3"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3"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3"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3"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3"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3"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3"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3"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3"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3"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3"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3"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3"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3"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3"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3" customHeight="1">
      <c r="A753"/>
      <c r="B753" s="1448" t="s">
        <v>125</v>
      </c>
      <c r="C753" s="1449"/>
      <c r="D753" s="1449"/>
      <c r="E753" s="1449"/>
      <c r="F753" s="1450"/>
      <c r="G753" s="1620">
        <f>SUM(G718:G752)</f>
        <v>74</v>
      </c>
      <c r="H753" s="1621"/>
      <c r="I753" s="1621"/>
      <c r="J753" s="1622"/>
      <c r="K753" s="902" t="s">
        <v>124</v>
      </c>
      <c r="L753" s="5"/>
      <c r="M753" s="5"/>
      <c r="N753" s="46"/>
      <c r="O753" s="1352">
        <f>SUMPRODUCT(G718:G752,O718:O752)</f>
        <v>101428</v>
      </c>
      <c r="P753" s="1353"/>
      <c r="Q753" s="1353"/>
      <c r="R753" s="1353"/>
      <c r="S753" s="1354"/>
      <c r="T753"/>
      <c r="U753"/>
      <c r="V753"/>
      <c r="W753"/>
      <c r="X753" s="904" t="s">
        <v>900</v>
      </c>
      <c r="Y753" s="903"/>
      <c r="Z753" s="903"/>
      <c r="AA753" s="903"/>
      <c r="AB753" s="905"/>
      <c r="AC753" s="1603">
        <f>BH753</f>
        <v>0.49459459459459459</v>
      </c>
      <c r="AD753" s="1604"/>
      <c r="AE753" s="1604"/>
      <c r="AF753" s="1604"/>
      <c r="AG753" s="1605"/>
      <c r="AH753" s="1603">
        <f>IFERROR(BU753,"")</f>
        <v>0.49459459459459459</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74</v>
      </c>
      <c r="BG753" s="300">
        <f>SUM(BG718:BG752)</f>
        <v>1</v>
      </c>
      <c r="BH753" s="300">
        <f>SUM(BH718:BH752)</f>
        <v>0.49459459459459459</v>
      </c>
      <c r="BI753"/>
      <c r="BJ753"/>
      <c r="BK753"/>
      <c r="BL753"/>
      <c r="BO753"/>
      <c r="BP753"/>
      <c r="BQ753"/>
      <c r="BR753"/>
      <c r="BS753" s="859">
        <f>SUM(BS718:BS752)</f>
        <v>74</v>
      </c>
      <c r="BT753" s="300">
        <f>SUM(BT718:BT752)</f>
        <v>1</v>
      </c>
      <c r="BU753" s="300">
        <f>SUM(BU718:BU752)</f>
        <v>0.49459459459459459</v>
      </c>
      <c r="CI753" s="1462">
        <f>SUM(CI718:CJ752)</f>
        <v>46</v>
      </c>
      <c r="CJ753" s="1463"/>
      <c r="CM753" s="1462">
        <f>SUM(CM718:CN752)</f>
        <v>8</v>
      </c>
      <c r="CN753" s="1463"/>
      <c r="CP753" s="1462">
        <f>SUM(CP718:CT752)</f>
        <v>0</v>
      </c>
      <c r="CQ753" s="1464"/>
      <c r="CR753" s="1464"/>
      <c r="CS753" s="1464"/>
      <c r="CT753" s="1463"/>
      <c r="CU753" s="1460">
        <f>SUM(CU718:CY752)</f>
        <v>74</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8</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4976</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3" customHeight="1">
      <c r="A754"/>
      <c r="B754" s="1619" t="s">
        <v>1892</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1859</v>
      </c>
      <c r="DO754" s="1462">
        <f>CP753+CU753+CZ753+DE753+DJ753+DO753</f>
        <v>74</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74</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74</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460">
        <f>DU755</f>
        <v>74</v>
      </c>
      <c r="P756" s="1460"/>
      <c r="Q756" s="1460"/>
      <c r="R756" s="1460"/>
      <c r="S756" s="969"/>
      <c r="T756" s="969"/>
      <c r="U756" s="118" t="s">
        <v>1891</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591</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18" t="s">
        <v>285</v>
      </c>
      <c r="P769" s="1618"/>
      <c r="Q769" s="1618"/>
      <c r="R769" s="1618"/>
      <c r="S769" s="1618"/>
      <c r="T769" s="1719" t="s">
        <v>1678</v>
      </c>
      <c r="U769" s="1720"/>
      <c r="V769" s="1720"/>
      <c r="W769" s="1721"/>
      <c r="X769" s="1362" t="s">
        <v>447</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2">
        <v>1</v>
      </c>
      <c r="P773" s="1612"/>
      <c r="Q773" s="1612"/>
      <c r="R773" s="1612"/>
      <c r="S773" s="1612"/>
      <c r="T773" s="1343">
        <v>900</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3"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3"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3"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3"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1</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3" customHeight="1">
      <c r="B779" s="56"/>
      <c r="C779" s="56"/>
      <c r="D779" s="56"/>
      <c r="E779" s="56"/>
      <c r="F779" s="56"/>
      <c r="G779" s="6"/>
      <c r="H779" s="6"/>
      <c r="I779" s="6"/>
      <c r="J779" s="1662" t="s">
        <v>669</v>
      </c>
      <c r="K779" s="166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18" t="s">
        <v>285</v>
      </c>
      <c r="P783" s="1618"/>
      <c r="Q783" s="1618"/>
      <c r="R783" s="1618"/>
      <c r="S783" s="1618"/>
      <c r="T783" s="1719" t="s">
        <v>1678</v>
      </c>
      <c r="U783" s="1720"/>
      <c r="V783" s="1720"/>
      <c r="W783" s="1721"/>
      <c r="X783" s="1362" t="s">
        <v>447</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3"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3"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3"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3"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3"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3"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3"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3"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3"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3"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60">
        <f>SUM(DU797:EX797)</f>
        <v>0</v>
      </c>
      <c r="EU799" s="1861"/>
      <c r="EV799" s="1861"/>
      <c r="EW799" s="1861"/>
      <c r="EX799" s="1862"/>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101428</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1217136</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74</v>
      </c>
      <c r="CV802" s="1472"/>
      <c r="CW802" s="1472"/>
      <c r="CX802" s="1472"/>
      <c r="CY802" s="1473"/>
      <c r="CZ802" s="1471">
        <f>CZ753+CZ777+CZ797</f>
        <v>1</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74</v>
      </c>
      <c r="DV802" s="57" t="s">
        <v>1862</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74</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48152</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1118304</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2" t="s">
        <v>2668</v>
      </c>
      <c r="Q816" s="1593"/>
      <c r="R816" s="1593"/>
      <c r="S816" s="1593"/>
      <c r="T816" s="1593"/>
      <c r="U816" s="1593"/>
      <c r="V816" s="1593"/>
      <c r="W816" s="1593"/>
      <c r="X816" s="1593"/>
      <c r="Y816" s="1594"/>
      <c r="Z816" s="1465">
        <v>3779.4526315789485</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3779.4526315789485</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2339219.4526315788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4" t="s">
        <v>459</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2" t="s">
        <v>2730</v>
      </c>
      <c r="G831" s="1593"/>
      <c r="H831" s="1593"/>
      <c r="I831" s="1593"/>
      <c r="J831" s="1593"/>
      <c r="K831" s="1593"/>
      <c r="L831" s="1593"/>
      <c r="M831" s="1641"/>
      <c r="N831" s="1641"/>
      <c r="O831" s="1641"/>
      <c r="P831" s="1641"/>
      <c r="Q831" s="1641">
        <v>34</v>
      </c>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34</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2666</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0">
        <v>3138.213500000003</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0">
        <v>11160.411900000001</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0">
        <v>7440.2746000000016</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0">
        <v>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 customHeight="1">
      <c r="J846" s="45" t="s">
        <v>170</v>
      </c>
      <c r="K846" s="5"/>
      <c r="L846" s="5"/>
      <c r="M846" s="1592" t="s">
        <v>2731</v>
      </c>
      <c r="N846" s="1593"/>
      <c r="O846" s="1593"/>
      <c r="P846" s="1593"/>
      <c r="Q846" s="1593"/>
      <c r="R846" s="1593"/>
      <c r="S846" s="1593"/>
      <c r="T846" s="1593"/>
      <c r="U846" s="1593"/>
      <c r="V846" s="1594"/>
      <c r="W846" s="1480">
        <v>32600.686500000003</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4">
        <f>SUM(W842:W846)</f>
        <v>54339.586500000005</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7"/>
      <c r="BH848" s="1627"/>
      <c r="BI848" s="1627"/>
      <c r="BJ848" s="1627"/>
      <c r="BK848" s="1627"/>
      <c r="BL848" s="1627"/>
    </row>
    <row r="849" spans="3:55" ht="13" customHeight="1">
      <c r="C849" s="2" t="s">
        <v>344</v>
      </c>
      <c r="J849" s="1448" t="s">
        <v>345</v>
      </c>
      <c r="K849" s="1449"/>
      <c r="L849" s="1449"/>
      <c r="M849" s="1449"/>
      <c r="N849" s="1449"/>
      <c r="O849" s="1449"/>
      <c r="P849" s="1449"/>
      <c r="Q849" s="1449"/>
      <c r="R849" s="1449"/>
      <c r="S849" s="1449"/>
      <c r="T849" s="1449"/>
      <c r="U849" s="1449"/>
      <c r="V849" s="1450"/>
      <c r="W849" s="1465">
        <v>56700</v>
      </c>
      <c r="X849" s="1466"/>
      <c r="Y849" s="1466"/>
      <c r="Z849" s="1466"/>
      <c r="AA849" s="1466"/>
      <c r="AB849" s="1466"/>
      <c r="AC849" s="1467"/>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0">
        <v>0</v>
      </c>
      <c r="X851" s="1650"/>
      <c r="Y851" s="1650"/>
      <c r="Z851" s="1650"/>
      <c r="AA851" s="1650"/>
      <c r="AB851" s="1650"/>
      <c r="AC851" s="1650"/>
      <c r="AZ851" s="1718"/>
      <c r="BA851" s="1718"/>
      <c r="BB851" s="14"/>
      <c r="BC851" s="14"/>
    </row>
    <row r="852" spans="3:55" ht="13" customHeight="1">
      <c r="J852" s="45" t="s">
        <v>351</v>
      </c>
      <c r="K852" s="5"/>
      <c r="L852" s="5"/>
      <c r="M852" s="5"/>
      <c r="N852" s="5"/>
      <c r="O852" s="5"/>
      <c r="P852" s="5"/>
      <c r="Q852" s="5"/>
      <c r="R852" s="5"/>
      <c r="S852" s="5"/>
      <c r="T852" s="5"/>
      <c r="U852" s="5"/>
      <c r="V852" s="46"/>
      <c r="W852" s="1650">
        <v>10954.689999999999</v>
      </c>
      <c r="X852" s="1650"/>
      <c r="Y852" s="1650"/>
      <c r="Z852" s="1650"/>
      <c r="AA852" s="1650"/>
      <c r="AB852" s="1650"/>
      <c r="AC852" s="1650"/>
      <c r="AZ852" s="30"/>
      <c r="BA852" s="30"/>
      <c r="BB852" s="14"/>
      <c r="BC852" s="14"/>
    </row>
    <row r="853" spans="3:55" ht="13" customHeight="1">
      <c r="J853" s="45" t="s">
        <v>459</v>
      </c>
      <c r="K853" s="5"/>
      <c r="L853" s="5"/>
      <c r="M853" s="5"/>
      <c r="N853" s="5"/>
      <c r="O853" s="5"/>
      <c r="P853" s="5"/>
      <c r="Q853" s="5"/>
      <c r="R853" s="5"/>
      <c r="S853" s="5"/>
      <c r="T853" s="5"/>
      <c r="U853" s="5"/>
      <c r="V853" s="46"/>
      <c r="W853" s="1650">
        <v>26301.17</v>
      </c>
      <c r="X853" s="1650"/>
      <c r="Y853" s="1650"/>
      <c r="Z853" s="1650"/>
      <c r="AA853" s="1650"/>
      <c r="AB853" s="1650"/>
      <c r="AC853" s="1650"/>
      <c r="AZ853" s="30"/>
      <c r="BA853" s="30"/>
      <c r="BB853" s="14"/>
      <c r="BC853" s="14"/>
    </row>
    <row r="854" spans="3:55" ht="13" customHeight="1">
      <c r="J854" s="62" t="s">
        <v>620</v>
      </c>
      <c r="K854" s="5"/>
      <c r="L854" s="5"/>
      <c r="M854" s="5"/>
      <c r="N854" s="5"/>
      <c r="O854" s="5"/>
      <c r="P854" s="5"/>
      <c r="Q854" s="5"/>
      <c r="R854" s="5"/>
      <c r="S854" s="5"/>
      <c r="T854" s="5"/>
      <c r="U854" s="5"/>
      <c r="V854" s="46"/>
      <c r="W854" s="1650">
        <v>37998.636000000006</v>
      </c>
      <c r="X854" s="1650"/>
      <c r="Y854" s="1650"/>
      <c r="Z854" s="1650"/>
      <c r="AA854" s="1650"/>
      <c r="AB854" s="1650"/>
      <c r="AC854" s="1650"/>
      <c r="AZ854" s="34"/>
      <c r="BA854" s="34"/>
      <c r="BB854" s="34"/>
      <c r="BC854" s="34"/>
    </row>
    <row r="855" spans="3:55" ht="13" customHeight="1">
      <c r="J855" s="63"/>
      <c r="K855" s="48"/>
      <c r="L855" s="48"/>
      <c r="M855" s="48"/>
      <c r="N855" s="48"/>
      <c r="O855" s="48"/>
      <c r="P855" s="48"/>
      <c r="Q855" s="48"/>
      <c r="R855" s="48"/>
      <c r="S855" s="48"/>
      <c r="T855" s="48"/>
      <c r="U855" s="48"/>
      <c r="V855" s="54" t="s">
        <v>272</v>
      </c>
      <c r="W855" s="1705">
        <f>SUM(W851:W854)</f>
        <v>75254.496000000014</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29">
        <v>56940.75</v>
      </c>
      <c r="X857" s="1630"/>
      <c r="Y857" s="1630"/>
      <c r="Z857" s="1630"/>
      <c r="AA857" s="1630"/>
      <c r="AB857" s="1630"/>
      <c r="AC857" s="1631"/>
      <c r="AD857" s="528"/>
      <c r="AZ857" s="34"/>
      <c r="BA857" s="34"/>
      <c r="BB857" s="34"/>
      <c r="BC857" s="34"/>
    </row>
    <row r="858" spans="3:55" ht="13" customHeight="1">
      <c r="C858" s="2" t="s">
        <v>347</v>
      </c>
      <c r="J858" s="121" t="s">
        <v>1654</v>
      </c>
      <c r="K858" s="5"/>
      <c r="L858" s="5"/>
      <c r="M858" s="5"/>
      <c r="N858" s="5"/>
      <c r="O858" s="5"/>
      <c r="P858" s="5"/>
      <c r="Q858" s="5"/>
      <c r="R858" s="5"/>
      <c r="S858" s="5"/>
      <c r="T858" s="1709">
        <v>1</v>
      </c>
      <c r="U858" s="1696"/>
      <c r="V858" s="1710"/>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29">
        <v>46419</v>
      </c>
      <c r="X859" s="1630"/>
      <c r="Y859" s="1630"/>
      <c r="Z859" s="1630"/>
      <c r="AA859" s="1630"/>
      <c r="AB859" s="1630"/>
      <c r="AC859" s="1631"/>
      <c r="AD859" s="533"/>
      <c r="AZ859" s="34"/>
      <c r="BA859" s="34"/>
      <c r="BB859" s="34"/>
      <c r="BC859" s="34"/>
    </row>
    <row r="860" spans="3:55" ht="13" customHeight="1">
      <c r="C860" s="2"/>
      <c r="J860" s="121" t="s">
        <v>1655</v>
      </c>
      <c r="K860" s="5"/>
      <c r="L860" s="5"/>
      <c r="M860" s="5"/>
      <c r="N860" s="5"/>
      <c r="O860" s="5"/>
      <c r="P860" s="5"/>
      <c r="Q860" s="5"/>
      <c r="R860" s="5"/>
      <c r="S860" s="5"/>
      <c r="T860" s="1709">
        <v>1</v>
      </c>
      <c r="U860" s="1696"/>
      <c r="V860" s="1710"/>
      <c r="W860" s="874"/>
      <c r="X860" s="875"/>
      <c r="Y860" s="875"/>
      <c r="Z860" s="875"/>
      <c r="AA860" s="875"/>
      <c r="AB860" s="875"/>
      <c r="AC860" s="876"/>
      <c r="AD860" s="533"/>
      <c r="AZ860" s="34"/>
      <c r="BA860" s="34"/>
      <c r="BB860" s="34"/>
      <c r="BC860" s="34"/>
    </row>
    <row r="861" spans="3:55" ht="13" customHeight="1">
      <c r="J861" s="45" t="s">
        <v>170</v>
      </c>
      <c r="K861" s="5"/>
      <c r="L861" s="5"/>
      <c r="M861" s="1592" t="s">
        <v>2732</v>
      </c>
      <c r="N861" s="1593"/>
      <c r="O861" s="1593"/>
      <c r="P861" s="1593"/>
      <c r="Q861" s="1593"/>
      <c r="R861" s="1593"/>
      <c r="S861" s="1593"/>
      <c r="T861" s="1593"/>
      <c r="U861" s="1593"/>
      <c r="V861" s="1594"/>
      <c r="W861" s="1629">
        <v>21117.083999999973</v>
      </c>
      <c r="X861" s="1630"/>
      <c r="Y861" s="1630"/>
      <c r="Z861" s="1630"/>
      <c r="AA861" s="1630"/>
      <c r="AB861" s="1630"/>
      <c r="AC861" s="1631"/>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1">
        <f>SUM(W857:W861)</f>
        <v>124476.83399999997</v>
      </c>
      <c r="X862" s="1712"/>
      <c r="Y862" s="1712"/>
      <c r="Z862" s="1712"/>
      <c r="AA862" s="1712"/>
      <c r="AB862" s="1712"/>
      <c r="AC862" s="1713"/>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29">
        <v>30750</v>
      </c>
      <c r="X863" s="1630"/>
      <c r="Y863" s="1630"/>
      <c r="Z863" s="1630"/>
      <c r="AA863" s="1630"/>
      <c r="AB863" s="1630"/>
      <c r="AC863" s="1631"/>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480">
        <v>3983.98</v>
      </c>
      <c r="X865" s="1480"/>
      <c r="Y865" s="1480"/>
      <c r="Z865" s="1480"/>
      <c r="AA865" s="1480"/>
      <c r="AB865" s="1480"/>
      <c r="AC865" s="1480"/>
      <c r="AU865" s="14"/>
      <c r="AZ865" s="34"/>
      <c r="BA865" s="34"/>
      <c r="BB865" s="34"/>
      <c r="BC865" s="34"/>
    </row>
    <row r="866" spans="3:55" ht="13" customHeight="1">
      <c r="J866" s="45" t="s">
        <v>522</v>
      </c>
      <c r="K866" s="5"/>
      <c r="L866" s="5"/>
      <c r="M866" s="5"/>
      <c r="N866" s="5"/>
      <c r="O866" s="5"/>
      <c r="P866" s="5"/>
      <c r="Q866" s="5"/>
      <c r="R866" s="5"/>
      <c r="S866" s="5"/>
      <c r="T866" s="5"/>
      <c r="U866" s="5"/>
      <c r="V866" s="46"/>
      <c r="W866" s="1480">
        <v>22031.62</v>
      </c>
      <c r="X866" s="1480"/>
      <c r="Y866" s="1480"/>
      <c r="Z866" s="1480"/>
      <c r="AA866" s="1480"/>
      <c r="AB866" s="1480"/>
      <c r="AC866" s="1480"/>
      <c r="AU866" s="4"/>
      <c r="AZ866" s="34"/>
      <c r="BA866" s="34"/>
      <c r="BB866" s="34"/>
      <c r="BC866" s="34"/>
    </row>
    <row r="867" spans="3:55" ht="13" customHeight="1">
      <c r="J867" s="45" t="s">
        <v>521</v>
      </c>
      <c r="K867" s="5"/>
      <c r="L867" s="5"/>
      <c r="M867" s="5"/>
      <c r="N867" s="5"/>
      <c r="O867" s="5"/>
      <c r="P867" s="5"/>
      <c r="Q867" s="5"/>
      <c r="R867" s="5"/>
      <c r="S867" s="5"/>
      <c r="T867" s="5"/>
      <c r="U867" s="5"/>
      <c r="V867" s="46"/>
      <c r="W867" s="1480">
        <v>15917.33</v>
      </c>
      <c r="X867" s="1480"/>
      <c r="Y867" s="1480"/>
      <c r="Z867" s="1480"/>
      <c r="AA867" s="1480"/>
      <c r="AB867" s="1480"/>
      <c r="AC867" s="1480"/>
      <c r="AU867" s="4"/>
      <c r="AZ867" s="34"/>
      <c r="BA867" s="34"/>
      <c r="BB867" s="34"/>
      <c r="BC867" s="34"/>
    </row>
    <row r="868" spans="3:55" ht="13" customHeight="1">
      <c r="J868" s="45" t="s">
        <v>520</v>
      </c>
      <c r="K868" s="5"/>
      <c r="L868" s="5"/>
      <c r="M868" s="5"/>
      <c r="N868" s="5"/>
      <c r="O868" s="5"/>
      <c r="P868" s="5"/>
      <c r="Q868" s="5"/>
      <c r="R868" s="5"/>
      <c r="S868" s="5"/>
      <c r="T868" s="5"/>
      <c r="U868" s="5"/>
      <c r="V868" s="46"/>
      <c r="W868" s="1480">
        <v>5451.3087500000001</v>
      </c>
      <c r="X868" s="1480"/>
      <c r="Y868" s="1480"/>
      <c r="Z868" s="1480"/>
      <c r="AA868" s="1480"/>
      <c r="AB868" s="1480"/>
      <c r="AC868" s="1480"/>
      <c r="AU868" s="4"/>
      <c r="AZ868" s="34"/>
      <c r="BA868" s="34"/>
      <c r="BB868" s="34"/>
      <c r="BC868" s="34"/>
    </row>
    <row r="869" spans="3:55" ht="13" customHeight="1">
      <c r="J869" s="45" t="s">
        <v>519</v>
      </c>
      <c r="K869" s="5"/>
      <c r="L869" s="5"/>
      <c r="M869" s="5"/>
      <c r="N869" s="5"/>
      <c r="O869" s="5"/>
      <c r="P869" s="5"/>
      <c r="Q869" s="5"/>
      <c r="R869" s="5"/>
      <c r="S869" s="5"/>
      <c r="T869" s="5"/>
      <c r="U869" s="5"/>
      <c r="V869" s="46"/>
      <c r="W869" s="1480">
        <f>W868</f>
        <v>5451.3087500000001</v>
      </c>
      <c r="X869" s="1480"/>
      <c r="Y869" s="1480"/>
      <c r="Z869" s="1480"/>
      <c r="AA869" s="1480"/>
      <c r="AB869" s="1480"/>
      <c r="AC869" s="1480"/>
      <c r="AU869" s="4"/>
      <c r="AZ869" s="34"/>
      <c r="BA869" s="34"/>
      <c r="BB869" s="34"/>
      <c r="BC869" s="34"/>
    </row>
    <row r="870" spans="3:55" ht="13" customHeight="1">
      <c r="J870" s="45" t="s">
        <v>518</v>
      </c>
      <c r="K870" s="5"/>
      <c r="L870" s="5"/>
      <c r="M870" s="5"/>
      <c r="N870" s="5"/>
      <c r="O870" s="5"/>
      <c r="P870" s="5"/>
      <c r="Q870" s="5"/>
      <c r="R870" s="5"/>
      <c r="S870" s="5"/>
      <c r="T870" s="5"/>
      <c r="U870" s="5"/>
      <c r="V870" s="46"/>
      <c r="W870" s="1480">
        <v>21805.235000000001</v>
      </c>
      <c r="X870" s="1480"/>
      <c r="Y870" s="1480"/>
      <c r="Z870" s="1480"/>
      <c r="AA870" s="1480"/>
      <c r="AB870" s="1480"/>
      <c r="AC870" s="1480"/>
      <c r="AU870" s="4"/>
      <c r="AZ870" s="34"/>
      <c r="BA870" s="34"/>
      <c r="BB870" s="34"/>
      <c r="BC870" s="34"/>
    </row>
    <row r="871" spans="3:55" ht="13" customHeight="1">
      <c r="J871" s="45" t="s">
        <v>170</v>
      </c>
      <c r="K871" s="5"/>
      <c r="L871" s="5"/>
      <c r="M871" s="1592" t="s">
        <v>2733</v>
      </c>
      <c r="N871" s="1593"/>
      <c r="O871" s="1593"/>
      <c r="P871" s="1593"/>
      <c r="Q871" s="1593"/>
      <c r="R871" s="1593"/>
      <c r="S871" s="1593"/>
      <c r="T871" s="1593"/>
      <c r="U871" s="1593"/>
      <c r="V871" s="1594"/>
      <c r="W871" s="1480">
        <v>10902.6175</v>
      </c>
      <c r="X871" s="1480"/>
      <c r="Y871" s="1480"/>
      <c r="Z871" s="1480"/>
      <c r="AA871" s="1480"/>
      <c r="AB871" s="1480"/>
      <c r="AC871" s="148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3">
        <f>SUM(W865:W871)</f>
        <v>85543.4</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3"/>
      <c r="AV874" s="14"/>
      <c r="AW874" s="14"/>
      <c r="AX874" s="14"/>
      <c r="AY874" s="14"/>
      <c r="AZ874" s="34"/>
      <c r="BA874" s="34"/>
      <c r="BB874" s="34"/>
      <c r="BC874" s="34"/>
    </row>
    <row r="875" spans="3:55" ht="13" customHeight="1">
      <c r="C875" s="2" t="s">
        <v>1243</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3"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427064.31649999996</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4">
        <f>O797+O777+G753</f>
        <v>75</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5694</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v>258079</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7"/>
      <c r="AD887" s="1480"/>
      <c r="AE887" s="1480"/>
      <c r="AF887" s="1480"/>
      <c r="AG887" s="1480"/>
      <c r="AH887" s="148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22000</v>
      </c>
      <c r="AD888" s="1466"/>
      <c r="AE888" s="1466"/>
      <c r="AF888" s="1466"/>
      <c r="AG888" s="1466"/>
      <c r="AH888" s="1467"/>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22500</v>
      </c>
      <c r="AD889" s="1466"/>
      <c r="AE889" s="1466"/>
      <c r="AF889" s="1466"/>
      <c r="AG889" s="1466"/>
      <c r="AH889" s="1467"/>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4"/>
      <c r="AD890" s="1475"/>
      <c r="AE890" s="1475"/>
      <c r="AF890" s="1475"/>
      <c r="AG890" s="1475"/>
      <c r="AH890" s="147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3" hidden="1" customHeight="1">
      <c r="C892" s="1448" t="s">
        <v>2231</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6">
        <v>7000</v>
      </c>
      <c r="AD893" s="1466"/>
      <c r="AE893" s="1466"/>
      <c r="AF893" s="1466"/>
      <c r="AG893" s="1466"/>
      <c r="AH893" s="1467"/>
      <c r="AZ893" s="34"/>
      <c r="BA893" s="34"/>
      <c r="BB893" s="34"/>
      <c r="BC893" s="34"/>
    </row>
    <row r="894" spans="3:55" ht="13" customHeight="1">
      <c r="C894" s="1632" t="s">
        <v>956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3"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3"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3"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3"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3" customHeight="1">
      <c r="AZ909" s="34"/>
      <c r="BB909" s="30"/>
      <c r="BC909" s="816"/>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7" t="s">
        <v>792</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3" customHeight="1">
      <c r="B916" s="2"/>
      <c r="F916" s="1585" t="s">
        <v>818</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3"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v>8900000</v>
      </c>
      <c r="AB918" s="1409"/>
      <c r="AC918" s="1409"/>
      <c r="AD918" s="1409"/>
      <c r="AE918" s="1409"/>
      <c r="AF918" s="1410"/>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2"/>
      <c r="V919" s="1403"/>
      <c r="W919" s="1403"/>
      <c r="X919" s="1403"/>
      <c r="Y919" s="1403"/>
      <c r="Z919" s="1404"/>
      <c r="AA919" s="1408"/>
      <c r="AB919" s="1409"/>
      <c r="AC919" s="1409"/>
      <c r="AD919" s="1409"/>
      <c r="AE919" s="1409"/>
      <c r="AF919" s="1410"/>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 customHeight="1">
      <c r="F926" s="1600" t="s">
        <v>2191</v>
      </c>
      <c r="G926" s="1601"/>
      <c r="H926" s="1601"/>
      <c r="I926" s="1601"/>
      <c r="J926" s="1601"/>
      <c r="K926" s="1601"/>
      <c r="L926" s="1601"/>
      <c r="M926" s="1601"/>
      <c r="N926" s="1601"/>
      <c r="O926" s="1601"/>
      <c r="P926" s="1601"/>
      <c r="Q926" s="1601"/>
      <c r="R926" s="1601"/>
      <c r="S926" s="1601"/>
      <c r="T926" s="1602"/>
      <c r="U926" s="1402" t="s">
        <v>591</v>
      </c>
      <c r="V926" s="1403"/>
      <c r="W926" s="1403"/>
      <c r="X926" s="1403"/>
      <c r="Y926" s="1403"/>
      <c r="Z926" s="1404"/>
      <c r="AA926" s="1408"/>
      <c r="AB926" s="1409"/>
      <c r="AC926" s="1409"/>
      <c r="AD926" s="1409"/>
      <c r="AE926" s="1409"/>
      <c r="AF926" s="1410"/>
      <c r="AZ926" s="34"/>
      <c r="BA926" s="34"/>
      <c r="BB926" s="34"/>
      <c r="BC926" s="34"/>
    </row>
    <row r="927" spans="1:58" ht="13" customHeight="1">
      <c r="F927" s="1600" t="s">
        <v>679</v>
      </c>
      <c r="G927" s="1601"/>
      <c r="H927" s="1601"/>
      <c r="I927" s="1601"/>
      <c r="J927" s="1601"/>
      <c r="K927" s="1601"/>
      <c r="L927" s="1601"/>
      <c r="M927" s="1601"/>
      <c r="N927" s="1601"/>
      <c r="O927" s="1601"/>
      <c r="P927" s="1601"/>
      <c r="Q927" s="1601"/>
      <c r="R927" s="1601"/>
      <c r="S927" s="1601"/>
      <c r="T927" s="1602"/>
      <c r="U927" s="1402" t="s">
        <v>591</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0" t="s">
        <v>2192</v>
      </c>
      <c r="G928" s="1601"/>
      <c r="H928" s="1601"/>
      <c r="I928" s="1601"/>
      <c r="J928" s="1601"/>
      <c r="K928" s="1601"/>
      <c r="L928" s="1601"/>
      <c r="M928" s="1601"/>
      <c r="N928" s="1601"/>
      <c r="O928" s="1601"/>
      <c r="P928" s="1601"/>
      <c r="Q928" s="1601"/>
      <c r="R928" s="1601"/>
      <c r="S928" s="1601"/>
      <c r="T928" s="1602"/>
      <c r="U928" s="1402" t="s">
        <v>591</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0" t="s">
        <v>2193</v>
      </c>
      <c r="G929" s="1601"/>
      <c r="H929" s="1601"/>
      <c r="I929" s="1601"/>
      <c r="J929" s="1601"/>
      <c r="K929" s="1601"/>
      <c r="L929" s="1601"/>
      <c r="M929" s="1601"/>
      <c r="N929" s="1601"/>
      <c r="O929" s="1601"/>
      <c r="P929" s="1601"/>
      <c r="Q929" s="1601"/>
      <c r="R929" s="1601"/>
      <c r="S929" s="1601"/>
      <c r="T929" s="1602"/>
      <c r="U929" s="1402" t="s">
        <v>591</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0" t="s">
        <v>2194</v>
      </c>
      <c r="G930" s="1601"/>
      <c r="H930" s="1601"/>
      <c r="I930" s="1601"/>
      <c r="J930" s="1601"/>
      <c r="K930" s="1601"/>
      <c r="L930" s="1601"/>
      <c r="M930" s="1601"/>
      <c r="N930" s="1601"/>
      <c r="O930" s="1601"/>
      <c r="P930" s="1601"/>
      <c r="Q930" s="1601"/>
      <c r="R930" s="1601"/>
      <c r="S930" s="1601"/>
      <c r="T930" s="1602"/>
      <c r="U930" s="1402" t="s">
        <v>591</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0" t="s">
        <v>2195</v>
      </c>
      <c r="G931" s="1601"/>
      <c r="H931" s="1601"/>
      <c r="I931" s="1601"/>
      <c r="J931" s="1601"/>
      <c r="K931" s="1601"/>
      <c r="L931" s="1601"/>
      <c r="M931" s="1601"/>
      <c r="N931" s="1601"/>
      <c r="O931" s="1601"/>
      <c r="P931" s="1601"/>
      <c r="Q931" s="1601"/>
      <c r="R931" s="1601"/>
      <c r="S931" s="1601"/>
      <c r="T931" s="1602"/>
      <c r="U931" s="1402" t="s">
        <v>591</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0" t="s">
        <v>2196</v>
      </c>
      <c r="G932" s="1601"/>
      <c r="H932" s="1601"/>
      <c r="I932" s="1601"/>
      <c r="J932" s="1601"/>
      <c r="K932" s="1601"/>
      <c r="L932" s="1601"/>
      <c r="M932" s="1601"/>
      <c r="N932" s="1601"/>
      <c r="O932" s="1601"/>
      <c r="P932" s="1601"/>
      <c r="Q932" s="1601"/>
      <c r="R932" s="1601"/>
      <c r="S932" s="1601"/>
      <c r="T932" s="1602"/>
      <c r="U932" s="1402" t="s">
        <v>591</v>
      </c>
      <c r="V932" s="1403"/>
      <c r="W932" s="1403"/>
      <c r="X932" s="1403"/>
      <c r="Y932" s="1403"/>
      <c r="Z932" s="1404"/>
      <c r="AA932" s="1408"/>
      <c r="AB932" s="1409"/>
      <c r="AC932" s="1409"/>
      <c r="AD932" s="1409"/>
      <c r="AE932" s="1409"/>
      <c r="AF932" s="1410"/>
      <c r="AZ932" s="30"/>
      <c r="BA932" s="30"/>
    </row>
    <row r="933" spans="6:55" ht="13"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 customHeight="1">
      <c r="F934" s="121" t="s">
        <v>1276</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 customHeight="1">
      <c r="F936" s="1638" t="s">
        <v>2200</v>
      </c>
      <c r="G936" s="1639"/>
      <c r="H936" s="1639"/>
      <c r="I936" s="1639"/>
      <c r="J936" s="1639"/>
      <c r="K936" s="1639"/>
      <c r="L936" s="1639"/>
      <c r="M936" s="1639"/>
      <c r="N936" s="1639"/>
      <c r="O936" s="1639"/>
      <c r="P936" s="1639"/>
      <c r="Q936" s="1639"/>
      <c r="R936" s="1639"/>
      <c r="S936" s="1639"/>
      <c r="T936" s="1640"/>
      <c r="U936" s="1402" t="s">
        <v>591</v>
      </c>
      <c r="V936" s="1403"/>
      <c r="W936" s="1403"/>
      <c r="X936" s="1403"/>
      <c r="Y936" s="1403"/>
      <c r="Z936" s="1404"/>
      <c r="AA936" s="1408"/>
      <c r="AB936" s="1409"/>
      <c r="AC936" s="1409"/>
      <c r="AD936" s="1409"/>
      <c r="AE936" s="1409"/>
      <c r="AF936" s="1410"/>
      <c r="AZ936" s="30"/>
      <c r="BA936" s="14"/>
    </row>
    <row r="937" spans="6:55" ht="13" customHeight="1">
      <c r="F937" s="1638" t="s">
        <v>2201</v>
      </c>
      <c r="G937" s="1639"/>
      <c r="H937" s="1639"/>
      <c r="I937" s="1639"/>
      <c r="J937" s="1639"/>
      <c r="K937" s="1639"/>
      <c r="L937" s="1639"/>
      <c r="M937" s="1639"/>
      <c r="N937" s="1639"/>
      <c r="O937" s="1639"/>
      <c r="P937" s="1639"/>
      <c r="Q937" s="1639"/>
      <c r="R937" s="1639"/>
      <c r="S937" s="1639"/>
      <c r="T937" s="1640"/>
      <c r="U937" s="1402" t="s">
        <v>591</v>
      </c>
      <c r="V937" s="1403"/>
      <c r="W937" s="1403"/>
      <c r="X937" s="1403"/>
      <c r="Y937" s="1403"/>
      <c r="Z937" s="1404"/>
      <c r="AA937" s="1408"/>
      <c r="AB937" s="1409"/>
      <c r="AC937" s="1409"/>
      <c r="AD937" s="1409"/>
      <c r="AE937" s="1409"/>
      <c r="AF937" s="1410"/>
      <c r="AZ937" s="30"/>
      <c r="BA937" s="30"/>
    </row>
    <row r="938" spans="6:55" ht="13" customHeight="1">
      <c r="F938" s="1600" t="s">
        <v>2197</v>
      </c>
      <c r="G938" s="1601"/>
      <c r="H938" s="1601"/>
      <c r="I938" s="1601"/>
      <c r="J938" s="1601"/>
      <c r="K938" s="1601"/>
      <c r="L938" s="1601"/>
      <c r="M938" s="1601"/>
      <c r="N938" s="1601"/>
      <c r="O938" s="1601"/>
      <c r="P938" s="1601"/>
      <c r="Q938" s="1601"/>
      <c r="R938" s="1601"/>
      <c r="S938" s="1601"/>
      <c r="T938" s="1602"/>
      <c r="U938" s="1402" t="s">
        <v>591</v>
      </c>
      <c r="V938" s="1403"/>
      <c r="W938" s="1403"/>
      <c r="X938" s="1403"/>
      <c r="Y938" s="1403"/>
      <c r="Z938" s="1404"/>
      <c r="AA938" s="1408"/>
      <c r="AB938" s="1409"/>
      <c r="AC938" s="1409"/>
      <c r="AD938" s="1409"/>
      <c r="AE938" s="1409"/>
      <c r="AF938" s="1410"/>
      <c r="AZ938" s="30"/>
      <c r="BA938" s="30"/>
    </row>
    <row r="939" spans="6:55" ht="13" customHeight="1">
      <c r="F939" s="1600" t="s">
        <v>2198</v>
      </c>
      <c r="G939" s="1601"/>
      <c r="H939" s="1601"/>
      <c r="I939" s="1601"/>
      <c r="J939" s="1601"/>
      <c r="K939" s="1601"/>
      <c r="L939" s="1601"/>
      <c r="M939" s="1601"/>
      <c r="N939" s="1601"/>
      <c r="O939" s="1601"/>
      <c r="P939" s="1601"/>
      <c r="Q939" s="1601"/>
      <c r="R939" s="1601"/>
      <c r="S939" s="1601"/>
      <c r="T939" s="1602"/>
      <c r="U939" s="1402" t="s">
        <v>591</v>
      </c>
      <c r="V939" s="1403"/>
      <c r="W939" s="1403"/>
      <c r="X939" s="1403"/>
      <c r="Y939" s="1403"/>
      <c r="Z939" s="1404"/>
      <c r="AA939" s="1408"/>
      <c r="AB939" s="1409"/>
      <c r="AC939" s="1409"/>
      <c r="AD939" s="1409"/>
      <c r="AE939" s="1409"/>
      <c r="AF939" s="1410"/>
      <c r="AZ939" s="30"/>
      <c r="BA939" s="30"/>
    </row>
    <row r="940" spans="6:55" ht="13" customHeight="1">
      <c r="F940" s="1600" t="s">
        <v>2199</v>
      </c>
      <c r="G940" s="1601"/>
      <c r="H940" s="1601"/>
      <c r="I940" s="1601"/>
      <c r="J940" s="1601"/>
      <c r="K940" s="1601"/>
      <c r="L940" s="1601"/>
      <c r="M940" s="1601"/>
      <c r="N940" s="1601"/>
      <c r="O940" s="1601"/>
      <c r="P940" s="1601"/>
      <c r="Q940" s="1601"/>
      <c r="R940" s="1601"/>
      <c r="S940" s="1601"/>
      <c r="T940" s="1602"/>
      <c r="U940" s="1402" t="s">
        <v>591</v>
      </c>
      <c r="V940" s="1403"/>
      <c r="W940" s="1403"/>
      <c r="X940" s="1403"/>
      <c r="Y940" s="1403"/>
      <c r="Z940" s="1404"/>
      <c r="AA940" s="1408"/>
      <c r="AB940" s="1409"/>
      <c r="AC940" s="1409"/>
      <c r="AD940" s="1409"/>
      <c r="AE940" s="1409"/>
      <c r="AF940" s="1410"/>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 customHeight="1">
      <c r="F942" s="1638" t="s">
        <v>2202</v>
      </c>
      <c r="G942" s="1639"/>
      <c r="H942" s="1639"/>
      <c r="I942" s="1639"/>
      <c r="J942" s="1639"/>
      <c r="K942" s="1639"/>
      <c r="L942" s="1639"/>
      <c r="M942" s="1639"/>
      <c r="N942" s="1639"/>
      <c r="O942" s="1639"/>
      <c r="P942" s="1639"/>
      <c r="Q942" s="1639"/>
      <c r="R942" s="1639"/>
      <c r="S942" s="1639"/>
      <c r="T942" s="1640"/>
      <c r="U942" s="1402" t="s">
        <v>591</v>
      </c>
      <c r="V942" s="1403"/>
      <c r="W942" s="1403"/>
      <c r="X942" s="1403"/>
      <c r="Y942" s="1403"/>
      <c r="Z942" s="1404"/>
      <c r="AA942" s="1408"/>
      <c r="AB942" s="1409"/>
      <c r="AC942" s="1409"/>
      <c r="AD942" s="1409"/>
      <c r="AE942" s="1409"/>
      <c r="AF942" s="1410"/>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 customHeight="1">
      <c r="F944" s="1638" t="s">
        <v>2203</v>
      </c>
      <c r="G944" s="1639"/>
      <c r="H944" s="1639"/>
      <c r="I944" s="1639"/>
      <c r="J944" s="1639"/>
      <c r="K944" s="1639"/>
      <c r="L944" s="1639"/>
      <c r="M944" s="1639"/>
      <c r="N944" s="1639"/>
      <c r="O944" s="1639"/>
      <c r="P944" s="1639"/>
      <c r="Q944" s="1639"/>
      <c r="R944" s="1639"/>
      <c r="S944" s="1639"/>
      <c r="T944" s="1640"/>
      <c r="U944" s="1402" t="s">
        <v>591</v>
      </c>
      <c r="V944" s="1403"/>
      <c r="W944" s="1403"/>
      <c r="X944" s="1403"/>
      <c r="Y944" s="1403"/>
      <c r="Z944" s="1404"/>
      <c r="AA944" s="1408"/>
      <c r="AB944" s="1409"/>
      <c r="AC944" s="1409"/>
      <c r="AD944" s="1409"/>
      <c r="AE944" s="1409"/>
      <c r="AF944" s="1410"/>
      <c r="AZ944" s="34"/>
      <c r="BA944" s="34"/>
      <c r="BB944" s="34"/>
      <c r="BC944" s="34"/>
    </row>
    <row r="945" spans="1:55" ht="13"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 customHeight="1">
      <c r="F946" s="1600" t="s">
        <v>2190</v>
      </c>
      <c r="G946" s="1601"/>
      <c r="H946" s="1602"/>
      <c r="I946" s="1592" t="s">
        <v>334</v>
      </c>
      <c r="J946" s="1593"/>
      <c r="K946" s="1593"/>
      <c r="L946" s="1593"/>
      <c r="M946" s="1593"/>
      <c r="N946" s="1593"/>
      <c r="O946" s="1593"/>
      <c r="P946" s="1593"/>
      <c r="Q946" s="1593"/>
      <c r="R946" s="1593"/>
      <c r="S946" s="1593"/>
      <c r="T946" s="1594"/>
      <c r="U946" s="1402" t="s">
        <v>591</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2" t="s">
        <v>334</v>
      </c>
      <c r="J947" s="1593"/>
      <c r="K947" s="1593"/>
      <c r="L947" s="1593"/>
      <c r="M947" s="1593"/>
      <c r="N947" s="1593"/>
      <c r="O947" s="1593"/>
      <c r="P947" s="1593"/>
      <c r="Q947" s="1593"/>
      <c r="R947" s="1593"/>
      <c r="S947" s="1593"/>
      <c r="T947" s="1594"/>
      <c r="U947" s="1402" t="s">
        <v>591</v>
      </c>
      <c r="V947" s="1403"/>
      <c r="W947" s="1403"/>
      <c r="X947" s="1403"/>
      <c r="Y947" s="1403"/>
      <c r="Z947" s="1404"/>
      <c r="AA947" s="1408"/>
      <c r="AB947" s="1409"/>
      <c r="AC947" s="1409"/>
      <c r="AD947" s="1409"/>
      <c r="AE947" s="1409"/>
      <c r="AF947" s="1410"/>
      <c r="AZ947" s="34"/>
      <c r="BA947" s="34"/>
      <c r="BB947" s="34"/>
      <c r="BC947" s="34"/>
    </row>
    <row r="948" spans="1:55" ht="13" customHeight="1">
      <c r="F948" s="45" t="s">
        <v>10</v>
      </c>
      <c r="G948" s="48"/>
      <c r="H948" s="48"/>
      <c r="I948" s="1535" t="s">
        <v>334</v>
      </c>
      <c r="J948" s="1536"/>
      <c r="K948" s="1536"/>
      <c r="L948" s="1536"/>
      <c r="M948" s="1536"/>
      <c r="N948" s="1536"/>
      <c r="O948" s="1536"/>
      <c r="P948" s="1536"/>
      <c r="Q948" s="1536"/>
      <c r="R948" s="1536"/>
      <c r="S948" s="1536"/>
      <c r="T948" s="1537"/>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 customHeight="1">
      <c r="F949" s="47" t="s">
        <v>170</v>
      </c>
      <c r="G949" s="48"/>
      <c r="H949" s="48"/>
      <c r="I949" s="1535" t="s">
        <v>2734</v>
      </c>
      <c r="J949" s="1536"/>
      <c r="K949" s="1536"/>
      <c r="L949" s="1536"/>
      <c r="M949" s="1536"/>
      <c r="N949" s="1536"/>
      <c r="O949" s="1536"/>
      <c r="P949" s="1536"/>
      <c r="Q949" s="1536"/>
      <c r="R949" s="1536"/>
      <c r="S949" s="1536"/>
      <c r="T949" s="1537"/>
      <c r="U949" s="1402" t="s">
        <v>591</v>
      </c>
      <c r="V949" s="1403"/>
      <c r="W949" s="1403"/>
      <c r="X949" s="1403"/>
      <c r="Y949" s="1403"/>
      <c r="Z949" s="1404"/>
      <c r="AA949" s="1408">
        <v>3300000</v>
      </c>
      <c r="AB949" s="1409"/>
      <c r="AC949" s="1409"/>
      <c r="AD949" s="1409"/>
      <c r="AE949" s="1409"/>
      <c r="AF949" s="1410"/>
      <c r="AU949" s="2"/>
      <c r="AZ949" s="34"/>
      <c r="BA949" s="34"/>
      <c r="BB949" s="34"/>
      <c r="BC949" s="34"/>
    </row>
    <row r="950" spans="1:55" ht="13" customHeight="1">
      <c r="F950" s="47" t="s">
        <v>170</v>
      </c>
      <c r="G950" s="48"/>
      <c r="H950" s="48"/>
      <c r="I950" s="1535" t="s">
        <v>334</v>
      </c>
      <c r="J950" s="1536"/>
      <c r="K950" s="1536"/>
      <c r="L950" s="1536"/>
      <c r="M950" s="1536"/>
      <c r="N950" s="1536"/>
      <c r="O950" s="1536"/>
      <c r="P950" s="1536"/>
      <c r="Q950" s="1536"/>
      <c r="R950" s="1536"/>
      <c r="S950" s="1536"/>
      <c r="T950" s="1537"/>
      <c r="U950" s="1402" t="s">
        <v>591</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2">
        <v>46127</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3" customHeight="1">
      <c r="C956" s="66" t="s">
        <v>12</v>
      </c>
      <c r="D956" s="5"/>
      <c r="E956" s="5"/>
      <c r="F956" s="5"/>
      <c r="G956" s="5"/>
      <c r="H956" s="5"/>
      <c r="I956" s="5"/>
      <c r="J956" s="5"/>
      <c r="K956" s="5"/>
      <c r="L956" s="46"/>
      <c r="M956" s="1544" t="s">
        <v>2666</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3" customHeight="1">
      <c r="C957" s="66" t="s">
        <v>880</v>
      </c>
      <c r="D957" s="5"/>
      <c r="E957" s="5"/>
      <c r="J957" s="1552" t="s">
        <v>2667</v>
      </c>
      <c r="K957" s="1553"/>
      <c r="L957" s="1553"/>
      <c r="M957" s="1553"/>
      <c r="N957" s="1553"/>
      <c r="O957" s="1553"/>
      <c r="P957" s="1553"/>
      <c r="Q957" s="1553"/>
      <c r="R957" s="1553"/>
      <c r="S957" s="1554"/>
      <c r="U957" s="66" t="s">
        <v>880</v>
      </c>
      <c r="V957" s="5"/>
      <c r="W957" s="5"/>
      <c r="AB957" s="1552" t="s">
        <v>307</v>
      </c>
      <c r="AC957" s="1553"/>
      <c r="AD957" s="1553"/>
      <c r="AE957" s="1553"/>
      <c r="AF957" s="1553"/>
      <c r="AG957" s="1553"/>
      <c r="AH957" s="1553"/>
      <c r="AI957" s="1553"/>
      <c r="AJ957" s="1553"/>
      <c r="AK957" s="1554"/>
      <c r="AZ957" s="34"/>
      <c r="BA957" s="34"/>
      <c r="BB957" s="34"/>
      <c r="BC957" s="34"/>
    </row>
    <row r="958" spans="1:55" ht="13" customHeight="1">
      <c r="C958" s="66" t="s">
        <v>13</v>
      </c>
      <c r="D958" s="5"/>
      <c r="E958" s="5"/>
      <c r="F958" s="5"/>
      <c r="G958" s="5"/>
      <c r="H958" s="5"/>
      <c r="I958" s="5"/>
      <c r="J958" s="5"/>
      <c r="K958" s="5"/>
      <c r="L958" s="46"/>
      <c r="M958" s="1637">
        <v>1</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3" customHeight="1">
      <c r="C959" s="66" t="s">
        <v>14</v>
      </c>
      <c r="D959" s="5"/>
      <c r="E959" s="5"/>
      <c r="F959" s="5"/>
      <c r="G959" s="5"/>
      <c r="H959" s="5"/>
      <c r="I959" s="5"/>
      <c r="J959" s="5"/>
      <c r="K959" s="5"/>
      <c r="L959" s="46"/>
      <c r="M959" s="1559">
        <v>75</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3" customHeight="1">
      <c r="C960" s="66" t="s">
        <v>15</v>
      </c>
      <c r="D960" s="5"/>
      <c r="E960" s="5"/>
      <c r="F960" s="5"/>
      <c r="G960" s="5"/>
      <c r="H960" s="5"/>
      <c r="I960" s="5"/>
      <c r="J960" s="5"/>
      <c r="K960" s="5"/>
      <c r="L960" s="46"/>
      <c r="M960" s="1408">
        <v>1118304</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f>M960*M962</f>
        <v>22366080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1660</v>
      </c>
      <c r="D962" s="5"/>
      <c r="E962" s="5"/>
      <c r="F962" s="5"/>
      <c r="G962" s="5"/>
      <c r="H962" s="5"/>
      <c r="I962" s="5"/>
      <c r="J962" s="5"/>
      <c r="K962" s="5"/>
      <c r="L962" s="46"/>
      <c r="M962" s="1405">
        <v>20</v>
      </c>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29"/>
      <c r="N967" s="1530"/>
      <c r="O967" s="1530"/>
      <c r="P967" s="1530"/>
      <c r="Q967" s="1530"/>
      <c r="R967" s="1530"/>
      <c r="S967" s="1531"/>
      <c r="T967" s="66" t="s">
        <v>790</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29"/>
      <c r="N968" s="1530"/>
      <c r="O968" s="1530"/>
      <c r="P968" s="1530"/>
      <c r="Q968" s="1530"/>
      <c r="R968" s="1530"/>
      <c r="S968" s="1531"/>
      <c r="T968" s="66" t="s">
        <v>789</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2" t="s">
        <v>591</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29">
        <v>918504</v>
      </c>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2" t="s">
        <v>2667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6" t="s">
        <v>545</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3" customHeight="1">
      <c r="F975" s="1547" t="s">
        <v>33</v>
      </c>
      <c r="G975" s="1358"/>
      <c r="H975" s="1358"/>
      <c r="I975" s="1358"/>
      <c r="J975" s="1358"/>
      <c r="K975" s="1358"/>
      <c r="L975" s="1358"/>
      <c r="M975" s="1529">
        <v>1118304</v>
      </c>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48" t="s">
        <v>638</v>
      </c>
      <c r="E985" s="1549"/>
      <c r="F985" s="1549"/>
      <c r="G985" s="1549"/>
      <c r="H985" s="1549"/>
      <c r="I985" s="1549"/>
      <c r="J985" s="1549"/>
      <c r="K985" s="1549"/>
      <c r="L985" s="1549"/>
      <c r="M985" s="1549"/>
      <c r="N985" s="1549"/>
      <c r="O985" s="1549"/>
      <c r="P985" s="1549"/>
      <c r="Q985" s="1550"/>
      <c r="R985" s="1548" t="s">
        <v>639</v>
      </c>
      <c r="S985" s="1549"/>
      <c r="T985" s="1549"/>
      <c r="U985" s="1549"/>
      <c r="V985" s="1549"/>
      <c r="W985" s="1549"/>
      <c r="X985" s="1549"/>
      <c r="Y985" s="1549"/>
      <c r="Z985" s="1549"/>
      <c r="AA985" s="1550"/>
      <c r="AB985" s="1548" t="s">
        <v>640</v>
      </c>
      <c r="AC985" s="1549"/>
      <c r="AD985" s="1549"/>
      <c r="AE985" s="1549"/>
      <c r="AF985" s="1549"/>
      <c r="AG985" s="1549"/>
      <c r="AH985" s="1549"/>
      <c r="AI985" s="1550"/>
      <c r="AJ985" s="1548" t="s">
        <v>641</v>
      </c>
      <c r="AK985" s="1549"/>
      <c r="AL985" s="1549"/>
      <c r="AM985" s="1549"/>
      <c r="AN985" s="1549"/>
      <c r="AO985" s="1549"/>
      <c r="AP985" s="1549"/>
      <c r="AQ985" s="1550"/>
      <c r="AR985" s="68"/>
      <c r="AS985" s="68"/>
      <c r="AT985" s="68"/>
      <c r="AU985" s="68"/>
      <c r="AV985" s="68"/>
      <c r="AW985" s="68"/>
      <c r="AX985" s="68"/>
      <c r="AY985" s="68"/>
      <c r="AZ985" s="30"/>
      <c r="BB985" s="14"/>
      <c r="BC985" s="14"/>
    </row>
    <row r="986" spans="1:64" ht="13" customHeight="1">
      <c r="A986" s="14"/>
      <c r="B986" s="73"/>
      <c r="C986" s="929"/>
      <c r="D986" s="1387" t="s">
        <v>633</v>
      </c>
      <c r="E986" s="1388"/>
      <c r="F986" s="1388"/>
      <c r="G986" s="1388"/>
      <c r="H986" s="1388"/>
      <c r="I986" s="1388"/>
      <c r="J986" s="1388"/>
      <c r="K986" s="1388"/>
      <c r="L986" s="1388"/>
      <c r="M986" s="1388"/>
      <c r="N986" s="1388"/>
      <c r="O986" s="1388"/>
      <c r="P986" s="1388"/>
      <c r="Q986" s="1389"/>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90">
        <f>CP802</f>
        <v>0</v>
      </c>
      <c r="AC986" s="1391"/>
      <c r="AD986" s="1391"/>
      <c r="AE986" s="1391"/>
      <c r="AF986" s="1391"/>
      <c r="AG986" s="1391"/>
      <c r="AH986" s="1391"/>
      <c r="AI986" s="1392"/>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3" customHeight="1">
      <c r="A987" s="14"/>
      <c r="B987" s="73"/>
      <c r="C987" s="83"/>
      <c r="D987" s="1387" t="s">
        <v>325</v>
      </c>
      <c r="E987" s="1388"/>
      <c r="F987" s="1388"/>
      <c r="G987" s="1388"/>
      <c r="H987" s="1388"/>
      <c r="I987" s="1388"/>
      <c r="J987" s="1388"/>
      <c r="K987" s="1388"/>
      <c r="L987" s="1388"/>
      <c r="M987" s="1388"/>
      <c r="N987" s="1388"/>
      <c r="O987" s="1388"/>
      <c r="P987" s="1388"/>
      <c r="Q987" s="1389"/>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90">
        <f>CU802</f>
        <v>74</v>
      </c>
      <c r="AC987" s="1391"/>
      <c r="AD987" s="1391"/>
      <c r="AE987" s="1391"/>
      <c r="AF987" s="1391"/>
      <c r="AG987" s="1391"/>
      <c r="AH987" s="1391"/>
      <c r="AI987" s="1392"/>
      <c r="AJ987" s="1487">
        <f>IF(ISERROR((R987*AB987)),0,(R987*AB987))</f>
        <v>37347430</v>
      </c>
      <c r="AK987" s="1488"/>
      <c r="AL987" s="1488"/>
      <c r="AM987" s="1488"/>
      <c r="AN987" s="1488"/>
      <c r="AO987" s="1488"/>
      <c r="AP987" s="1488"/>
      <c r="AQ987" s="1489"/>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90">
        <f>CZ802</f>
        <v>1</v>
      </c>
      <c r="AC988" s="1391"/>
      <c r="AD988" s="1391"/>
      <c r="AE988" s="1391"/>
      <c r="AF988" s="1391"/>
      <c r="AG988" s="1391"/>
      <c r="AH988" s="1391"/>
      <c r="AI988" s="1392"/>
      <c r="AJ988" s="1487">
        <f>IF(ISERROR((R988*AB988)),0,(R988*AB988))</f>
        <v>608800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90">
        <f>DE802</f>
        <v>0</v>
      </c>
      <c r="AC989" s="1391"/>
      <c r="AD989" s="1391"/>
      <c r="AE989" s="1391"/>
      <c r="AF989" s="1391"/>
      <c r="AG989" s="1391"/>
      <c r="AH989" s="1391"/>
      <c r="AI989" s="1392"/>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 customHeight="1">
      <c r="A990" s="14"/>
      <c r="B990" s="47"/>
      <c r="C990" s="78"/>
      <c r="D990" s="1387" t="s">
        <v>460</v>
      </c>
      <c r="E990" s="1388"/>
      <c r="F990" s="1388"/>
      <c r="G990" s="1388"/>
      <c r="H990" s="1388"/>
      <c r="I990" s="1388"/>
      <c r="J990" s="1388"/>
      <c r="K990" s="1388"/>
      <c r="L990" s="1388"/>
      <c r="M990" s="1388"/>
      <c r="N990" s="1388"/>
      <c r="O990" s="1388"/>
      <c r="P990" s="1388"/>
      <c r="Q990" s="1389"/>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90">
        <f>DO802+DJ802</f>
        <v>0</v>
      </c>
      <c r="AC990" s="1391"/>
      <c r="AD990" s="1391"/>
      <c r="AE990" s="1391"/>
      <c r="AF990" s="1391"/>
      <c r="AG990" s="1391"/>
      <c r="AH990" s="1391"/>
      <c r="AI990" s="1392"/>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3"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90">
        <f>SUM(AB986:AI990)</f>
        <v>75</v>
      </c>
      <c r="AC991" s="1391"/>
      <c r="AD991" s="1391"/>
      <c r="AE991" s="1391"/>
      <c r="AF991" s="1391"/>
      <c r="AG991" s="1391"/>
      <c r="AH991" s="1391"/>
      <c r="AI991" s="1392"/>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 customHeight="1">
      <c r="A992" s="14"/>
      <c r="B992" s="1573" t="s">
        <v>512</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37956230</v>
      </c>
      <c r="AK992" s="1488"/>
      <c r="AL992" s="1488"/>
      <c r="AM992" s="1488"/>
      <c r="AN992" s="1488"/>
      <c r="AO992" s="1488"/>
      <c r="AP992" s="1488"/>
      <c r="AQ992" s="1489"/>
      <c r="AR992" s="68"/>
      <c r="AS992" s="68"/>
      <c r="AT992" s="68"/>
      <c r="AU992" s="68"/>
      <c r="AV992" s="68"/>
      <c r="AW992" s="68"/>
      <c r="AX992" s="68"/>
      <c r="AY992" s="68"/>
      <c r="AZ992" s="34"/>
      <c r="BB992" s="34"/>
      <c r="BC992" s="34"/>
    </row>
    <row r="993" spans="1:55" ht="13"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 customHeight="1">
      <c r="A994" s="14"/>
      <c r="B994" s="73"/>
      <c r="C994" s="927" t="s">
        <v>668</v>
      </c>
      <c r="D994" s="1503" t="s">
        <v>1219</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669</v>
      </c>
      <c r="AH994" s="1500"/>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38" t="s">
        <v>2233</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1" t="s">
        <v>2204</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3" t="s">
        <v>1285</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38" t="s">
        <v>1283</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74</v>
      </c>
      <c r="AZ1003" s="34"/>
      <c r="BB1003" s="34"/>
    </row>
    <row r="1004" spans="1:55" ht="13"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0.62</v>
      </c>
      <c r="AZ1005" s="34"/>
      <c r="BB1005" s="34"/>
    </row>
    <row r="1006" spans="1:55" ht="13"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3" customHeight="1">
      <c r="A1007" s="14"/>
      <c r="B1007" s="255"/>
      <c r="C1007" s="80" t="s">
        <v>672</v>
      </c>
      <c r="D1007" s="1493" t="s">
        <v>1682</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669</v>
      </c>
      <c r="AH1007" s="1502"/>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6" t="s">
        <v>1284</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212</v>
      </c>
      <c r="D1011" s="1493" t="s">
        <v>1286</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09" t="s">
        <v>1287</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2605</v>
      </c>
    </row>
    <row r="1013" spans="1:52" ht="13" customHeight="1">
      <c r="A1013" s="14"/>
      <c r="B1013" s="79"/>
      <c r="C1013" s="80" t="s">
        <v>215</v>
      </c>
      <c r="D1013" s="1493" t="s">
        <v>1288</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6" t="s">
        <v>1289</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218</v>
      </c>
      <c r="D1016" s="1503" t="s">
        <v>2234</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6" t="s">
        <v>1290</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223</v>
      </c>
      <c r="D1020" s="1520" t="s">
        <v>1291</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669</v>
      </c>
      <c r="AH1020" s="1502"/>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6" t="s">
        <v>1292</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9"/>
      <c r="AK1024" s="1400"/>
      <c r="AL1024" s="1400"/>
      <c r="AM1024" s="1400"/>
      <c r="AN1024" s="1400"/>
      <c r="AO1024" s="1400"/>
      <c r="AP1024" s="1400"/>
      <c r="AQ1024" s="1401"/>
      <c r="AR1024" s="68"/>
      <c r="AS1024" s="68"/>
      <c r="AT1024" s="68"/>
      <c r="AU1024" s="68"/>
      <c r="AV1024" s="68"/>
      <c r="AW1024" s="68"/>
      <c r="AX1024" s="1032" t="s">
        <v>2604</v>
      </c>
      <c r="AY1024" s="201">
        <f>IF(SUM(AY1013:AY1023)&lt;=0.2,SUM(AY1013:AY1023),0.2)</f>
        <v>0</v>
      </c>
    </row>
    <row r="1025" spans="1:57" ht="13" customHeight="1">
      <c r="A1025" s="14"/>
      <c r="B1025" s="79"/>
      <c r="C1025" s="80" t="s">
        <v>229</v>
      </c>
      <c r="D1025" s="1493" t="s">
        <v>1293</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669</v>
      </c>
      <c r="AH1025" s="1502"/>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6" t="s">
        <v>1689</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503" t="s">
        <v>1294</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669</v>
      </c>
      <c r="AH1029" s="1502"/>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6" t="s">
        <v>1295</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687</v>
      </c>
      <c r="D1032" s="1493" t="s">
        <v>1685</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669</v>
      </c>
      <c r="AH1032" s="1502"/>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5"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687</v>
      </c>
      <c r="D1036" s="1503" t="s">
        <v>1687</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669</v>
      </c>
      <c r="AH1036" s="1582"/>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5"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63000</v>
      </c>
      <c r="BB1038" s="1183" t="s">
        <v>2487</v>
      </c>
      <c r="BC1038" s="1183"/>
      <c r="BD1038" s="1183"/>
      <c r="BE1038" s="1183"/>
    </row>
    <row r="1039" spans="1:57" ht="13"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0.72972972972972971</v>
      </c>
      <c r="BB1039" s="3" t="s">
        <v>2491</v>
      </c>
    </row>
    <row r="1040" spans="1:57" ht="13"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2488</v>
      </c>
    </row>
    <row r="1041" spans="1:56" ht="13" customHeight="1">
      <c r="A1041" s="14"/>
      <c r="B1041" s="79"/>
      <c r="C1041" s="131" t="s">
        <v>1009</v>
      </c>
      <c r="D1041" s="1493" t="s">
        <v>1296</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2489</v>
      </c>
    </row>
    <row r="1042" spans="1:56" ht="13" customHeight="1">
      <c r="A1042" s="14"/>
      <c r="B1042" s="73"/>
      <c r="C1042" s="74"/>
      <c r="D1042" s="1506" t="s">
        <v>2143</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2490</v>
      </c>
    </row>
    <row r="1043" spans="1:56" ht="13"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1683</v>
      </c>
      <c r="D1045" s="1503" t="s">
        <v>1863</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3">
        <f>IF((X1048=0),0,AY1005*AJ992)</f>
        <v>23532862.600000001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506" t="s">
        <v>1298</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1206877.2</v>
      </c>
      <c r="BA1046" s="1182">
        <f>IF(BA1040,20%,15%)</f>
        <v>0.15</v>
      </c>
      <c r="BB1046" s="3" t="s">
        <v>2477</v>
      </c>
      <c r="BC1046" s="3" t="s">
        <v>2478</v>
      </c>
      <c r="BD1046" s="3"/>
    </row>
    <row r="1047" spans="1:56" ht="13"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971</v>
      </c>
      <c r="E1048" s="133"/>
      <c r="F1048" s="133"/>
      <c r="G1048" s="133"/>
      <c r="H1048" s="133"/>
      <c r="I1048" s="1569">
        <f>AY1003</f>
        <v>74</v>
      </c>
      <c r="J1048" s="1570"/>
      <c r="K1048" s="7"/>
      <c r="L1048" s="133"/>
      <c r="M1048" s="133"/>
      <c r="N1048" s="133"/>
      <c r="O1048" s="133"/>
      <c r="P1048" s="133"/>
      <c r="Q1048" s="133"/>
      <c r="R1048" s="133"/>
      <c r="S1048" s="133"/>
      <c r="T1048" s="133"/>
      <c r="U1048" s="133"/>
      <c r="V1048" s="134" t="s">
        <v>972</v>
      </c>
      <c r="W1048" s="48"/>
      <c r="X1048" s="1567">
        <f>CI753</f>
        <v>46</v>
      </c>
      <c r="Y1048" s="1568"/>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1110000</v>
      </c>
      <c r="BA1048" s="1182" cm="1">
        <f t="array" ref="BA1048">_xlfn.IFS(X180="Yes",5%,$BA$1038&gt;50000,15%,BA1039&gt;=30%,15%,TRUE,5%)</f>
        <v>0.05</v>
      </c>
      <c r="BB1048" s="3" t="s">
        <v>2477</v>
      </c>
      <c r="BC1048" s="3" t="s">
        <v>2480</v>
      </c>
      <c r="BD1048" s="3"/>
    </row>
    <row r="1049" spans="1:56" ht="13" customHeight="1">
      <c r="A1049" s="14"/>
      <c r="B1049" s="79"/>
      <c r="C1049" s="131" t="s">
        <v>1684</v>
      </c>
      <c r="D1049" s="1493" t="s">
        <v>2169</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3">
        <f>IF((X1052=0),0,(2*AY1006)*AJ992)</f>
        <v>7591246</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506" t="s">
        <v>1297</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2316877</v>
      </c>
      <c r="BA1051" s="3" t="s">
        <v>2482</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69">
        <f>AY1003</f>
        <v>74</v>
      </c>
      <c r="J1052" s="1570"/>
      <c r="K1052" s="14"/>
      <c r="L1052" s="133"/>
      <c r="M1052" s="133"/>
      <c r="N1052" s="133"/>
      <c r="O1052" s="133"/>
      <c r="P1052" s="133"/>
      <c r="Q1052" s="133"/>
      <c r="R1052" s="133"/>
      <c r="S1052" s="133"/>
      <c r="T1052" s="133"/>
      <c r="U1052" s="133"/>
      <c r="V1052" s="134" t="s">
        <v>973</v>
      </c>
      <c r="X1052" s="1567">
        <f>CM753</f>
        <v>8</v>
      </c>
      <c r="Y1052" s="1568"/>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565" t="s">
        <v>513</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69080338.599999994</v>
      </c>
      <c r="AK1053" s="1579"/>
      <c r="AL1053" s="1579"/>
      <c r="AM1053" s="1579"/>
      <c r="AN1053" s="1579"/>
      <c r="AO1053" s="1579"/>
      <c r="AP1053" s="1579"/>
      <c r="AQ1053" s="1580"/>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2316877</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32562725</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2316877.2000000002</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0.85790198341616142</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2316877</v>
      </c>
      <c r="BB1058" s="3" t="s">
        <v>2492</v>
      </c>
    </row>
    <row r="1059" spans="1:54" ht="13"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0</v>
      </c>
      <c r="BB1059" s="3" t="s">
        <v>2493</v>
      </c>
    </row>
    <row r="1060" spans="1:54" ht="13"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3"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591</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591</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591</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591</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591</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591</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591</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591</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591</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591</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591</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B99" sqref="B9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1)Fannie Mae / Berkadia</v>
      </c>
      <c r="G2" s="139" t="str">
        <f>Application!B628&amp;Application!C628</f>
        <v>2)Fannie Mae / Berkadia</v>
      </c>
      <c r="H2" s="139" t="str">
        <f>Application!B629&amp;Application!C629</f>
        <v>3)Fannie Mae / Berkadia</v>
      </c>
      <c r="I2" s="139" t="str">
        <f>Application!B630&amp;Application!C630</f>
        <v>4)Plummer Village Apartments LP</v>
      </c>
      <c r="J2" s="139" t="str">
        <f>Application!B631&amp;Application!C631</f>
        <v>5)Plummer Village Developer LLC</v>
      </c>
      <c r="K2" s="139" t="str">
        <f>Application!B632&amp;Application!C632</f>
        <v>6)Cash Flow From Operations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c r="F4" s="147"/>
      <c r="G4" s="147"/>
      <c r="H4" s="147">
        <f>C4</f>
        <v>1300000</v>
      </c>
      <c r="I4" s="147"/>
      <c r="J4" s="147"/>
      <c r="K4" s="147"/>
      <c r="L4" s="147"/>
      <c r="M4" s="147"/>
      <c r="N4" s="147"/>
      <c r="O4" s="147"/>
      <c r="P4" s="147"/>
      <c r="Q4" s="147"/>
      <c r="R4" s="516">
        <f>SUM(E4:Q4)</f>
        <v>1300000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1300000</v>
      </c>
      <c r="C8" s="146">
        <f t="shared" ref="C8:Q8" si="0">SUM(C4:C7)</f>
        <v>1300000</v>
      </c>
      <c r="D8" s="146">
        <f t="shared" si="0"/>
        <v>0</v>
      </c>
      <c r="E8" s="146">
        <f t="shared" si="0"/>
        <v>0</v>
      </c>
      <c r="F8" s="146">
        <f t="shared" si="0"/>
        <v>0</v>
      </c>
      <c r="G8" s="146">
        <f t="shared" si="0"/>
        <v>0</v>
      </c>
      <c r="H8" s="146">
        <f t="shared" si="0"/>
        <v>1300000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1300000</v>
      </c>
      <c r="S8" s="148"/>
      <c r="T8" s="148"/>
      <c r="U8" s="143"/>
    </row>
    <row r="9" spans="1:21" s="144" customFormat="1">
      <c r="A9" s="145" t="s">
        <v>594</v>
      </c>
      <c r="B9" s="146">
        <f>SUM(C9+D9)</f>
        <v>22200000</v>
      </c>
      <c r="C9" s="147">
        <v>22200000</v>
      </c>
      <c r="D9" s="147"/>
      <c r="E9" s="147"/>
      <c r="F9" s="147">
        <f>ROUND(Application!AM554-'Sources and Uses Budget'!F4,0)</f>
        <v>8900000</v>
      </c>
      <c r="G9" s="147">
        <f>ROUND(Application!AM555,0)</f>
        <v>3300000</v>
      </c>
      <c r="H9" s="147">
        <f>C9-F9-G9-I9</f>
        <v>9999900</v>
      </c>
      <c r="I9" s="147">
        <f>ROUND(Application!AM559,0)</f>
        <v>100</v>
      </c>
      <c r="J9" s="147"/>
      <c r="K9" s="147"/>
      <c r="L9" s="147"/>
      <c r="M9" s="147"/>
      <c r="N9" s="147"/>
      <c r="O9" s="147"/>
      <c r="P9" s="147"/>
      <c r="Q9" s="147"/>
      <c r="R9" s="516">
        <f>SUM(E9:Q9)</f>
        <v>22200000</v>
      </c>
      <c r="S9" s="148"/>
      <c r="T9" s="147">
        <v>22200000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22200000</v>
      </c>
      <c r="C11" s="146">
        <f t="shared" ref="C11:Q11" si="1">SUM(C9:C10)</f>
        <v>22200000</v>
      </c>
      <c r="D11" s="146">
        <f t="shared" si="1"/>
        <v>0</v>
      </c>
      <c r="E11" s="146">
        <f t="shared" si="1"/>
        <v>0</v>
      </c>
      <c r="F11" s="146">
        <f t="shared" si="1"/>
        <v>8900000</v>
      </c>
      <c r="G11" s="146">
        <f t="shared" si="1"/>
        <v>3300000</v>
      </c>
      <c r="H11" s="146">
        <f t="shared" si="1"/>
        <v>9999900</v>
      </c>
      <c r="I11" s="146">
        <f t="shared" si="1"/>
        <v>100</v>
      </c>
      <c r="J11" s="146">
        <f t="shared" si="1"/>
        <v>0</v>
      </c>
      <c r="K11" s="146">
        <f t="shared" si="1"/>
        <v>0</v>
      </c>
      <c r="L11" s="146">
        <f t="shared" si="1"/>
        <v>0</v>
      </c>
      <c r="M11" s="146">
        <f t="shared" si="1"/>
        <v>0</v>
      </c>
      <c r="N11" s="146">
        <f t="shared" si="1"/>
        <v>0</v>
      </c>
      <c r="O11" s="146">
        <f t="shared" si="1"/>
        <v>0</v>
      </c>
      <c r="P11" s="146"/>
      <c r="Q11" s="146">
        <f t="shared" si="1"/>
        <v>0</v>
      </c>
      <c r="R11" s="342">
        <f>SUM(R9:R10)</f>
        <v>22200000</v>
      </c>
      <c r="S11" s="148"/>
      <c r="T11" s="150">
        <f>SUM(T9:T10)</f>
        <v>22200000</v>
      </c>
      <c r="U11" s="143"/>
    </row>
    <row r="12" spans="1:21" s="144" customFormat="1">
      <c r="A12" s="149" t="s">
        <v>84</v>
      </c>
      <c r="B12" s="146">
        <f t="shared" ref="B12:Q12" si="2">SUM(B8+B11)</f>
        <v>23500000</v>
      </c>
      <c r="C12" s="146">
        <f t="shared" si="2"/>
        <v>23500000</v>
      </c>
      <c r="D12" s="146">
        <f t="shared" si="2"/>
        <v>0</v>
      </c>
      <c r="E12" s="146">
        <f t="shared" si="2"/>
        <v>0</v>
      </c>
      <c r="F12" s="146">
        <f t="shared" si="2"/>
        <v>8900000</v>
      </c>
      <c r="G12" s="146">
        <f t="shared" si="2"/>
        <v>3300000</v>
      </c>
      <c r="H12" s="146">
        <f t="shared" si="2"/>
        <v>11299900</v>
      </c>
      <c r="I12" s="146">
        <f t="shared" si="2"/>
        <v>100</v>
      </c>
      <c r="J12" s="146">
        <f t="shared" si="2"/>
        <v>0</v>
      </c>
      <c r="K12" s="146">
        <f t="shared" si="2"/>
        <v>0</v>
      </c>
      <c r="L12" s="146">
        <f t="shared" si="2"/>
        <v>0</v>
      </c>
      <c r="M12" s="146">
        <f t="shared" si="2"/>
        <v>0</v>
      </c>
      <c r="N12" s="146">
        <f t="shared" si="2"/>
        <v>0</v>
      </c>
      <c r="O12" s="146">
        <f t="shared" si="2"/>
        <v>0</v>
      </c>
      <c r="P12" s="146"/>
      <c r="Q12" s="146">
        <f t="shared" si="2"/>
        <v>0</v>
      </c>
      <c r="R12" s="342">
        <f>SUM(R8+R11)</f>
        <v>23500000</v>
      </c>
      <c r="S12" s="148"/>
      <c r="T12" s="148"/>
      <c r="U12" s="143"/>
    </row>
    <row r="13" spans="1:21" s="144" customFormat="1">
      <c r="A13" s="287" t="s">
        <v>902</v>
      </c>
      <c r="B13" s="146">
        <f>SUM(C13+D13)</f>
        <v>1573293</v>
      </c>
      <c r="C13" s="147">
        <v>1573293</v>
      </c>
      <c r="D13" s="147"/>
      <c r="E13" s="147">
        <f>C13-H13</f>
        <v>1446689</v>
      </c>
      <c r="F13" s="147"/>
      <c r="G13" s="147"/>
      <c r="H13" s="147">
        <f>ROUND(Application!AO629,0)-'Sources and Uses Budget'!H9-H4</f>
        <v>126604</v>
      </c>
      <c r="I13" s="147"/>
      <c r="J13" s="147"/>
      <c r="K13" s="147"/>
      <c r="L13" s="147"/>
      <c r="M13" s="147"/>
      <c r="N13" s="147"/>
      <c r="O13" s="147"/>
      <c r="P13" s="147"/>
      <c r="Q13" s="147"/>
      <c r="R13" s="516">
        <f>SUM(E13:Q13)</f>
        <v>1573293</v>
      </c>
      <c r="S13" s="147">
        <v>500000</v>
      </c>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945000</v>
      </c>
      <c r="C17" s="147">
        <v>945000</v>
      </c>
      <c r="D17" s="147"/>
      <c r="E17" s="147">
        <f>B17</f>
        <v>945000</v>
      </c>
      <c r="F17" s="147"/>
      <c r="G17" s="147"/>
      <c r="H17" s="147"/>
      <c r="I17" s="147"/>
      <c r="J17" s="147"/>
      <c r="K17" s="147"/>
      <c r="L17" s="147"/>
      <c r="M17" s="147"/>
      <c r="N17" s="147"/>
      <c r="O17" s="147"/>
      <c r="P17" s="147"/>
      <c r="Q17" s="147"/>
      <c r="R17" s="516">
        <f>SUM(E17:Q17)</f>
        <v>945000</v>
      </c>
      <c r="S17" s="147">
        <v>945000</v>
      </c>
      <c r="T17" s="147"/>
      <c r="U17" s="143"/>
    </row>
    <row r="18" spans="1:21" s="144" customFormat="1">
      <c r="A18" s="145" t="s">
        <v>599</v>
      </c>
      <c r="B18" s="146">
        <f t="shared" si="3"/>
        <v>3780000</v>
      </c>
      <c r="C18" s="147">
        <v>3780000</v>
      </c>
      <c r="D18" s="147"/>
      <c r="E18" s="147">
        <f>B18-K18</f>
        <v>3686111</v>
      </c>
      <c r="F18" s="147"/>
      <c r="G18" s="147"/>
      <c r="H18" s="147"/>
      <c r="I18" s="147"/>
      <c r="J18" s="147"/>
      <c r="K18" s="147">
        <v>93889</v>
      </c>
      <c r="L18" s="147"/>
      <c r="M18" s="147"/>
      <c r="N18" s="147"/>
      <c r="O18" s="147"/>
      <c r="P18" s="147"/>
      <c r="Q18" s="147"/>
      <c r="R18" s="516">
        <f>SUM(E18:Q18)</f>
        <v>3780000</v>
      </c>
      <c r="S18" s="147">
        <v>3780000</v>
      </c>
      <c r="T18" s="147"/>
      <c r="U18" s="143"/>
    </row>
    <row r="19" spans="1:21" s="144" customFormat="1">
      <c r="A19" s="145" t="s">
        <v>600</v>
      </c>
      <c r="B19" s="146">
        <f t="shared" si="3"/>
        <v>283500</v>
      </c>
      <c r="C19" s="147">
        <v>283500</v>
      </c>
      <c r="D19" s="147"/>
      <c r="E19" s="147">
        <f>B19</f>
        <v>283500</v>
      </c>
      <c r="F19" s="147"/>
      <c r="G19" s="147"/>
      <c r="H19" s="147"/>
      <c r="I19" s="147"/>
      <c r="J19" s="147"/>
      <c r="K19" s="147"/>
      <c r="L19" s="147"/>
      <c r="M19" s="147"/>
      <c r="N19" s="147"/>
      <c r="O19" s="147"/>
      <c r="P19" s="147"/>
      <c r="Q19" s="147"/>
      <c r="R19" s="516">
        <f>SUM(E19:Q19)</f>
        <v>283500</v>
      </c>
      <c r="S19" s="147">
        <v>283500</v>
      </c>
      <c r="T19" s="147"/>
      <c r="U19" s="143"/>
    </row>
    <row r="20" spans="1:21" s="144" customFormat="1">
      <c r="A20" s="145" t="s">
        <v>137</v>
      </c>
      <c r="B20" s="146">
        <f t="shared" si="3"/>
        <v>94500</v>
      </c>
      <c r="C20" s="147">
        <v>94500</v>
      </c>
      <c r="D20" s="147"/>
      <c r="E20" s="147">
        <f>B20</f>
        <v>94500</v>
      </c>
      <c r="F20" s="147"/>
      <c r="G20" s="147"/>
      <c r="H20" s="147"/>
      <c r="I20" s="147"/>
      <c r="J20" s="147"/>
      <c r="K20" s="147"/>
      <c r="L20" s="147"/>
      <c r="M20" s="147"/>
      <c r="N20" s="147"/>
      <c r="O20" s="147"/>
      <c r="P20" s="147"/>
      <c r="Q20" s="147"/>
      <c r="R20" s="516">
        <f t="shared" ref="R20:R27" si="4">SUM(E20:Q20)</f>
        <v>94500</v>
      </c>
      <c r="S20" s="147">
        <v>94500</v>
      </c>
      <c r="T20" s="147"/>
      <c r="U20" s="143"/>
    </row>
    <row r="21" spans="1:21" s="144" customFormat="1">
      <c r="A21" s="145" t="s">
        <v>138</v>
      </c>
      <c r="B21" s="146">
        <f t="shared" si="3"/>
        <v>283500</v>
      </c>
      <c r="C21" s="147">
        <v>283500</v>
      </c>
      <c r="D21" s="147"/>
      <c r="E21" s="147">
        <f>B21</f>
        <v>283500</v>
      </c>
      <c r="F21" s="147"/>
      <c r="G21" s="147"/>
      <c r="H21" s="147"/>
      <c r="I21" s="147"/>
      <c r="J21" s="147"/>
      <c r="K21" s="147"/>
      <c r="L21" s="147"/>
      <c r="M21" s="147"/>
      <c r="N21" s="147"/>
      <c r="O21" s="147"/>
      <c r="P21" s="147"/>
      <c r="Q21" s="147"/>
      <c r="R21" s="516">
        <f t="shared" si="4"/>
        <v>283500</v>
      </c>
      <c r="S21" s="147">
        <v>283500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5386500</v>
      </c>
      <c r="C26" s="146">
        <f>SUM(C17:C25)</f>
        <v>5386500</v>
      </c>
      <c r="D26" s="146">
        <f t="shared" ref="D26:Q26" si="5">SUM(D17:D25)</f>
        <v>0</v>
      </c>
      <c r="E26" s="146">
        <f t="shared" si="5"/>
        <v>5292611</v>
      </c>
      <c r="F26" s="146">
        <f t="shared" si="5"/>
        <v>0</v>
      </c>
      <c r="G26" s="146">
        <f t="shared" si="5"/>
        <v>0</v>
      </c>
      <c r="H26" s="146">
        <f t="shared" si="5"/>
        <v>0</v>
      </c>
      <c r="I26" s="146">
        <f t="shared" si="5"/>
        <v>0</v>
      </c>
      <c r="J26" s="146">
        <f t="shared" si="5"/>
        <v>0</v>
      </c>
      <c r="K26" s="146">
        <f t="shared" si="5"/>
        <v>93889</v>
      </c>
      <c r="L26" s="146">
        <f t="shared" si="5"/>
        <v>0</v>
      </c>
      <c r="M26" s="146">
        <f t="shared" si="5"/>
        <v>0</v>
      </c>
      <c r="N26" s="146">
        <f t="shared" si="5"/>
        <v>0</v>
      </c>
      <c r="O26" s="146">
        <f t="shared" si="5"/>
        <v>0</v>
      </c>
      <c r="P26" s="146">
        <f t="shared" si="5"/>
        <v>0</v>
      </c>
      <c r="Q26" s="146">
        <f t="shared" si="5"/>
        <v>0</v>
      </c>
      <c r="R26" s="342">
        <f>SUM(R17:R25)</f>
        <v>5386500</v>
      </c>
      <c r="S26" s="150">
        <f>SUM(S17:S25)</f>
        <v>5386500</v>
      </c>
      <c r="T26" s="150">
        <f>SUM(T17:T25)</f>
        <v>0</v>
      </c>
      <c r="U26" s="143"/>
    </row>
    <row r="27" spans="1:21" s="144" customFormat="1">
      <c r="A27" s="149" t="s">
        <v>141</v>
      </c>
      <c r="B27" s="146">
        <f>SUM(C27:D27)</f>
        <v>500000</v>
      </c>
      <c r="C27" s="147">
        <v>500000</v>
      </c>
      <c r="D27" s="147"/>
      <c r="E27" s="147">
        <f>B27</f>
        <v>500000</v>
      </c>
      <c r="F27" s="147"/>
      <c r="G27" s="147"/>
      <c r="H27" s="147"/>
      <c r="I27" s="147"/>
      <c r="J27" s="147"/>
      <c r="K27" s="147"/>
      <c r="L27" s="147"/>
      <c r="M27" s="147"/>
      <c r="N27" s="147"/>
      <c r="O27" s="147"/>
      <c r="P27" s="147"/>
      <c r="Q27" s="147"/>
      <c r="R27" s="516">
        <f t="shared" si="4"/>
        <v>500000</v>
      </c>
      <c r="S27" s="147">
        <v>500000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B40</f>
        <v>150000</v>
      </c>
      <c r="F40" s="147"/>
      <c r="G40" s="147"/>
      <c r="H40" s="147"/>
      <c r="I40" s="147"/>
      <c r="J40" s="147"/>
      <c r="K40" s="147"/>
      <c r="L40" s="147"/>
      <c r="M40" s="147"/>
      <c r="N40" s="147"/>
      <c r="O40" s="147"/>
      <c r="P40" s="147"/>
      <c r="Q40" s="147"/>
      <c r="R40" s="516">
        <f>SUM(E40:Q40)</f>
        <v>150000</v>
      </c>
      <c r="S40" s="147">
        <v>150000</v>
      </c>
      <c r="T40" s="147"/>
      <c r="U40" s="143"/>
    </row>
    <row r="41" spans="1:21" s="144" customFormat="1">
      <c r="A41" s="145" t="s">
        <v>146</v>
      </c>
      <c r="B41" s="146">
        <f>SUM(C41+D41)</f>
        <v>50000</v>
      </c>
      <c r="C41" s="147">
        <v>50000</v>
      </c>
      <c r="D41" s="147"/>
      <c r="E41" s="147">
        <f>B41</f>
        <v>50000</v>
      </c>
      <c r="F41" s="147"/>
      <c r="G41" s="147"/>
      <c r="H41" s="147"/>
      <c r="I41" s="147"/>
      <c r="J41" s="147"/>
      <c r="K41" s="147"/>
      <c r="L41" s="147"/>
      <c r="M41" s="147"/>
      <c r="N41" s="147"/>
      <c r="O41" s="147"/>
      <c r="P41" s="147"/>
      <c r="Q41" s="147"/>
      <c r="R41" s="516">
        <f>SUM(E41:Q41)</f>
        <v>50000</v>
      </c>
      <c r="S41" s="147">
        <v>50000</v>
      </c>
      <c r="T41" s="147"/>
      <c r="U41" s="143"/>
    </row>
    <row r="42" spans="1:21" s="144" customFormat="1">
      <c r="A42" s="149" t="s">
        <v>147</v>
      </c>
      <c r="B42" s="146">
        <f>SUM(C42:D42)</f>
        <v>200000</v>
      </c>
      <c r="C42" s="146">
        <f>SUM(C39:C41)</f>
        <v>200000</v>
      </c>
      <c r="D42" s="146">
        <f>SUM(D39:D41)</f>
        <v>0</v>
      </c>
      <c r="E42" s="146">
        <f t="shared" ref="E42:T42" si="9">SUM(E40:E41)</f>
        <v>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200000</v>
      </c>
      <c r="S42" s="150">
        <f t="shared" si="9"/>
        <v>200000</v>
      </c>
      <c r="T42" s="150">
        <f t="shared" si="9"/>
        <v>0</v>
      </c>
      <c r="U42" s="143"/>
    </row>
    <row r="43" spans="1:21" s="144" customFormat="1">
      <c r="A43" s="149" t="s">
        <v>148</v>
      </c>
      <c r="B43" s="146">
        <f>SUM(C43:D43)</f>
        <v>12500</v>
      </c>
      <c r="C43" s="147">
        <v>12500</v>
      </c>
      <c r="D43" s="147"/>
      <c r="E43" s="147">
        <f>B43</f>
        <v>12500</v>
      </c>
      <c r="F43" s="147"/>
      <c r="G43" s="147"/>
      <c r="H43" s="147"/>
      <c r="I43" s="147"/>
      <c r="J43" s="147"/>
      <c r="K43" s="147"/>
      <c r="L43" s="147"/>
      <c r="M43" s="147"/>
      <c r="N43" s="147"/>
      <c r="O43" s="147"/>
      <c r="P43" s="147"/>
      <c r="Q43" s="147"/>
      <c r="R43" s="516">
        <f>SUM(E43:Q43)</f>
        <v>12500</v>
      </c>
      <c r="S43" s="147">
        <v>12500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251128</v>
      </c>
      <c r="C45" s="147">
        <v>251128</v>
      </c>
      <c r="D45" s="147"/>
      <c r="E45" s="147">
        <f>B45</f>
        <v>251128</v>
      </c>
      <c r="F45" s="147"/>
      <c r="G45" s="147"/>
      <c r="H45" s="147"/>
      <c r="I45" s="147"/>
      <c r="J45" s="147"/>
      <c r="K45" s="147"/>
      <c r="L45" s="147"/>
      <c r="M45" s="147"/>
      <c r="N45" s="147"/>
      <c r="O45" s="147"/>
      <c r="P45" s="147"/>
      <c r="Q45" s="147"/>
      <c r="R45" s="516">
        <f t="shared" ref="R45:R53" si="11">SUM(E45:Q45)</f>
        <v>251128</v>
      </c>
      <c r="S45" s="147">
        <v>155738</v>
      </c>
      <c r="T45" s="147"/>
      <c r="U45" s="143"/>
    </row>
    <row r="46" spans="1:21" s="144" customFormat="1">
      <c r="A46" s="145" t="s">
        <v>151</v>
      </c>
      <c r="B46" s="146">
        <f t="shared" si="10"/>
        <v>85071</v>
      </c>
      <c r="C46" s="147">
        <v>85071</v>
      </c>
      <c r="D46" s="147"/>
      <c r="E46" s="147">
        <f>B46</f>
        <v>85071</v>
      </c>
      <c r="F46" s="147"/>
      <c r="G46" s="147"/>
      <c r="H46" s="147"/>
      <c r="I46" s="147"/>
      <c r="J46" s="147"/>
      <c r="K46" s="147"/>
      <c r="L46" s="147"/>
      <c r="M46" s="147"/>
      <c r="N46" s="147"/>
      <c r="O46" s="147"/>
      <c r="P46" s="147"/>
      <c r="Q46" s="147"/>
      <c r="R46" s="516">
        <f t="shared" si="11"/>
        <v>85071</v>
      </c>
      <c r="S46" s="147">
        <v>85071</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68139</v>
      </c>
      <c r="C48" s="147">
        <v>68139</v>
      </c>
      <c r="D48" s="147"/>
      <c r="E48" s="147">
        <f>C48</f>
        <v>68139</v>
      </c>
      <c r="F48" s="147"/>
      <c r="G48" s="147"/>
      <c r="H48" s="147"/>
      <c r="I48" s="147"/>
      <c r="J48" s="147"/>
      <c r="K48" s="147"/>
      <c r="L48" s="147"/>
      <c r="M48" s="147"/>
      <c r="N48" s="147"/>
      <c r="O48" s="147"/>
      <c r="P48" s="147"/>
      <c r="Q48" s="147"/>
      <c r="R48" s="516">
        <f t="shared" si="11"/>
        <v>68139</v>
      </c>
      <c r="S48" s="147">
        <v>68139</v>
      </c>
      <c r="T48" s="147"/>
      <c r="U48" s="143"/>
    </row>
    <row r="49" spans="1:21" s="144" customFormat="1">
      <c r="A49" s="145" t="s">
        <v>57</v>
      </c>
      <c r="B49" s="146">
        <f t="shared" si="10"/>
        <v>349662</v>
      </c>
      <c r="C49" s="147">
        <v>349662</v>
      </c>
      <c r="D49" s="147"/>
      <c r="E49" s="147">
        <f>C49</f>
        <v>349662</v>
      </c>
      <c r="F49" s="147"/>
      <c r="G49" s="147"/>
      <c r="H49" s="147"/>
      <c r="I49" s="147"/>
      <c r="J49" s="147"/>
      <c r="K49" s="147"/>
      <c r="L49" s="147"/>
      <c r="M49" s="147"/>
      <c r="N49" s="147"/>
      <c r="O49" s="147"/>
      <c r="P49" s="147"/>
      <c r="Q49" s="147"/>
      <c r="R49" s="516">
        <f t="shared" si="11"/>
        <v>349662</v>
      </c>
      <c r="S49" s="147">
        <v>0</v>
      </c>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2672</v>
      </c>
      <c r="B53" s="146">
        <f t="shared" si="10"/>
        <v>13500</v>
      </c>
      <c r="C53" s="147">
        <v>13500</v>
      </c>
      <c r="D53" s="147"/>
      <c r="E53" s="147">
        <f>B53</f>
        <v>13500</v>
      </c>
      <c r="F53" s="147"/>
      <c r="G53" s="147"/>
      <c r="H53" s="147"/>
      <c r="I53" s="147"/>
      <c r="J53" s="147"/>
      <c r="K53" s="147"/>
      <c r="L53" s="147"/>
      <c r="M53" s="147"/>
      <c r="N53" s="147"/>
      <c r="O53" s="147"/>
      <c r="P53" s="147"/>
      <c r="Q53" s="147"/>
      <c r="R53" s="516">
        <f t="shared" si="11"/>
        <v>13500</v>
      </c>
      <c r="S53" s="147">
        <v>13500</v>
      </c>
      <c r="T53" s="147"/>
      <c r="U53" s="143"/>
    </row>
    <row r="54" spans="1:21" s="153" customFormat="1">
      <c r="A54" s="149" t="s">
        <v>157</v>
      </c>
      <c r="B54" s="150">
        <f>SUM(C54:D54)</f>
        <v>767500</v>
      </c>
      <c r="C54" s="150">
        <f t="shared" ref="C54:T54" si="12">SUM(C45:C53)</f>
        <v>767500</v>
      </c>
      <c r="D54" s="150">
        <f t="shared" si="12"/>
        <v>0</v>
      </c>
      <c r="E54" s="150">
        <f t="shared" si="12"/>
        <v>767500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767500</v>
      </c>
      <c r="S54" s="150">
        <f t="shared" si="12"/>
        <v>322448</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89000</v>
      </c>
      <c r="C56" s="147">
        <v>89000</v>
      </c>
      <c r="D56" s="147"/>
      <c r="E56" s="147">
        <f>B56</f>
        <v>89000</v>
      </c>
      <c r="F56" s="147"/>
      <c r="G56" s="147"/>
      <c r="H56" s="147"/>
      <c r="I56" s="147"/>
      <c r="J56" s="147"/>
      <c r="K56" s="147"/>
      <c r="L56" s="147"/>
      <c r="M56" s="147"/>
      <c r="N56" s="147"/>
      <c r="O56" s="147"/>
      <c r="P56" s="147"/>
      <c r="Q56" s="147"/>
      <c r="R56" s="516">
        <f t="shared" ref="R56:R61" si="14">SUM(E56:Q56)</f>
        <v>89000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27250</v>
      </c>
      <c r="C58" s="147">
        <v>27250</v>
      </c>
      <c r="D58" s="147"/>
      <c r="E58" s="147">
        <f>C58</f>
        <v>27250</v>
      </c>
      <c r="F58" s="147"/>
      <c r="G58" s="147"/>
      <c r="H58" s="147"/>
      <c r="I58" s="147"/>
      <c r="J58" s="147"/>
      <c r="K58" s="147"/>
      <c r="L58" s="147"/>
      <c r="M58" s="147"/>
      <c r="N58" s="147"/>
      <c r="O58" s="147"/>
      <c r="P58" s="147"/>
      <c r="Q58" s="147"/>
      <c r="R58" s="516">
        <f t="shared" si="14"/>
        <v>27250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35000</v>
      </c>
      <c r="C60" s="147">
        <v>35000</v>
      </c>
      <c r="D60" s="147"/>
      <c r="E60" s="147">
        <f>C60</f>
        <v>35000</v>
      </c>
      <c r="F60" s="147"/>
      <c r="G60" s="147"/>
      <c r="H60" s="147"/>
      <c r="I60" s="147"/>
      <c r="J60" s="147"/>
      <c r="K60" s="147"/>
      <c r="L60" s="147"/>
      <c r="M60" s="147"/>
      <c r="N60" s="147"/>
      <c r="O60" s="147"/>
      <c r="P60" s="147"/>
      <c r="Q60" s="147"/>
      <c r="R60" s="516">
        <f t="shared" si="14"/>
        <v>35000</v>
      </c>
      <c r="S60" s="148"/>
      <c r="T60" s="148"/>
      <c r="U60" s="143"/>
    </row>
    <row r="61" spans="1:21" s="144" customFormat="1">
      <c r="A61" s="1149" t="s">
        <v>2735</v>
      </c>
      <c r="B61" s="146">
        <f t="shared" si="13"/>
        <v>50000</v>
      </c>
      <c r="C61" s="147">
        <v>50000</v>
      </c>
      <c r="D61" s="147"/>
      <c r="E61" s="147">
        <f>B61</f>
        <v>50000</v>
      </c>
      <c r="F61" s="147"/>
      <c r="G61" s="147"/>
      <c r="H61" s="147"/>
      <c r="I61" s="147"/>
      <c r="J61" s="147"/>
      <c r="K61" s="147"/>
      <c r="L61" s="147"/>
      <c r="M61" s="147"/>
      <c r="N61" s="147"/>
      <c r="O61" s="147"/>
      <c r="P61" s="147"/>
      <c r="Q61" s="147"/>
      <c r="R61" s="516">
        <f t="shared" si="14"/>
        <v>50000</v>
      </c>
      <c r="S61" s="148"/>
      <c r="T61" s="148"/>
      <c r="U61" s="143"/>
    </row>
    <row r="62" spans="1:21" s="144" customFormat="1" ht="13.75" customHeight="1">
      <c r="A62" s="149" t="s">
        <v>301</v>
      </c>
      <c r="B62" s="146">
        <f>SUM(C62:D62)</f>
        <v>201250</v>
      </c>
      <c r="C62" s="146">
        <f t="shared" ref="C62:R62" si="15">SUM(C56:C61)</f>
        <v>201250</v>
      </c>
      <c r="D62" s="146">
        <f t="shared" si="15"/>
        <v>0</v>
      </c>
      <c r="E62" s="146">
        <f t="shared" si="15"/>
        <v>201250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201250</v>
      </c>
      <c r="S62" s="148"/>
      <c r="T62" s="148"/>
      <c r="U62" s="143"/>
    </row>
    <row r="63" spans="1:21" s="144" customFormat="1">
      <c r="A63" s="154" t="s">
        <v>302</v>
      </c>
      <c r="B63" s="146">
        <f t="shared" ref="B63:R63" si="16">SUM(B8+B11+B13+B14+B15+B26+B27+B38+B42+B43+B54+B62)</f>
        <v>32141043</v>
      </c>
      <c r="C63" s="146">
        <f t="shared" si="16"/>
        <v>32141043</v>
      </c>
      <c r="D63" s="146">
        <f t="shared" si="16"/>
        <v>0</v>
      </c>
      <c r="E63" s="146">
        <f t="shared" si="16"/>
        <v>8420550</v>
      </c>
      <c r="F63" s="146">
        <f t="shared" si="16"/>
        <v>8900000</v>
      </c>
      <c r="G63" s="146">
        <f t="shared" si="16"/>
        <v>3300000</v>
      </c>
      <c r="H63" s="146">
        <f t="shared" si="16"/>
        <v>11426504</v>
      </c>
      <c r="I63" s="146">
        <f t="shared" si="16"/>
        <v>100</v>
      </c>
      <c r="J63" s="146">
        <f t="shared" si="16"/>
        <v>0</v>
      </c>
      <c r="K63" s="146">
        <f t="shared" si="16"/>
        <v>93889</v>
      </c>
      <c r="L63" s="146">
        <f t="shared" si="16"/>
        <v>0</v>
      </c>
      <c r="M63" s="146">
        <f t="shared" si="16"/>
        <v>0</v>
      </c>
      <c r="N63" s="146">
        <f t="shared" si="16"/>
        <v>0</v>
      </c>
      <c r="O63" s="146">
        <f t="shared" si="16"/>
        <v>0</v>
      </c>
      <c r="P63" s="146">
        <f t="shared" si="16"/>
        <v>0</v>
      </c>
      <c r="Q63" s="146">
        <f t="shared" si="16"/>
        <v>0</v>
      </c>
      <c r="R63" s="342">
        <f t="shared" si="16"/>
        <v>32141043</v>
      </c>
      <c r="S63" s="146">
        <f>SUM(S10+S13+S14+S15+S26+S27+S38+S42+S43+S54)</f>
        <v>6921448</v>
      </c>
      <c r="T63" s="146">
        <f>SUM(T11+T13+T14+T15+T26+T27+T38+T42+T43+T54)</f>
        <v>22200000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B65</f>
        <v>75000</v>
      </c>
      <c r="F65" s="147"/>
      <c r="G65" s="147"/>
      <c r="H65" s="147"/>
      <c r="I65" s="147"/>
      <c r="J65" s="147"/>
      <c r="K65" s="147"/>
      <c r="L65" s="147"/>
      <c r="M65" s="147"/>
      <c r="N65" s="147"/>
      <c r="O65" s="147"/>
      <c r="P65" s="147"/>
      <c r="Q65" s="147"/>
      <c r="R65" s="516">
        <f>SUM(E65:Q65)</f>
        <v>75000</v>
      </c>
      <c r="S65" s="147">
        <v>15000</v>
      </c>
      <c r="T65" s="147"/>
      <c r="U65" s="143"/>
    </row>
    <row r="66" spans="1:21" s="144" customFormat="1" ht="24" customHeight="1">
      <c r="A66" s="283" t="s">
        <v>1640</v>
      </c>
      <c r="B66" s="146">
        <f>SUM(C66+D66)</f>
        <v>0</v>
      </c>
      <c r="C66" s="147">
        <v>0</v>
      </c>
      <c r="D66" s="147"/>
      <c r="E66" s="147">
        <f>C66</f>
        <v>0</v>
      </c>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2671</v>
      </c>
      <c r="B69" s="146">
        <f>SUM(C69+D69)</f>
        <v>300000</v>
      </c>
      <c r="C69" s="147">
        <v>300000</v>
      </c>
      <c r="D69" s="147"/>
      <c r="E69" s="147">
        <f>B69</f>
        <v>300000</v>
      </c>
      <c r="F69" s="147"/>
      <c r="G69" s="147"/>
      <c r="H69" s="147"/>
      <c r="I69" s="147"/>
      <c r="J69" s="147"/>
      <c r="K69" s="147"/>
      <c r="L69" s="147"/>
      <c r="M69" s="147"/>
      <c r="N69" s="147"/>
      <c r="O69" s="147"/>
      <c r="P69" s="147"/>
      <c r="Q69" s="147"/>
      <c r="R69" s="516">
        <f>SUM(E69:Q69)</f>
        <v>300000</v>
      </c>
      <c r="S69" s="147">
        <v>150000</v>
      </c>
      <c r="T69" s="147"/>
      <c r="U69" s="143"/>
    </row>
    <row r="70" spans="1:21" s="144" customFormat="1">
      <c r="A70" s="149" t="s">
        <v>1644</v>
      </c>
      <c r="B70" s="146">
        <f>SUM(C70:D70)</f>
        <v>375000</v>
      </c>
      <c r="C70" s="146">
        <f>SUM(C65:C69)</f>
        <v>375000</v>
      </c>
      <c r="D70" s="146">
        <f>SUM(D65:D69)</f>
        <v>0</v>
      </c>
      <c r="E70" s="146">
        <f t="shared" ref="E70:T70" si="17">SUM(E65:E69)</f>
        <v>375000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375000</v>
      </c>
      <c r="S70" s="150">
        <f t="shared" si="17"/>
        <v>165000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258079</v>
      </c>
      <c r="C75" s="147">
        <v>258079</v>
      </c>
      <c r="D75" s="147"/>
      <c r="E75" s="147">
        <f>B75</f>
        <v>258079</v>
      </c>
      <c r="F75" s="147"/>
      <c r="G75" s="147"/>
      <c r="H75" s="147"/>
      <c r="I75" s="147"/>
      <c r="J75" s="147"/>
      <c r="K75" s="147"/>
      <c r="L75" s="147"/>
      <c r="M75" s="147"/>
      <c r="N75" s="147"/>
      <c r="O75" s="147"/>
      <c r="P75" s="147"/>
      <c r="Q75" s="147"/>
      <c r="R75" s="516">
        <f>SUM(E75:Q75)</f>
        <v>258079</v>
      </c>
      <c r="S75" s="148"/>
      <c r="T75" s="148"/>
      <c r="U75" s="143"/>
    </row>
    <row r="76" spans="1:21" s="144" customFormat="1">
      <c r="A76" s="1149" t="s">
        <v>2670</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258079</v>
      </c>
      <c r="C77" s="146">
        <f>SUM(C72:C76)</f>
        <v>258079</v>
      </c>
      <c r="D77" s="146">
        <f>SUM(D72:D76)</f>
        <v>0</v>
      </c>
      <c r="E77" s="146">
        <f t="shared" ref="E77:Q77" si="18">SUM(E72:E76)</f>
        <v>258079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258079</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538650</v>
      </c>
      <c r="C79" s="147">
        <v>538650</v>
      </c>
      <c r="D79" s="147"/>
      <c r="E79" s="147">
        <f>B79</f>
        <v>538650</v>
      </c>
      <c r="F79" s="147"/>
      <c r="G79" s="147"/>
      <c r="H79" s="147"/>
      <c r="I79" s="147"/>
      <c r="J79" s="147"/>
      <c r="K79" s="147"/>
      <c r="L79" s="147"/>
      <c r="M79" s="147"/>
      <c r="N79" s="147"/>
      <c r="O79" s="147"/>
      <c r="P79" s="147"/>
      <c r="Q79" s="147"/>
      <c r="R79" s="516">
        <f>SUM(E79:Q79)</f>
        <v>538650</v>
      </c>
      <c r="S79" s="147">
        <v>538650</v>
      </c>
      <c r="T79" s="147"/>
      <c r="U79" s="143"/>
    </row>
    <row r="80" spans="1:21" s="144" customFormat="1">
      <c r="A80" s="283" t="s">
        <v>58</v>
      </c>
      <c r="B80" s="146">
        <f>SUM(C80:D80)</f>
        <v>100000</v>
      </c>
      <c r="C80" s="147">
        <v>100000</v>
      </c>
      <c r="D80" s="147"/>
      <c r="E80" s="147">
        <f>B80</f>
        <v>100000</v>
      </c>
      <c r="F80" s="147"/>
      <c r="G80" s="147"/>
      <c r="H80" s="147"/>
      <c r="I80" s="147"/>
      <c r="J80" s="147"/>
      <c r="K80" s="147"/>
      <c r="L80" s="147"/>
      <c r="M80" s="147"/>
      <c r="N80" s="147"/>
      <c r="O80" s="147"/>
      <c r="P80" s="147"/>
      <c r="Q80" s="147"/>
      <c r="R80" s="516">
        <f>SUM(E80:Q80)</f>
        <v>100000</v>
      </c>
      <c r="S80" s="147">
        <v>100000</v>
      </c>
      <c r="T80" s="147"/>
      <c r="U80" s="143"/>
    </row>
    <row r="81" spans="1:21" s="144" customFormat="1">
      <c r="A81" s="149" t="s">
        <v>1208</v>
      </c>
      <c r="B81" s="146">
        <f>SUM(C81:D81)</f>
        <v>638650</v>
      </c>
      <c r="C81" s="509">
        <f>SUM(C79:C80)</f>
        <v>638650</v>
      </c>
      <c r="D81" s="509">
        <f t="shared" ref="D81:T81" si="19">SUM(D79:D80)</f>
        <v>0</v>
      </c>
      <c r="E81" s="509">
        <f t="shared" si="19"/>
        <v>638650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638650</v>
      </c>
      <c r="S81" s="509">
        <f t="shared" si="19"/>
        <v>638650</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20">SUM(C83+D83)</f>
        <v>132370</v>
      </c>
      <c r="C83" s="147">
        <v>132370</v>
      </c>
      <c r="D83" s="147"/>
      <c r="E83" s="147">
        <f>B83</f>
        <v>132370</v>
      </c>
      <c r="F83" s="147"/>
      <c r="G83" s="147"/>
      <c r="H83" s="147"/>
      <c r="I83" s="147"/>
      <c r="J83" s="147"/>
      <c r="K83" s="147"/>
      <c r="L83" s="147"/>
      <c r="M83" s="147"/>
      <c r="N83" s="147"/>
      <c r="O83" s="147"/>
      <c r="P83" s="147"/>
      <c r="Q83" s="147"/>
      <c r="R83" s="516">
        <f t="shared" ref="R83:R95" si="21">SUM(E83:Q83)</f>
        <v>132370</v>
      </c>
      <c r="S83" s="148"/>
      <c r="T83" s="148"/>
      <c r="U83" s="143"/>
    </row>
    <row r="84" spans="1:21" s="144" customFormat="1">
      <c r="A84" s="145" t="s">
        <v>767</v>
      </c>
      <c r="B84" s="146">
        <f t="shared" si="20"/>
        <v>15000</v>
      </c>
      <c r="C84" s="147">
        <v>15000</v>
      </c>
      <c r="D84" s="147"/>
      <c r="E84" s="147">
        <f>B84</f>
        <v>15000</v>
      </c>
      <c r="F84" s="147"/>
      <c r="G84" s="147"/>
      <c r="H84" s="147"/>
      <c r="I84" s="147"/>
      <c r="J84" s="147"/>
      <c r="K84" s="147"/>
      <c r="L84" s="147"/>
      <c r="M84" s="147"/>
      <c r="N84" s="147"/>
      <c r="O84" s="147"/>
      <c r="P84" s="147"/>
      <c r="Q84" s="147"/>
      <c r="R84" s="516">
        <f t="shared" si="21"/>
        <v>15000</v>
      </c>
      <c r="S84" s="147">
        <v>15000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47250</v>
      </c>
      <c r="C86" s="147">
        <v>47250</v>
      </c>
      <c r="D86" s="147"/>
      <c r="E86" s="147">
        <f>B86</f>
        <v>47250</v>
      </c>
      <c r="F86" s="147"/>
      <c r="G86" s="147"/>
      <c r="H86" s="147"/>
      <c r="I86" s="147"/>
      <c r="J86" s="147"/>
      <c r="K86" s="147"/>
      <c r="L86" s="147"/>
      <c r="M86" s="147"/>
      <c r="N86" s="147"/>
      <c r="O86" s="147"/>
      <c r="P86" s="147"/>
      <c r="Q86" s="147"/>
      <c r="R86" s="516">
        <f t="shared" si="21"/>
        <v>47250</v>
      </c>
      <c r="S86" s="147">
        <v>47250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177500</v>
      </c>
      <c r="C89" s="147">
        <v>177500</v>
      </c>
      <c r="D89" s="147"/>
      <c r="E89" s="147">
        <f t="shared" ref="E89:E92" si="22">B89</f>
        <v>177500</v>
      </c>
      <c r="F89" s="147"/>
      <c r="G89" s="147"/>
      <c r="H89" s="147"/>
      <c r="I89" s="147"/>
      <c r="J89" s="147"/>
      <c r="K89" s="147"/>
      <c r="L89" s="147"/>
      <c r="M89" s="147"/>
      <c r="N89" s="147"/>
      <c r="O89" s="147"/>
      <c r="P89" s="147"/>
      <c r="Q89" s="147"/>
      <c r="R89" s="516">
        <f t="shared" si="21"/>
        <v>177500</v>
      </c>
      <c r="S89" s="147">
        <v>177500</v>
      </c>
      <c r="T89" s="147"/>
      <c r="U89" s="143"/>
    </row>
    <row r="90" spans="1:21" s="144" customFormat="1">
      <c r="A90" s="145" t="s">
        <v>773</v>
      </c>
      <c r="B90" s="146">
        <f t="shared" si="20"/>
        <v>7500</v>
      </c>
      <c r="C90" s="147">
        <v>7500</v>
      </c>
      <c r="D90" s="147"/>
      <c r="E90" s="147">
        <f t="shared" si="22"/>
        <v>7500</v>
      </c>
      <c r="F90" s="147"/>
      <c r="G90" s="147"/>
      <c r="H90" s="147"/>
      <c r="I90" s="147"/>
      <c r="J90" s="147"/>
      <c r="K90" s="147"/>
      <c r="L90" s="147"/>
      <c r="M90" s="147"/>
      <c r="N90" s="147"/>
      <c r="O90" s="147"/>
      <c r="P90" s="147"/>
      <c r="Q90" s="147"/>
      <c r="R90" s="516">
        <f t="shared" si="21"/>
        <v>7500</v>
      </c>
      <c r="S90" s="147">
        <v>7500</v>
      </c>
      <c r="T90" s="147"/>
      <c r="U90" s="143"/>
    </row>
    <row r="91" spans="1:21" s="144" customFormat="1">
      <c r="A91" s="145" t="s">
        <v>372</v>
      </c>
      <c r="B91" s="146">
        <f t="shared" si="20"/>
        <v>33000</v>
      </c>
      <c r="C91" s="147">
        <v>33000</v>
      </c>
      <c r="D91" s="147"/>
      <c r="E91" s="147">
        <f t="shared" si="22"/>
        <v>33000</v>
      </c>
      <c r="F91" s="147"/>
      <c r="G91" s="147"/>
      <c r="H91" s="147"/>
      <c r="I91" s="147"/>
      <c r="J91" s="147"/>
      <c r="K91" s="147"/>
      <c r="L91" s="147"/>
      <c r="M91" s="147"/>
      <c r="N91" s="147"/>
      <c r="O91" s="147"/>
      <c r="P91" s="147"/>
      <c r="Q91" s="147"/>
      <c r="R91" s="516">
        <f t="shared" si="21"/>
        <v>33000</v>
      </c>
      <c r="S91" s="147">
        <v>18000</v>
      </c>
      <c r="T91" s="147"/>
      <c r="U91" s="143"/>
    </row>
    <row r="92" spans="1:21" s="144" customFormat="1">
      <c r="A92" s="283" t="s">
        <v>1210</v>
      </c>
      <c r="B92" s="146">
        <f t="shared" si="20"/>
        <v>7500</v>
      </c>
      <c r="C92" s="147">
        <v>7500</v>
      </c>
      <c r="D92" s="147"/>
      <c r="E92" s="147">
        <f t="shared" si="22"/>
        <v>7500</v>
      </c>
      <c r="F92" s="147"/>
      <c r="G92" s="147"/>
      <c r="H92" s="147"/>
      <c r="I92" s="147"/>
      <c r="J92" s="147"/>
      <c r="K92" s="147"/>
      <c r="L92" s="147"/>
      <c r="M92" s="147"/>
      <c r="N92" s="147"/>
      <c r="O92" s="147"/>
      <c r="P92" s="147"/>
      <c r="Q92" s="147"/>
      <c r="R92" s="516">
        <f t="shared" si="21"/>
        <v>7500</v>
      </c>
      <c r="S92" s="147">
        <v>7500</v>
      </c>
      <c r="T92" s="147"/>
      <c r="U92" s="143"/>
    </row>
    <row r="93" spans="1:21" s="144" customFormat="1">
      <c r="A93" s="1149" t="s">
        <v>2672</v>
      </c>
      <c r="B93" s="146">
        <f>SUM(C93+D93)</f>
        <v>48000</v>
      </c>
      <c r="C93" s="147">
        <v>48000</v>
      </c>
      <c r="D93" s="147"/>
      <c r="E93" s="147">
        <f>C93</f>
        <v>48000</v>
      </c>
      <c r="F93" s="147"/>
      <c r="G93" s="147"/>
      <c r="H93" s="147"/>
      <c r="I93" s="147"/>
      <c r="J93" s="147"/>
      <c r="K93" s="147"/>
      <c r="L93" s="147"/>
      <c r="M93" s="147"/>
      <c r="N93" s="147"/>
      <c r="O93" s="147"/>
      <c r="P93" s="147"/>
      <c r="Q93" s="147"/>
      <c r="R93" s="516">
        <f t="shared" si="21"/>
        <v>48000</v>
      </c>
      <c r="S93" s="147">
        <v>48000</v>
      </c>
      <c r="T93" s="147"/>
      <c r="U93" s="143"/>
    </row>
    <row r="94" spans="1:21" s="144" customFormat="1">
      <c r="A94" s="1149" t="s">
        <v>34</v>
      </c>
      <c r="B94" s="146">
        <f>SUM(C94+D94)</f>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468120</v>
      </c>
      <c r="C96" s="146">
        <f t="shared" ref="C96:R96" si="23">SUM(C83:C95)</f>
        <v>468120</v>
      </c>
      <c r="D96" s="146">
        <f t="shared" si="23"/>
        <v>0</v>
      </c>
      <c r="E96" s="146">
        <f t="shared" si="23"/>
        <v>468120</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468120</v>
      </c>
      <c r="S96" s="150">
        <f>SUM(S84:S87,S89:S95)</f>
        <v>320750</v>
      </c>
      <c r="T96" s="146">
        <f>SUM(T84:T87,T89:T95)</f>
        <v>0</v>
      </c>
      <c r="U96" s="143"/>
    </row>
    <row r="97" spans="1:21" s="144" customFormat="1">
      <c r="A97" s="149" t="s">
        <v>775</v>
      </c>
      <c r="B97" s="146">
        <f>SUM(C97:D97)</f>
        <v>33880892</v>
      </c>
      <c r="C97" s="146">
        <f t="shared" ref="C97:R97" si="24">SUM(C63+C70+C77+C81+C96)</f>
        <v>33880892</v>
      </c>
      <c r="D97" s="146">
        <f t="shared" si="24"/>
        <v>0</v>
      </c>
      <c r="E97" s="146">
        <f t="shared" si="24"/>
        <v>10160399</v>
      </c>
      <c r="F97" s="146">
        <f t="shared" si="24"/>
        <v>8900000</v>
      </c>
      <c r="G97" s="146">
        <f t="shared" si="24"/>
        <v>3300000</v>
      </c>
      <c r="H97" s="146">
        <f t="shared" si="24"/>
        <v>11426504</v>
      </c>
      <c r="I97" s="146">
        <f t="shared" si="24"/>
        <v>100</v>
      </c>
      <c r="J97" s="146">
        <f t="shared" si="24"/>
        <v>0</v>
      </c>
      <c r="K97" s="146">
        <f t="shared" si="24"/>
        <v>93889</v>
      </c>
      <c r="L97" s="146">
        <f t="shared" si="24"/>
        <v>0</v>
      </c>
      <c r="M97" s="146">
        <f t="shared" si="24"/>
        <v>0</v>
      </c>
      <c r="N97" s="146">
        <f t="shared" si="24"/>
        <v>0</v>
      </c>
      <c r="O97" s="146">
        <f t="shared" si="24"/>
        <v>0</v>
      </c>
      <c r="P97" s="146">
        <f t="shared" si="24"/>
        <v>0</v>
      </c>
      <c r="Q97" s="146">
        <f t="shared" si="24"/>
        <v>0</v>
      </c>
      <c r="R97" s="146">
        <f t="shared" si="24"/>
        <v>33880892</v>
      </c>
      <c r="S97" s="146">
        <f>SUM(S63+S70+S81+S96)</f>
        <v>8045848</v>
      </c>
      <c r="T97" s="146">
        <f>SUM(T63+T70+T81+T96)</f>
        <v>22200000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2316877</v>
      </c>
      <c r="C99" s="979">
        <v>2316877</v>
      </c>
      <c r="D99" s="979"/>
      <c r="E99" s="979">
        <f>C99-J99</f>
        <v>1853502</v>
      </c>
      <c r="F99" s="147"/>
      <c r="G99" s="147"/>
      <c r="H99" s="147"/>
      <c r="I99" s="147"/>
      <c r="J99" s="147">
        <f>ROUND(Application!AO631,0)</f>
        <v>463375</v>
      </c>
      <c r="K99" s="147"/>
      <c r="L99" s="147"/>
      <c r="M99" s="147"/>
      <c r="N99" s="147"/>
      <c r="O99" s="147"/>
      <c r="P99" s="147"/>
      <c r="Q99" s="147"/>
      <c r="R99" s="516">
        <f>SUM(E99:Q99)</f>
        <v>2316877</v>
      </c>
      <c r="S99" s="147">
        <v>1206877</v>
      </c>
      <c r="T99" s="147">
        <v>1110000</v>
      </c>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v>0</v>
      </c>
      <c r="D102" s="147"/>
      <c r="E102" s="147">
        <f>B102</f>
        <v>0</v>
      </c>
      <c r="F102" s="147"/>
      <c r="G102" s="147"/>
      <c r="H102" s="147"/>
      <c r="I102" s="147"/>
      <c r="J102" s="147"/>
      <c r="K102" s="147"/>
      <c r="L102" s="147"/>
      <c r="M102" s="147"/>
      <c r="N102" s="147"/>
      <c r="O102" s="147"/>
      <c r="P102" s="147"/>
      <c r="Q102" s="147"/>
      <c r="R102" s="516">
        <f>SUM(E102:Q102)</f>
        <v>0</v>
      </c>
      <c r="S102" s="147">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2316877</v>
      </c>
      <c r="C104" s="146">
        <f>SUM(C99:C103)</f>
        <v>2316877</v>
      </c>
      <c r="D104" s="146">
        <f t="shared" ref="D104:T104" si="25">SUM(D99:D103)</f>
        <v>0</v>
      </c>
      <c r="E104" s="146">
        <f t="shared" si="25"/>
        <v>1853502</v>
      </c>
      <c r="F104" s="146">
        <f>SUM(F99:F103)</f>
        <v>0</v>
      </c>
      <c r="G104" s="146">
        <f t="shared" si="25"/>
        <v>0</v>
      </c>
      <c r="H104" s="146">
        <f t="shared" si="25"/>
        <v>0</v>
      </c>
      <c r="I104" s="146">
        <f t="shared" si="25"/>
        <v>0</v>
      </c>
      <c r="J104" s="146">
        <f t="shared" si="25"/>
        <v>463375</v>
      </c>
      <c r="K104" s="146">
        <f t="shared" si="25"/>
        <v>0</v>
      </c>
      <c r="L104" s="146">
        <f t="shared" si="25"/>
        <v>0</v>
      </c>
      <c r="M104" s="146">
        <f t="shared" si="25"/>
        <v>0</v>
      </c>
      <c r="N104" s="146">
        <f t="shared" si="25"/>
        <v>0</v>
      </c>
      <c r="O104" s="146">
        <f t="shared" si="25"/>
        <v>0</v>
      </c>
      <c r="P104" s="146">
        <f t="shared" si="25"/>
        <v>0</v>
      </c>
      <c r="Q104" s="146">
        <f t="shared" si="25"/>
        <v>0</v>
      </c>
      <c r="R104" s="342">
        <f t="shared" si="25"/>
        <v>2316877</v>
      </c>
      <c r="S104" s="150">
        <f t="shared" si="25"/>
        <v>1206877</v>
      </c>
      <c r="T104" s="150">
        <f t="shared" si="25"/>
        <v>1110000</v>
      </c>
      <c r="U104" s="143"/>
    </row>
    <row r="105" spans="1:21" s="144" customFormat="1">
      <c r="A105" s="149" t="s">
        <v>780</v>
      </c>
      <c r="B105" s="150">
        <f>SUM(C105:D105)</f>
        <v>36197769</v>
      </c>
      <c r="C105" s="150">
        <f t="shared" ref="C105:R105" si="26">SUM(C97+C104)</f>
        <v>36197769</v>
      </c>
      <c r="D105" s="150">
        <f t="shared" si="26"/>
        <v>0</v>
      </c>
      <c r="E105" s="150">
        <f t="shared" si="26"/>
        <v>12013901</v>
      </c>
      <c r="F105" s="150">
        <f t="shared" si="26"/>
        <v>8900000</v>
      </c>
      <c r="G105" s="150">
        <f t="shared" si="26"/>
        <v>3300000</v>
      </c>
      <c r="H105" s="150">
        <f t="shared" si="26"/>
        <v>11426504</v>
      </c>
      <c r="I105" s="150">
        <f t="shared" si="26"/>
        <v>100</v>
      </c>
      <c r="J105" s="150">
        <f t="shared" si="26"/>
        <v>463375</v>
      </c>
      <c r="K105" s="150">
        <f t="shared" si="26"/>
        <v>93889</v>
      </c>
      <c r="L105" s="150">
        <f t="shared" si="26"/>
        <v>0</v>
      </c>
      <c r="M105" s="150">
        <f t="shared" si="26"/>
        <v>0</v>
      </c>
      <c r="N105" s="150">
        <f t="shared" si="26"/>
        <v>0</v>
      </c>
      <c r="O105" s="150">
        <f t="shared" si="26"/>
        <v>0</v>
      </c>
      <c r="P105" s="150">
        <f t="shared" si="26"/>
        <v>0</v>
      </c>
      <c r="Q105" s="150">
        <f t="shared" si="26"/>
        <v>0</v>
      </c>
      <c r="R105" s="342">
        <f t="shared" si="26"/>
        <v>36197769</v>
      </c>
      <c r="S105" s="150">
        <f>S97+S104</f>
        <v>9252725</v>
      </c>
      <c r="T105" s="150">
        <f>T97+T104</f>
        <v>23310000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9252725</v>
      </c>
      <c r="T107" s="150">
        <f>T105+T106</f>
        <v>23310000</v>
      </c>
    </row>
    <row r="108" spans="1:21" s="189" customFormat="1">
      <c r="A108" s="162" t="s">
        <v>879</v>
      </c>
      <c r="B108" s="157"/>
      <c r="C108" s="157"/>
      <c r="D108" s="157"/>
      <c r="E108" s="301">
        <f>Application!AO640</f>
        <v>12013901</v>
      </c>
      <c r="F108" s="301">
        <f>Application!AO627</f>
        <v>8900000</v>
      </c>
      <c r="G108" s="301">
        <f>Application!AO628</f>
        <v>3300000</v>
      </c>
      <c r="H108" s="301">
        <f>Application!AO629</f>
        <v>11426504</v>
      </c>
      <c r="I108" s="301">
        <f>Application!AO630</f>
        <v>100</v>
      </c>
      <c r="J108" s="301">
        <f>Application!AO631</f>
        <v>463375</v>
      </c>
      <c r="K108" s="301">
        <f>Application!AO632</f>
        <v>93889</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4"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9" t="s">
        <v>989</v>
      </c>
      <c r="E122" s="1869"/>
      <c r="F122" s="1869"/>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1" t="s">
        <v>1223</v>
      </c>
      <c r="E123" s="1789"/>
      <c r="F123" s="1789"/>
      <c r="G123" s="1789"/>
      <c r="H123" s="1789"/>
      <c r="I123" s="1789"/>
      <c r="J123" s="1789"/>
      <c r="K123" s="1789"/>
      <c r="L123" s="1789"/>
      <c r="M123" s="1789"/>
      <c r="N123" s="1789"/>
      <c r="O123" s="1789"/>
      <c r="P123" s="1789"/>
      <c r="Q123" s="1789"/>
      <c r="R123" s="1789"/>
      <c r="S123" s="1789"/>
      <c r="T123" s="324"/>
      <c r="U123" s="326"/>
    </row>
    <row r="124" spans="1:21" ht="12.5">
      <c r="A124" s="117" t="s">
        <v>991</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5">
      <c r="A125" s="117" t="s">
        <v>992</v>
      </c>
      <c r="B125" s="333"/>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5">
      <c r="A129" s="117" t="s">
        <v>300</v>
      </c>
      <c r="B129" s="333"/>
      <c r="C129" s="117"/>
      <c r="D129" s="1868" t="s">
        <v>996</v>
      </c>
      <c r="E129" s="1868"/>
      <c r="F129" s="1868"/>
      <c r="G129" s="1868"/>
      <c r="H129" s="1868"/>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2" t="s">
        <v>999</v>
      </c>
      <c r="E132" s="1872"/>
      <c r="F132" s="1872"/>
      <c r="G132" s="1872"/>
      <c r="H132" s="1872"/>
      <c r="I132" s="117"/>
      <c r="J132" s="1872" t="s">
        <v>1000</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
      <c r="A139" s="1870" t="s">
        <v>1003</v>
      </c>
      <c r="B139" s="1870"/>
      <c r="C139" s="1870"/>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6" t="s">
        <v>1226</v>
      </c>
      <c r="B1" s="1877"/>
      <c r="C1" s="1877"/>
      <c r="D1" s="1877"/>
      <c r="E1" s="1877"/>
      <c r="F1" s="1877"/>
      <c r="G1" s="1877"/>
      <c r="H1" s="1877"/>
      <c r="I1" s="1877"/>
      <c r="J1" s="1878"/>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1300000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1300000</v>
      </c>
      <c r="C8" s="361">
        <f>SUM(C4:C7)</f>
        <v>0</v>
      </c>
      <c r="D8" s="361">
        <f>SUM(D4:D7)</f>
        <v>0</v>
      </c>
      <c r="E8" s="363"/>
      <c r="F8" s="363"/>
      <c r="G8" s="363"/>
      <c r="H8" s="363"/>
      <c r="I8" s="363"/>
      <c r="J8" s="363"/>
      <c r="K8" s="359"/>
    </row>
    <row r="9" spans="1:11" s="360" customFormat="1">
      <c r="A9" s="364" t="s">
        <v>594</v>
      </c>
      <c r="B9" s="361">
        <f>'Sources and Uses Budget'!C9</f>
        <v>22200000</v>
      </c>
      <c r="C9" s="362"/>
      <c r="D9" s="362"/>
      <c r="E9" s="363"/>
      <c r="F9" s="363"/>
      <c r="G9" s="363"/>
      <c r="H9" s="361">
        <f>'Sources and Uses Budget'!T9</f>
        <v>22200000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22200000</v>
      </c>
      <c r="C11" s="361">
        <f>SUM(C9:C10)</f>
        <v>0</v>
      </c>
      <c r="D11" s="361">
        <f>SUM(D9:D10)</f>
        <v>0</v>
      </c>
      <c r="E11" s="363"/>
      <c r="F11" s="363"/>
      <c r="G11" s="363"/>
      <c r="H11" s="361">
        <f>'Sources and Uses Budget'!T11</f>
        <v>22200000</v>
      </c>
      <c r="I11" s="361">
        <f>SUM(I9:I10)</f>
        <v>0</v>
      </c>
      <c r="J11" s="361">
        <f>SUM(J9:J10)</f>
        <v>0</v>
      </c>
      <c r="K11" s="359"/>
    </row>
    <row r="12" spans="1:11" s="360" customFormat="1">
      <c r="A12" s="365" t="s">
        <v>84</v>
      </c>
      <c r="B12" s="361">
        <f>'Sources and Uses Budget'!C12</f>
        <v>23500000</v>
      </c>
      <c r="C12" s="361">
        <f>SUM(C8+C11)</f>
        <v>0</v>
      </c>
      <c r="D12" s="361">
        <f>SUM(D8+D11)</f>
        <v>0</v>
      </c>
      <c r="E12" s="363"/>
      <c r="F12" s="363"/>
      <c r="G12" s="363"/>
      <c r="H12" s="363"/>
      <c r="I12" s="363"/>
      <c r="J12" s="363"/>
      <c r="K12" s="359"/>
    </row>
    <row r="13" spans="1:11" s="360" customFormat="1">
      <c r="A13" s="366" t="s">
        <v>902</v>
      </c>
      <c r="B13" s="361">
        <f>'Sources and Uses Budget'!C13</f>
        <v>1573293</v>
      </c>
      <c r="C13" s="362"/>
      <c r="D13" s="362"/>
      <c r="E13" s="361">
        <f>'Sources and Uses Budget'!S13</f>
        <v>500000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945000</v>
      </c>
      <c r="C17" s="362"/>
      <c r="D17" s="362"/>
      <c r="E17" s="361">
        <f>'Sources and Uses Budget'!S17</f>
        <v>945000</v>
      </c>
      <c r="F17" s="362"/>
      <c r="G17" s="362"/>
      <c r="H17" s="361">
        <f>'Sources and Uses Budget'!T17</f>
        <v>0</v>
      </c>
      <c r="I17" s="362"/>
      <c r="J17" s="362"/>
      <c r="K17" s="359"/>
    </row>
    <row r="18" spans="1:11" s="360" customFormat="1">
      <c r="A18" s="364" t="s">
        <v>599</v>
      </c>
      <c r="B18" s="361">
        <f>'Sources and Uses Budget'!C18</f>
        <v>3780000</v>
      </c>
      <c r="C18" s="362"/>
      <c r="D18" s="362"/>
      <c r="E18" s="361">
        <f>'Sources and Uses Budget'!S18</f>
        <v>3780000</v>
      </c>
      <c r="F18" s="362"/>
      <c r="G18" s="362"/>
      <c r="H18" s="361">
        <f>'Sources and Uses Budget'!T18</f>
        <v>0</v>
      </c>
      <c r="I18" s="362"/>
      <c r="J18" s="362"/>
      <c r="K18" s="359"/>
    </row>
    <row r="19" spans="1:11" s="360" customFormat="1">
      <c r="A19" s="364" t="s">
        <v>600</v>
      </c>
      <c r="B19" s="361">
        <f>'Sources and Uses Budget'!C19</f>
        <v>283500</v>
      </c>
      <c r="C19" s="362"/>
      <c r="D19" s="362"/>
      <c r="E19" s="361">
        <f>'Sources and Uses Budget'!S19</f>
        <v>283500</v>
      </c>
      <c r="F19" s="362"/>
      <c r="G19" s="362"/>
      <c r="H19" s="361">
        <f>'Sources and Uses Budget'!T19</f>
        <v>0</v>
      </c>
      <c r="I19" s="362"/>
      <c r="J19" s="362"/>
      <c r="K19" s="359"/>
    </row>
    <row r="20" spans="1:11" s="360" customFormat="1">
      <c r="A20" s="364" t="s">
        <v>137</v>
      </c>
      <c r="B20" s="361">
        <f>'Sources and Uses Budget'!C20</f>
        <v>94500</v>
      </c>
      <c r="C20" s="362"/>
      <c r="D20" s="362"/>
      <c r="E20" s="361">
        <f>'Sources and Uses Budget'!S20</f>
        <v>94500</v>
      </c>
      <c r="F20" s="362"/>
      <c r="G20" s="362"/>
      <c r="H20" s="361">
        <f>'Sources and Uses Budget'!T20</f>
        <v>0</v>
      </c>
      <c r="I20" s="362"/>
      <c r="J20" s="362"/>
      <c r="K20" s="359"/>
    </row>
    <row r="21" spans="1:11" s="360" customFormat="1">
      <c r="A21" s="364" t="s">
        <v>138</v>
      </c>
      <c r="B21" s="361">
        <f>'Sources and Uses Budget'!C21</f>
        <v>283500</v>
      </c>
      <c r="C21" s="362"/>
      <c r="D21" s="362"/>
      <c r="E21" s="361">
        <f>'Sources and Uses Budget'!S21</f>
        <v>283500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5386500</v>
      </c>
      <c r="C26" s="361">
        <f>SUM(C17:C25)</f>
        <v>0</v>
      </c>
      <c r="D26" s="361">
        <f>SUM(D17:D25)</f>
        <v>0</v>
      </c>
      <c r="E26" s="361">
        <f>'Sources and Uses Budget'!S26</f>
        <v>5386500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500000</v>
      </c>
      <c r="C27" s="362"/>
      <c r="D27" s="362"/>
      <c r="E27" s="361">
        <f>'Sources and Uses Budget'!S27</f>
        <v>500000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150000</v>
      </c>
      <c r="C40" s="362"/>
      <c r="D40" s="362"/>
      <c r="E40" s="361">
        <f>'Sources and Uses Budget'!S40</f>
        <v>150000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200000</v>
      </c>
      <c r="C42" s="361">
        <f>SUM(C39:C41)</f>
        <v>0</v>
      </c>
      <c r="D42" s="361">
        <f>SUM(D39:D41)</f>
        <v>0</v>
      </c>
      <c r="E42" s="361">
        <f>'Sources and Uses Budget'!S42</f>
        <v>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12500</v>
      </c>
      <c r="C43" s="362"/>
      <c r="D43" s="362"/>
      <c r="E43" s="361">
        <f>'Sources and Uses Budget'!S43</f>
        <v>12500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251128</v>
      </c>
      <c r="C45" s="362"/>
      <c r="D45" s="362"/>
      <c r="E45" s="361">
        <f>'Sources and Uses Budget'!S45</f>
        <v>155738</v>
      </c>
      <c r="F45" s="362"/>
      <c r="G45" s="362"/>
      <c r="H45" s="361">
        <f>'Sources and Uses Budget'!T45</f>
        <v>0</v>
      </c>
      <c r="I45" s="362"/>
      <c r="J45" s="362"/>
      <c r="K45" s="359"/>
    </row>
    <row r="46" spans="1:11" s="360" customFormat="1">
      <c r="A46" s="364" t="s">
        <v>151</v>
      </c>
      <c r="B46" s="361">
        <f>'Sources and Uses Budget'!C46</f>
        <v>85071</v>
      </c>
      <c r="C46" s="362"/>
      <c r="D46" s="362"/>
      <c r="E46" s="361">
        <f>'Sources and Uses Budget'!S46</f>
        <v>85071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68139</v>
      </c>
      <c r="C48" s="362"/>
      <c r="D48" s="362"/>
      <c r="E48" s="361">
        <f>'Sources and Uses Budget'!S48</f>
        <v>68139</v>
      </c>
      <c r="F48" s="362"/>
      <c r="G48" s="362"/>
      <c r="H48" s="361">
        <f>'Sources and Uses Budget'!T48</f>
        <v>0</v>
      </c>
      <c r="I48" s="362"/>
      <c r="J48" s="362"/>
      <c r="K48" s="359"/>
    </row>
    <row r="49" spans="1:11" s="360" customFormat="1">
      <c r="A49" s="283" t="s">
        <v>57</v>
      </c>
      <c r="B49" s="361">
        <f>'Sources and Uses Budget'!C49</f>
        <v>349662</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Third Party Reports</v>
      </c>
      <c r="B53" s="361">
        <f>'Sources and Uses Budget'!C53</f>
        <v>13500</v>
      </c>
      <c r="C53" s="362"/>
      <c r="D53" s="362"/>
      <c r="E53" s="361">
        <f>'Sources and Uses Budget'!S53</f>
        <v>13500</v>
      </c>
      <c r="F53" s="362"/>
      <c r="G53" s="362"/>
      <c r="H53" s="361">
        <f>'Sources and Uses Budget'!T53</f>
        <v>0</v>
      </c>
      <c r="I53" s="362"/>
      <c r="J53" s="362"/>
      <c r="K53" s="359"/>
    </row>
    <row r="54" spans="1:11" s="369" customFormat="1">
      <c r="A54" s="365" t="s">
        <v>157</v>
      </c>
      <c r="B54" s="361">
        <f>'Sources and Uses Budget'!C54</f>
        <v>767500</v>
      </c>
      <c r="C54" s="367">
        <f>SUM(C45:C53)</f>
        <v>0</v>
      </c>
      <c r="D54" s="367">
        <f>SUM(D45:D53)</f>
        <v>0</v>
      </c>
      <c r="E54" s="361">
        <f>'Sources and Uses Budget'!S54</f>
        <v>322448</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89000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27250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35000</v>
      </c>
      <c r="C60" s="362"/>
      <c r="D60" s="362"/>
      <c r="E60" s="363"/>
      <c r="F60" s="363"/>
      <c r="G60" s="363"/>
      <c r="H60" s="363"/>
      <c r="I60" s="363"/>
      <c r="J60" s="363"/>
      <c r="K60" s="359"/>
    </row>
    <row r="61" spans="1:11" s="360" customFormat="1">
      <c r="A61" s="364" t="str">
        <f>'Sources and Uses Budget'!$A61</f>
        <v>Other: Lender Third Party</v>
      </c>
      <c r="B61" s="361">
        <f>'Sources and Uses Budget'!C61</f>
        <v>50000</v>
      </c>
      <c r="C61" s="362"/>
      <c r="D61" s="362"/>
      <c r="E61" s="363"/>
      <c r="F61" s="363"/>
      <c r="G61" s="363"/>
      <c r="H61" s="363"/>
      <c r="I61" s="363"/>
      <c r="J61" s="363"/>
      <c r="K61" s="359"/>
    </row>
    <row r="62" spans="1:11" s="360" customFormat="1" ht="13.75" customHeight="1">
      <c r="A62" s="365" t="s">
        <v>301</v>
      </c>
      <c r="B62" s="361">
        <f>'Sources and Uses Budget'!C62</f>
        <v>201250</v>
      </c>
      <c r="C62" s="361">
        <f>SUM(C56:C61)</f>
        <v>0</v>
      </c>
      <c r="D62" s="361">
        <f>SUM(D56:D61)</f>
        <v>0</v>
      </c>
      <c r="E62" s="363"/>
      <c r="F62" s="363"/>
      <c r="G62" s="363"/>
      <c r="H62" s="363"/>
      <c r="I62" s="363"/>
      <c r="J62" s="363"/>
      <c r="K62" s="359"/>
    </row>
    <row r="63" spans="1:11" s="360" customFormat="1">
      <c r="A63" s="370" t="s">
        <v>302</v>
      </c>
      <c r="B63" s="361">
        <f>'Sources and Uses Budget'!C63</f>
        <v>32141043</v>
      </c>
      <c r="C63" s="361">
        <f>SUM(C8+C11+C13+C14+C15+C26+C27+C38+C42+C43+C54+C62)</f>
        <v>0</v>
      </c>
      <c r="D63" s="361">
        <f>SUM(D8+D11+D13+D14+D15+D26+D27+D38+D42+D43+D54+D62)</f>
        <v>0</v>
      </c>
      <c r="E63" s="361">
        <f>'Sources and Uses Budget'!S63</f>
        <v>6921448</v>
      </c>
      <c r="F63" s="361">
        <f>SUM(F10+F13+F14+F15+F26+F27+F38+F42+F43+F54)</f>
        <v>0</v>
      </c>
      <c r="G63" s="361">
        <f>SUM(G10+G13+G14+G15+G26+G27+G38+G42+G43+G54)</f>
        <v>0</v>
      </c>
      <c r="H63" s="361">
        <f>'Sources and Uses Budget'!T63</f>
        <v>22200000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15000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Counsel</v>
      </c>
      <c r="B69" s="361">
        <f>'Sources and Uses Budget'!C69</f>
        <v>300000</v>
      </c>
      <c r="C69" s="362"/>
      <c r="D69" s="362"/>
      <c r="E69" s="361">
        <f>'Sources and Uses Budget'!S69</f>
        <v>150000</v>
      </c>
      <c r="F69" s="362"/>
      <c r="G69" s="362"/>
      <c r="H69" s="361">
        <f>'Sources and Uses Budget'!T69</f>
        <v>0</v>
      </c>
      <c r="I69" s="362"/>
      <c r="J69" s="362"/>
      <c r="K69" s="359"/>
    </row>
    <row r="70" spans="1:11" s="360" customFormat="1">
      <c r="A70" s="365" t="s">
        <v>601</v>
      </c>
      <c r="B70" s="361">
        <f>'Sources and Uses Budget'!C70</f>
        <v>375000</v>
      </c>
      <c r="C70" s="361">
        <f>SUM(C64:C69)</f>
        <v>0</v>
      </c>
      <c r="D70" s="361">
        <f>SUM(D64:D69)</f>
        <v>0</v>
      </c>
      <c r="E70" s="361">
        <f>'Sources and Uses Budget'!S70</f>
        <v>165000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258079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258079</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538650</v>
      </c>
      <c r="C79" s="362"/>
      <c r="D79" s="362"/>
      <c r="E79" s="361">
        <f>'Sources and Uses Budget'!S79</f>
        <v>538650</v>
      </c>
      <c r="F79" s="362"/>
      <c r="G79" s="362"/>
      <c r="H79" s="361">
        <f>'Sources and Uses Budget'!T79</f>
        <v>0</v>
      </c>
      <c r="I79" s="362"/>
      <c r="J79" s="362"/>
      <c r="K79" s="359"/>
    </row>
    <row r="80" spans="1:11" s="360" customFormat="1">
      <c r="A80" s="364" t="s">
        <v>58</v>
      </c>
      <c r="B80" s="361">
        <f>'Sources and Uses Budget'!C80</f>
        <v>100000</v>
      </c>
      <c r="C80" s="362"/>
      <c r="D80" s="362"/>
      <c r="E80" s="361">
        <f>'Sources and Uses Budget'!S80</f>
        <v>100000</v>
      </c>
      <c r="F80" s="362"/>
      <c r="G80" s="362"/>
      <c r="H80" s="361">
        <f>'Sources and Uses Budget'!T80</f>
        <v>0</v>
      </c>
      <c r="I80" s="362"/>
      <c r="J80" s="362"/>
      <c r="K80" s="359"/>
    </row>
    <row r="81" spans="1:11" s="360" customFormat="1">
      <c r="A81" s="365" t="s">
        <v>1208</v>
      </c>
      <c r="B81" s="361">
        <f>'Sources and Uses Budget'!C81</f>
        <v>638650</v>
      </c>
      <c r="C81" s="361">
        <f>SUM(C79:C80)</f>
        <v>0</v>
      </c>
      <c r="D81" s="361">
        <f>SUM(D79:D80)</f>
        <v>0</v>
      </c>
      <c r="E81" s="361">
        <f>'Sources and Uses Budget'!S81</f>
        <v>638650</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2093</v>
      </c>
      <c r="B83" s="361">
        <f>'Sources and Uses Budget'!C83</f>
        <v>132370</v>
      </c>
      <c r="C83" s="362"/>
      <c r="D83" s="362"/>
      <c r="E83" s="363"/>
      <c r="F83" s="363"/>
      <c r="G83" s="363"/>
      <c r="H83" s="363"/>
      <c r="I83" s="363"/>
      <c r="J83" s="363"/>
      <c r="K83" s="359"/>
    </row>
    <row r="84" spans="1:11" s="360" customFormat="1">
      <c r="A84" s="145" t="s">
        <v>767</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47250</v>
      </c>
      <c r="C86" s="362"/>
      <c r="D86" s="362"/>
      <c r="E86" s="361">
        <f>'Sources and Uses Budget'!S86</f>
        <v>47250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177500</v>
      </c>
      <c r="C89" s="362"/>
      <c r="D89" s="362"/>
      <c r="E89" s="361">
        <f>'Sources and Uses Budget'!S89</f>
        <v>177500</v>
      </c>
      <c r="F89" s="362"/>
      <c r="G89" s="362"/>
      <c r="H89" s="361">
        <f>'Sources and Uses Budget'!T89</f>
        <v>0</v>
      </c>
      <c r="I89" s="362"/>
      <c r="J89" s="362"/>
      <c r="K89" s="359"/>
    </row>
    <row r="90" spans="1:11" s="360" customFormat="1">
      <c r="A90" s="145" t="s">
        <v>773</v>
      </c>
      <c r="B90" s="361">
        <f>'Sources and Uses Budget'!C90</f>
        <v>7500</v>
      </c>
      <c r="C90" s="362"/>
      <c r="D90" s="362"/>
      <c r="E90" s="361">
        <f>'Sources and Uses Budget'!S90</f>
        <v>7500</v>
      </c>
      <c r="F90" s="362"/>
      <c r="G90" s="362"/>
      <c r="H90" s="361">
        <f>'Sources and Uses Budget'!T90</f>
        <v>0</v>
      </c>
      <c r="I90" s="362"/>
      <c r="J90" s="362"/>
      <c r="K90" s="359"/>
    </row>
    <row r="91" spans="1:11" s="360" customFormat="1">
      <c r="A91" s="155" t="s">
        <v>372</v>
      </c>
      <c r="B91" s="361">
        <f>'Sources and Uses Budget'!C91</f>
        <v>33000</v>
      </c>
      <c r="C91" s="362"/>
      <c r="D91" s="362"/>
      <c r="E91" s="361">
        <f>'Sources and Uses Budget'!S91</f>
        <v>18000</v>
      </c>
      <c r="F91" s="362"/>
      <c r="G91" s="362"/>
      <c r="H91" s="361">
        <f>'Sources and Uses Budget'!T91</f>
        <v>0</v>
      </c>
      <c r="I91" s="362"/>
      <c r="J91" s="362"/>
      <c r="K91" s="359"/>
    </row>
    <row r="92" spans="1:11" s="360" customFormat="1">
      <c r="A92" s="508" t="s">
        <v>1210</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Other: Third Party Reports</v>
      </c>
      <c r="B93" s="361">
        <f>'Sources and Uses Budget'!C93</f>
        <v>48000</v>
      </c>
      <c r="C93" s="362"/>
      <c r="D93" s="362"/>
      <c r="E93" s="361">
        <f>'Sources and Uses Budget'!S93</f>
        <v>48000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468120</v>
      </c>
      <c r="C96" s="361">
        <f>SUM(C83:C95)</f>
        <v>0</v>
      </c>
      <c r="D96" s="361">
        <f>SUM(D83:D95)</f>
        <v>0</v>
      </c>
      <c r="E96" s="361">
        <f>'Sources and Uses Budget'!S96</f>
        <v>320750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33880892</v>
      </c>
      <c r="C97" s="361">
        <f>SUM(C63+C70+C77+C81+C96)</f>
        <v>0</v>
      </c>
      <c r="D97" s="361">
        <f>SUM(D63+D70+D77+D81+D96)</f>
        <v>0</v>
      </c>
      <c r="E97" s="361">
        <f>'Sources and Uses Budget'!S97</f>
        <v>8045848</v>
      </c>
      <c r="F97" s="367">
        <f>SUM(+F63+F70+F81+F96)</f>
        <v>0</v>
      </c>
      <c r="G97" s="367">
        <f>SUM(+G63+G70+G81+G96)</f>
        <v>0</v>
      </c>
      <c r="H97" s="361">
        <f>'Sources and Uses Budget'!T97</f>
        <v>22200000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2316877</v>
      </c>
      <c r="C99" s="362"/>
      <c r="D99" s="362"/>
      <c r="E99" s="361">
        <f>'Sources and Uses Budget'!S99</f>
        <v>1206877</v>
      </c>
      <c r="F99" s="362"/>
      <c r="G99" s="362"/>
      <c r="H99" s="361">
        <f>'Sources and Uses Budget'!T99</f>
        <v>1110000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2316877</v>
      </c>
      <c r="C104" s="361">
        <f>SUM(C99:C103)</f>
        <v>0</v>
      </c>
      <c r="D104" s="361">
        <f>SUM(D99:D103)</f>
        <v>0</v>
      </c>
      <c r="E104" s="361">
        <f>'Sources and Uses Budget'!S104</f>
        <v>1206877</v>
      </c>
      <c r="F104" s="367">
        <f>SUM(F99:F103)</f>
        <v>0</v>
      </c>
      <c r="G104" s="367">
        <f>SUM(G99:G103)</f>
        <v>0</v>
      </c>
      <c r="H104" s="361">
        <f>'Sources and Uses Budget'!T104</f>
        <v>1110000</v>
      </c>
      <c r="I104" s="367">
        <f>SUM(I99:I103)</f>
        <v>0</v>
      </c>
      <c r="J104" s="367">
        <f>SUM(J99:J103)</f>
        <v>0</v>
      </c>
      <c r="K104" s="359"/>
    </row>
    <row r="105" spans="1:11" s="360" customFormat="1">
      <c r="A105" s="365" t="s">
        <v>1029</v>
      </c>
      <c r="B105" s="361">
        <f>'Sources and Uses Budget'!C105</f>
        <v>36197769</v>
      </c>
      <c r="C105" s="367">
        <f>SUM(C97+C104)</f>
        <v>0</v>
      </c>
      <c r="D105" s="367">
        <f>SUM(D97+D104)</f>
        <v>0</v>
      </c>
      <c r="E105" s="361">
        <f>'Sources and Uses Budget'!S105</f>
        <v>9252725</v>
      </c>
      <c r="F105" s="367">
        <f>F97+F104</f>
        <v>0</v>
      </c>
      <c r="G105" s="367">
        <f>G97+G104</f>
        <v>0</v>
      </c>
      <c r="H105" s="361">
        <f>'Sources and Uses Budget'!T105</f>
        <v>23310000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9252725</v>
      </c>
      <c r="F107" s="367">
        <f>F105+F106</f>
        <v>0</v>
      </c>
      <c r="G107" s="367">
        <f>G105+G106</f>
        <v>0</v>
      </c>
      <c r="H107" s="361">
        <f>'Sources and Uses Budget'!T107</f>
        <v>23310000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4"/>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S35" sqref="AS35:AX35"/>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24" t="s">
        <v>2455</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2454</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6" t="str">
        <f>IF(Application!H18="","",Application!H18)</f>
        <v>Plummer Village Apartments</v>
      </c>
      <c r="M4" s="2317"/>
      <c r="N4" s="2317"/>
      <c r="O4" s="2317"/>
      <c r="P4" s="2317"/>
      <c r="Q4" s="2317"/>
      <c r="R4" s="2317"/>
      <c r="S4" s="2317"/>
      <c r="T4" s="2317"/>
      <c r="U4" s="2317"/>
      <c r="V4" s="2317"/>
      <c r="W4" s="2317"/>
      <c r="X4" s="2317"/>
      <c r="Y4" s="2317"/>
      <c r="Z4" s="2317"/>
      <c r="AA4" s="2317"/>
      <c r="AB4" s="2317"/>
      <c r="AC4" s="2318"/>
      <c r="AD4" s="1190"/>
      <c r="AE4" s="1190"/>
      <c r="AF4" s="2312" t="s">
        <v>2453</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2452</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6" t="str">
        <f>IF(Application!H16="","",Application!H16)</f>
        <v>Plummer Village Apartments LP</v>
      </c>
      <c r="M6" s="2317"/>
      <c r="N6" s="2317"/>
      <c r="O6" s="2317"/>
      <c r="P6" s="2317"/>
      <c r="Q6" s="2317"/>
      <c r="R6" s="2317"/>
      <c r="S6" s="2317"/>
      <c r="T6" s="2317"/>
      <c r="U6" s="2317"/>
      <c r="V6" s="2317"/>
      <c r="W6" s="2317"/>
      <c r="X6" s="2317"/>
      <c r="Y6" s="2317"/>
      <c r="Z6" s="2317"/>
      <c r="AA6" s="2317"/>
      <c r="AB6" s="2317"/>
      <c r="AC6" s="2318"/>
      <c r="AD6" s="1190"/>
      <c r="AE6" s="1190"/>
      <c r="AF6" s="2319" t="s">
        <v>2450</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2449</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2447</v>
      </c>
      <c r="AG8" s="2319"/>
      <c r="AH8" s="2319"/>
      <c r="AI8" s="2319"/>
      <c r="AJ8" s="2319"/>
      <c r="AK8" s="2319"/>
      <c r="AL8" s="2319"/>
      <c r="AM8" s="2319"/>
      <c r="AN8" s="2319"/>
      <c r="AO8" s="2319"/>
      <c r="AP8" s="2320" t="s">
        <v>2097</v>
      </c>
      <c r="AQ8" s="2320"/>
      <c r="AR8" s="2320"/>
      <c r="AS8" s="2320"/>
      <c r="AT8" s="2320"/>
      <c r="AU8" s="2320"/>
      <c r="AV8" s="1190"/>
      <c r="AW8" s="1190"/>
      <c r="AX8" s="1190"/>
      <c r="AY8" s="1190"/>
      <c r="AZ8" s="1190"/>
      <c r="BA8" s="1190"/>
      <c r="BB8" s="1190"/>
      <c r="BC8" s="1190"/>
      <c r="BD8" s="1190"/>
      <c r="BE8" s="1191"/>
      <c r="BM8" s="1187" t="s">
        <v>1982</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2446</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2315">
        <f>Application!AO627</f>
        <v>8900000</v>
      </c>
      <c r="O10" s="2315"/>
      <c r="P10" s="2315"/>
      <c r="Q10" s="2315"/>
      <c r="R10" s="2315"/>
      <c r="S10" s="2315"/>
      <c r="T10" s="2315"/>
      <c r="U10" s="1190"/>
      <c r="V10" s="1190"/>
      <c r="W10" s="1190"/>
      <c r="X10" s="1193"/>
      <c r="Y10" s="1193"/>
      <c r="Z10" s="1193"/>
      <c r="AA10" s="1193"/>
      <c r="AB10" s="1193"/>
      <c r="AC10" s="1193"/>
      <c r="AD10" s="1193"/>
      <c r="AE10" s="1193"/>
      <c r="AF10" s="2312" t="s">
        <v>2443</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2440</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2097</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2303" t="s">
        <v>2438</v>
      </c>
      <c r="C13" s="2304"/>
      <c r="D13" s="2304"/>
      <c r="E13" s="2304"/>
      <c r="F13" s="2304"/>
      <c r="G13" s="2304"/>
      <c r="H13" s="2304"/>
      <c r="I13" s="2304"/>
      <c r="J13" s="2304"/>
      <c r="K13" s="2304"/>
      <c r="L13" s="2304"/>
      <c r="M13" s="2304"/>
      <c r="N13" s="2304"/>
      <c r="O13" s="2304"/>
      <c r="P13" s="2305"/>
      <c r="Q13" s="2306" t="s">
        <v>669</v>
      </c>
      <c r="R13" s="2307"/>
      <c r="S13" s="2307"/>
      <c r="T13" s="2308"/>
      <c r="U13" s="1193"/>
      <c r="V13" s="1190"/>
      <c r="W13" s="1190"/>
      <c r="X13" s="1190"/>
      <c r="Y13" s="1190"/>
      <c r="Z13" s="1190"/>
      <c r="AA13" s="2293" t="s">
        <v>2437</v>
      </c>
      <c r="AB13" s="2293"/>
      <c r="AC13" s="2293"/>
      <c r="AD13" s="2293"/>
      <c r="AE13" s="2293"/>
      <c r="AF13" s="2293"/>
      <c r="AG13" s="2293"/>
      <c r="AH13" s="2293"/>
      <c r="AI13" s="2293"/>
      <c r="AJ13" s="2293"/>
      <c r="AK13" s="2293"/>
      <c r="AL13" s="2293"/>
      <c r="AM13" s="2293"/>
      <c r="AN13" s="2293"/>
      <c r="AO13" s="2309">
        <f>Application!W473</f>
        <v>8</v>
      </c>
      <c r="AP13" s="2310"/>
      <c r="AQ13" s="2310"/>
      <c r="AR13" s="2310"/>
      <c r="AS13" s="2310"/>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2435</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ht="15" thickBot="1">
      <c r="A15" s="1190"/>
      <c r="B15" s="2288" t="s">
        <v>2434</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2433</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01" t="s">
        <v>2432</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2431</v>
      </c>
      <c r="C18" s="2297"/>
      <c r="D18" s="2297"/>
      <c r="E18" s="2297"/>
      <c r="F18" s="2297"/>
      <c r="G18" s="2297"/>
      <c r="H18" s="2297"/>
      <c r="I18" s="2298"/>
      <c r="J18" s="2299" t="s">
        <v>1585</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2430</v>
      </c>
      <c r="AU18" s="2300"/>
      <c r="AV18" s="2300"/>
      <c r="AW18" s="2300"/>
      <c r="AX18" s="2300"/>
      <c r="AY18" s="2302"/>
      <c r="AZ18" s="1190"/>
      <c r="BA18" s="1190"/>
      <c r="BB18" s="1190"/>
      <c r="BC18" s="1190"/>
      <c r="BD18" s="1190"/>
      <c r="BE18" s="1194"/>
    </row>
    <row r="19" spans="1:58" ht="14.5">
      <c r="A19" s="1190"/>
      <c r="B19" s="2282">
        <v>0.3</v>
      </c>
      <c r="C19" s="2283"/>
      <c r="D19" s="2283"/>
      <c r="E19" s="2283"/>
      <c r="F19" s="2283"/>
      <c r="G19" s="2283"/>
      <c r="H19" s="2283"/>
      <c r="I19" s="2284"/>
      <c r="J19" s="2285">
        <f t="shared" ref="J19:J24" si="0">SUM(P19:AS19)</f>
        <v>8</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8</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0.10666666666666667</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8</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8</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0.10666666666666667</v>
      </c>
      <c r="AU20" s="2271"/>
      <c r="AV20" s="2271"/>
      <c r="AW20" s="2271"/>
      <c r="AX20" s="2271"/>
      <c r="AY20" s="2272"/>
      <c r="AZ20" s="1190"/>
      <c r="BA20" s="1190"/>
      <c r="BB20" s="1190"/>
      <c r="BC20" s="1190"/>
      <c r="BD20" s="1190"/>
      <c r="BE20" s="1194"/>
    </row>
    <row r="21" spans="1:58" ht="14.5">
      <c r="A21" s="1190"/>
      <c r="B21" s="2282">
        <v>0.5</v>
      </c>
      <c r="C21" s="2283"/>
      <c r="D21" s="2283"/>
      <c r="E21" s="2283"/>
      <c r="F21" s="2283"/>
      <c r="G21" s="2283"/>
      <c r="H21" s="2283"/>
      <c r="I21" s="2284"/>
      <c r="J21" s="2285">
        <f t="shared" si="0"/>
        <v>38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38</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0.50666666666666671</v>
      </c>
      <c r="AU21" s="2271"/>
      <c r="AV21" s="2271"/>
      <c r="AW21" s="2271"/>
      <c r="AX21" s="2271"/>
      <c r="AY21" s="2272"/>
      <c r="AZ21" s="1190"/>
      <c r="BA21" s="1190"/>
      <c r="BB21" s="1190"/>
      <c r="BC21" s="1190"/>
      <c r="BD21" s="1190"/>
      <c r="BE21" s="1194"/>
    </row>
    <row r="22" spans="1:58" ht="14.5">
      <c r="A22" s="1190"/>
      <c r="B22" s="2282">
        <v>0.6</v>
      </c>
      <c r="C22" s="2283"/>
      <c r="D22" s="2283"/>
      <c r="E22" s="2283"/>
      <c r="F22" s="2283"/>
      <c r="G22" s="2283"/>
      <c r="H22" s="2283"/>
      <c r="I22" s="2284"/>
      <c r="J22" s="2285">
        <f t="shared" si="0"/>
        <v>20</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20</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0.26666666666666666</v>
      </c>
      <c r="AU22" s="2271"/>
      <c r="AV22" s="2271"/>
      <c r="AW22" s="2271"/>
      <c r="AX22" s="2271"/>
      <c r="AY22" s="2272"/>
      <c r="AZ22" s="1190"/>
      <c r="BA22" s="1190"/>
      <c r="BB22" s="1190"/>
      <c r="BC22" s="1190"/>
      <c r="BD22" s="1190"/>
      <c r="BE22" s="1194"/>
    </row>
    <row r="23" spans="1:58" ht="14.5">
      <c r="A23" s="1190"/>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0"/>
      <c r="BA23" s="1190"/>
      <c r="BB23" s="1190"/>
      <c r="BC23" s="1190"/>
      <c r="BD23" s="1190"/>
      <c r="BE23" s="1194"/>
    </row>
    <row r="24" spans="1:58" ht="14.5">
      <c r="A24" s="1190"/>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0"/>
      <c r="BA24" s="1190"/>
      <c r="BB24" s="1190"/>
      <c r="BC24" s="1190"/>
      <c r="BD24" s="1190"/>
      <c r="BE24" s="1194"/>
    </row>
    <row r="25" spans="1:58" ht="14.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4.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4.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ht="15" thickBot="1">
      <c r="A28" s="1190"/>
      <c r="B28" s="2273" t="s">
        <v>2429</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1</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1.3333333333333334E-2</v>
      </c>
      <c r="AU28" s="2280"/>
      <c r="AV28" s="2280"/>
      <c r="AW28" s="2280"/>
      <c r="AX28" s="2280"/>
      <c r="AY28" s="2281"/>
      <c r="AZ28" s="1190"/>
      <c r="BA28" s="1190"/>
      <c r="BB28" s="1190"/>
      <c r="BC28" s="1190"/>
      <c r="BD28" s="1190"/>
      <c r="BE28" s="1194"/>
    </row>
    <row r="29" spans="1:58" ht="15" thickBot="1">
      <c r="A29" s="1190"/>
      <c r="B29" s="2256" t="s">
        <v>1585</v>
      </c>
      <c r="C29" s="2229"/>
      <c r="D29" s="2229"/>
      <c r="E29" s="2229"/>
      <c r="F29" s="2229"/>
      <c r="G29" s="2229"/>
      <c r="H29" s="2229"/>
      <c r="I29" s="2230"/>
      <c r="J29" s="2228">
        <f>SUM(J19:O28)</f>
        <v>75</v>
      </c>
      <c r="K29" s="2229"/>
      <c r="L29" s="2229"/>
      <c r="M29" s="2229"/>
      <c r="N29" s="2229"/>
      <c r="O29" s="2230"/>
      <c r="P29" s="2228">
        <f>SUM(P19:U28)</f>
        <v>0</v>
      </c>
      <c r="Q29" s="2229"/>
      <c r="R29" s="2229"/>
      <c r="S29" s="2229"/>
      <c r="T29" s="2229"/>
      <c r="U29" s="2230"/>
      <c r="V29" s="2228">
        <f>SUM(V19:AA28)</f>
        <v>74</v>
      </c>
      <c r="W29" s="2229"/>
      <c r="X29" s="2229"/>
      <c r="Y29" s="2229"/>
      <c r="Z29" s="2229"/>
      <c r="AA29" s="2230"/>
      <c r="AB29" s="2228">
        <f>SUM(AB19:AG28)</f>
        <v>1</v>
      </c>
      <c r="AC29" s="2229"/>
      <c r="AD29" s="2229"/>
      <c r="AE29" s="2229"/>
      <c r="AF29" s="2229"/>
      <c r="AG29" s="2230"/>
      <c r="AH29" s="2228">
        <f>SUM(AH19:AM28)</f>
        <v>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4" t="s">
        <v>2428</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ht="15" thickBot="1">
      <c r="A32" s="1190"/>
      <c r="B32" s="2237" t="s">
        <v>2427</v>
      </c>
      <c r="C32" s="2238"/>
      <c r="D32" s="2238"/>
      <c r="E32" s="2238"/>
      <c r="F32" s="2238"/>
      <c r="G32" s="2238"/>
      <c r="H32" s="2238"/>
      <c r="I32" s="2238"/>
      <c r="J32" s="2241" t="s">
        <v>2426</v>
      </c>
      <c r="K32" s="2242"/>
      <c r="L32" s="2242"/>
      <c r="M32" s="2242"/>
      <c r="N32" s="2241" t="s">
        <v>2425</v>
      </c>
      <c r="O32" s="2242"/>
      <c r="P32" s="2242"/>
      <c r="Q32" s="2244"/>
      <c r="R32" s="2246" t="s">
        <v>2424</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2423</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2422</v>
      </c>
      <c r="AT35" s="2258"/>
      <c r="AU35" s="2258"/>
      <c r="AV35" s="2258"/>
      <c r="AW35" s="2258"/>
      <c r="AX35" s="2266"/>
      <c r="AY35" s="2257" t="s">
        <v>2421</v>
      </c>
      <c r="AZ35" s="2258"/>
      <c r="BA35" s="2258"/>
      <c r="BB35" s="2258"/>
      <c r="BC35" s="2258"/>
      <c r="BD35" s="2259"/>
      <c r="BE35" s="1194"/>
    </row>
    <row r="36" spans="1:58" ht="15.75" customHeight="1">
      <c r="A36" s="1190"/>
      <c r="B36" s="2161" t="s">
        <v>2420</v>
      </c>
      <c r="C36" s="2162"/>
      <c r="D36" s="2162"/>
      <c r="E36" s="2162"/>
      <c r="F36" s="2162"/>
      <c r="G36" s="2162"/>
      <c r="H36" s="2162"/>
      <c r="I36" s="2162"/>
      <c r="J36" s="2226" t="s">
        <v>2419</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2418</v>
      </c>
      <c r="C37" s="2162"/>
      <c r="D37" s="2162"/>
      <c r="E37" s="2162"/>
      <c r="F37" s="2162"/>
      <c r="G37" s="2162"/>
      <c r="H37" s="2162"/>
      <c r="I37" s="2162"/>
      <c r="J37" s="2226" t="s">
        <v>2417</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2416</v>
      </c>
      <c r="C38" s="2162"/>
      <c r="D38" s="2162"/>
      <c r="E38" s="2162"/>
      <c r="F38" s="2162"/>
      <c r="G38" s="2162"/>
      <c r="H38" s="2162"/>
      <c r="I38" s="2162"/>
      <c r="J38" s="2226" t="s">
        <v>2415</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2414</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2414</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2413</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2413</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2412</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2411</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2410</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2334</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2407</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2400</v>
      </c>
      <c r="C51" s="2104"/>
      <c r="D51" s="2104"/>
      <c r="E51" s="2104"/>
      <c r="F51" s="2104"/>
      <c r="G51" s="2104"/>
      <c r="H51" s="2104"/>
      <c r="I51" s="2104"/>
      <c r="J51" s="2104" t="s">
        <v>2406</v>
      </c>
      <c r="K51" s="2104"/>
      <c r="L51" s="2104"/>
      <c r="M51" s="2104"/>
      <c r="N51" s="2104"/>
      <c r="O51" s="2104"/>
      <c r="P51" s="2104"/>
      <c r="Q51" s="2104"/>
      <c r="R51" s="2205" t="s">
        <v>2405</v>
      </c>
      <c r="S51" s="2205"/>
      <c r="T51" s="2205"/>
      <c r="U51" s="2205"/>
      <c r="V51" s="2205"/>
      <c r="W51" s="2205"/>
      <c r="X51" s="2205"/>
      <c r="Y51" s="2205"/>
      <c r="Z51" s="2205" t="s">
        <v>2404</v>
      </c>
      <c r="AA51" s="2205"/>
      <c r="AB51" s="2205"/>
      <c r="AC51" s="2205"/>
      <c r="AD51" s="2205"/>
      <c r="AE51" s="2205"/>
      <c r="AF51" s="2205"/>
      <c r="AG51" s="2205"/>
      <c r="AH51" s="2205" t="s">
        <v>2403</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2402</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2401</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1585</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2400</v>
      </c>
      <c r="C59" s="2195"/>
      <c r="D59" s="2195"/>
      <c r="E59" s="2195"/>
      <c r="F59" s="2195"/>
      <c r="G59" s="2195"/>
      <c r="H59" s="2195"/>
      <c r="I59" s="2196"/>
      <c r="J59" s="2102" t="s">
        <v>2399</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2397</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2396</v>
      </c>
      <c r="AD68" s="2028"/>
      <c r="AE68" s="2028"/>
      <c r="AF68" s="2028"/>
      <c r="AG68" s="2028"/>
      <c r="AH68" s="2028"/>
      <c r="AI68" s="2028"/>
      <c r="AJ68" s="2028"/>
      <c r="AK68" s="2028"/>
      <c r="AL68" s="2028"/>
      <c r="AM68" s="2028"/>
      <c r="AN68" s="2028"/>
      <c r="AO68" s="2028"/>
      <c r="AP68" s="2028"/>
      <c r="AQ68" s="2028"/>
      <c r="AR68" s="2028"/>
      <c r="AS68" s="2028"/>
      <c r="AT68" s="2028"/>
      <c r="AU68" s="2028"/>
      <c r="AV68" s="2178" t="s">
        <v>669</v>
      </c>
      <c r="AW68" s="2084"/>
      <c r="AX68" s="2084"/>
      <c r="AY68" s="2084"/>
      <c r="AZ68" s="2084"/>
      <c r="BA68" s="2084"/>
      <c r="BB68" s="2084"/>
      <c r="BC68" s="2085"/>
      <c r="BD68" s="1190"/>
      <c r="BE68" s="1194"/>
      <c r="BM68" s="1199" t="s">
        <v>2395</v>
      </c>
    </row>
    <row r="69" spans="1:94" ht="15.75" customHeight="1" thickTop="1" thickBot="1">
      <c r="A69" s="1190"/>
      <c r="B69" s="2179" t="s">
        <v>2394</v>
      </c>
      <c r="C69" s="2180"/>
      <c r="D69" s="2180"/>
      <c r="E69" s="2180"/>
      <c r="F69" s="2180"/>
      <c r="G69" s="2180"/>
      <c r="H69" s="2180"/>
      <c r="I69" s="2180"/>
      <c r="J69" s="2180"/>
      <c r="K69" s="2180"/>
      <c r="L69" s="2180"/>
      <c r="M69" s="2180"/>
      <c r="N69" s="2180"/>
      <c r="O69" s="2181" t="s">
        <v>2393</v>
      </c>
      <c r="P69" s="2182"/>
      <c r="Q69" s="2182"/>
      <c r="R69" s="2182"/>
      <c r="S69" s="2182"/>
      <c r="T69" s="2182"/>
      <c r="U69" s="2182"/>
      <c r="V69" s="2182"/>
      <c r="W69" s="2182"/>
      <c r="X69" s="2182"/>
      <c r="Y69" s="2182"/>
      <c r="Z69" s="2182"/>
      <c r="AA69" s="2183"/>
      <c r="AB69" s="1190"/>
      <c r="AC69" s="2184" t="s">
        <v>2392</v>
      </c>
      <c r="AD69" s="2185"/>
      <c r="AE69" s="2185"/>
      <c r="AF69" s="2185"/>
      <c r="AG69" s="2185"/>
      <c r="AH69" s="2185"/>
      <c r="AI69" s="2185"/>
      <c r="AJ69" s="2185"/>
      <c r="AK69" s="2185"/>
      <c r="AL69" s="2185"/>
      <c r="AM69" s="2185"/>
      <c r="AN69" s="2185"/>
      <c r="AO69" s="2185"/>
      <c r="AP69" s="2185"/>
      <c r="AQ69" s="2185"/>
      <c r="AR69" s="2185"/>
      <c r="AS69" s="2185"/>
      <c r="AT69" s="2185"/>
      <c r="AU69" s="2185"/>
      <c r="AV69" s="2178" t="s">
        <v>669</v>
      </c>
      <c r="AW69" s="2084"/>
      <c r="AX69" s="2084"/>
      <c r="AY69" s="2084"/>
      <c r="AZ69" s="2084"/>
      <c r="BA69" s="2084"/>
      <c r="BB69" s="2084"/>
      <c r="BC69" s="2085"/>
      <c r="BD69" s="1190"/>
      <c r="BE69" s="1194"/>
      <c r="BM69" s="1200" t="s">
        <v>545</v>
      </c>
    </row>
    <row r="70" spans="1:94" ht="15.75" customHeight="1">
      <c r="A70" s="1190"/>
      <c r="B70" s="2161" t="s">
        <v>2391</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2390</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669</v>
      </c>
    </row>
    <row r="71" spans="1:94" ht="15.75" customHeight="1" thickBot="1">
      <c r="A71" s="1190"/>
      <c r="B71" s="2161" t="s">
        <v>2389</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2388</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2387</v>
      </c>
    </row>
    <row r="72" spans="1:94" ht="15.75" customHeight="1">
      <c r="A72" s="1190"/>
      <c r="B72" s="2161" t="s">
        <v>2386</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2385</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2384</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2329</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2382</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2381</v>
      </c>
      <c r="C81" s="2156"/>
      <c r="D81" s="2156"/>
      <c r="E81" s="2156"/>
      <c r="F81" s="2156"/>
      <c r="G81" s="2156"/>
      <c r="H81" s="2156"/>
      <c r="I81" s="2156"/>
      <c r="J81" s="2156"/>
      <c r="K81" s="2156"/>
      <c r="L81" s="2156"/>
      <c r="M81" s="2156"/>
      <c r="N81" s="2156"/>
      <c r="O81" s="2156"/>
      <c r="P81" s="2156"/>
      <c r="Q81" s="2156"/>
      <c r="R81" s="2137" t="s">
        <v>2187</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2380</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2379</v>
      </c>
      <c r="AK83" s="2126"/>
      <c r="AL83" s="2126"/>
      <c r="AM83" s="2126"/>
      <c r="AN83" s="2126"/>
      <c r="AO83" s="2126"/>
      <c r="AP83" s="2126"/>
      <c r="AQ83" s="2126"/>
      <c r="AR83" s="2126"/>
      <c r="AS83" s="2126"/>
      <c r="AT83" s="2126"/>
      <c r="AU83" s="2126"/>
      <c r="AV83" s="2126"/>
      <c r="AW83" s="2126"/>
      <c r="AX83" s="2126"/>
      <c r="AY83" s="2142" t="s">
        <v>545</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2369</v>
      </c>
      <c r="J84" s="2104"/>
      <c r="K84" s="2104"/>
      <c r="L84" s="2104"/>
      <c r="M84" s="2104"/>
      <c r="N84" s="2104"/>
      <c r="O84" s="2104" t="s">
        <v>2345</v>
      </c>
      <c r="P84" s="2104"/>
      <c r="Q84" s="2104"/>
      <c r="R84" s="2104"/>
      <c r="S84" s="2104"/>
      <c r="T84" s="2104"/>
      <c r="U84" s="2104"/>
      <c r="V84" s="2140" t="s">
        <v>2344</v>
      </c>
      <c r="W84" s="2140"/>
      <c r="X84" s="2140"/>
      <c r="Y84" s="2140"/>
      <c r="Z84" s="2140"/>
      <c r="AA84" s="2140"/>
      <c r="AB84" s="2074" t="s">
        <v>2368</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2367</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2366</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2373</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2365</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2377</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2376</v>
      </c>
      <c r="C94" s="2156"/>
      <c r="D94" s="2156"/>
      <c r="E94" s="2156"/>
      <c r="F94" s="2156"/>
      <c r="G94" s="2156"/>
      <c r="H94" s="2156"/>
      <c r="I94" s="2156"/>
      <c r="J94" s="2156"/>
      <c r="K94" s="2156"/>
      <c r="L94" s="2156"/>
      <c r="M94" s="2156"/>
      <c r="N94" s="2156"/>
      <c r="O94" s="2156"/>
      <c r="P94" s="2156"/>
      <c r="Q94" s="2157"/>
      <c r="R94" s="2137" t="s">
        <v>2187</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2375</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2374</v>
      </c>
      <c r="AK96" s="2126"/>
      <c r="AL96" s="2126"/>
      <c r="AM96" s="2126"/>
      <c r="AN96" s="2126"/>
      <c r="AO96" s="2126"/>
      <c r="AP96" s="2126"/>
      <c r="AQ96" s="2126"/>
      <c r="AR96" s="2126"/>
      <c r="AS96" s="2126"/>
      <c r="AT96" s="2126"/>
      <c r="AU96" s="2126"/>
      <c r="AV96" s="2126"/>
      <c r="AW96" s="2126"/>
      <c r="AX96" s="2126"/>
      <c r="AY96" s="2142" t="s">
        <v>545</v>
      </c>
      <c r="AZ96" s="2142"/>
      <c r="BA96" s="2142"/>
      <c r="BB96" s="2143"/>
      <c r="BC96" s="1190"/>
      <c r="BD96" s="1190"/>
      <c r="BE96" s="1194"/>
      <c r="BQ96" s="1256" t="str">
        <f>Application!M243&amp;IF(TRIM(Application!AA249)&lt;&gt;""," ("&amp;Application!AA249&amp;")","")</f>
        <v>Pacific Housing, Inc. (N/A)</v>
      </c>
      <c r="BR96" s="1259">
        <f>Application!AH246</f>
        <v>1E-3</v>
      </c>
      <c r="CM96" s="1188"/>
      <c r="CN96" s="1188"/>
      <c r="CO96" s="1188"/>
      <c r="CP96" s="1188"/>
    </row>
    <row r="97" spans="1:94" ht="15.75" customHeight="1">
      <c r="A97" s="1190"/>
      <c r="B97" s="2136"/>
      <c r="C97" s="2104"/>
      <c r="D97" s="2104"/>
      <c r="E97" s="2104"/>
      <c r="F97" s="2104"/>
      <c r="G97" s="2104"/>
      <c r="H97" s="2104"/>
      <c r="I97" s="2104" t="s">
        <v>2369</v>
      </c>
      <c r="J97" s="2104"/>
      <c r="K97" s="2104"/>
      <c r="L97" s="2104"/>
      <c r="M97" s="2104"/>
      <c r="N97" s="2104"/>
      <c r="O97" s="2104" t="s">
        <v>2345</v>
      </c>
      <c r="P97" s="2104"/>
      <c r="Q97" s="2104"/>
      <c r="R97" s="2104"/>
      <c r="S97" s="2104"/>
      <c r="T97" s="2104"/>
      <c r="U97" s="2104"/>
      <c r="V97" s="2140" t="s">
        <v>2344</v>
      </c>
      <c r="W97" s="2140"/>
      <c r="X97" s="2140"/>
      <c r="Y97" s="2140"/>
      <c r="Z97" s="2140"/>
      <c r="AA97" s="2140"/>
      <c r="AB97" s="2074" t="s">
        <v>2368</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36" t="s">
        <v>2367</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2366</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2373</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2365</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2370</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2369</v>
      </c>
      <c r="J108" s="2104"/>
      <c r="K108" s="2104"/>
      <c r="L108" s="2104"/>
      <c r="M108" s="2104"/>
      <c r="N108" s="2104"/>
      <c r="O108" s="2104" t="s">
        <v>2345</v>
      </c>
      <c r="P108" s="2104"/>
      <c r="Q108" s="2104"/>
      <c r="R108" s="2104"/>
      <c r="S108" s="2104"/>
      <c r="T108" s="2104"/>
      <c r="U108" s="2104"/>
      <c r="V108" s="2140" t="s">
        <v>2344</v>
      </c>
      <c r="W108" s="2140"/>
      <c r="X108" s="2140"/>
      <c r="Y108" s="2140"/>
      <c r="Z108" s="2140"/>
      <c r="AA108" s="2140"/>
      <c r="AB108" s="2074" t="s">
        <v>2368</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2367</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2366</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2365</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2363</v>
      </c>
      <c r="C117" s="2110"/>
      <c r="D117" s="2110"/>
      <c r="E117" s="2110"/>
      <c r="F117" s="2110"/>
      <c r="G117" s="2110"/>
      <c r="H117" s="2110"/>
      <c r="I117" s="2110"/>
      <c r="J117" s="2110"/>
      <c r="K117" s="2110"/>
      <c r="L117" s="2110"/>
      <c r="M117" s="2110"/>
      <c r="N117" s="2110"/>
      <c r="O117" s="2110"/>
      <c r="P117" s="2110"/>
      <c r="Q117" s="2110"/>
      <c r="R117" s="2110"/>
      <c r="S117" s="2110"/>
      <c r="T117" s="2110"/>
      <c r="U117" s="2113" t="s">
        <v>545</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2363</v>
      </c>
      <c r="C121" s="2118"/>
      <c r="D121" s="2118"/>
      <c r="E121" s="2118"/>
      <c r="F121" s="2118"/>
      <c r="G121" s="2118"/>
      <c r="H121" s="2118"/>
      <c r="I121" s="2118"/>
      <c r="J121" s="2118"/>
      <c r="K121" s="2118"/>
      <c r="L121" s="2118"/>
      <c r="M121" s="2118"/>
      <c r="N121" s="2118"/>
      <c r="O121" s="2118"/>
      <c r="P121" s="2118"/>
      <c r="Q121" s="2118"/>
      <c r="R121" s="2118"/>
      <c r="S121" s="2118"/>
      <c r="T121" s="2118"/>
      <c r="U121" s="2121" t="s">
        <v>545</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2361</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1575</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2360</v>
      </c>
      <c r="J127" s="2104"/>
      <c r="K127" s="2104"/>
      <c r="L127" s="2104"/>
      <c r="M127" s="2104"/>
      <c r="N127" s="2104"/>
      <c r="O127" s="2105" t="s">
        <v>2359</v>
      </c>
      <c r="P127" s="2105"/>
      <c r="Q127" s="2105"/>
      <c r="R127" s="2105"/>
      <c r="S127" s="2105"/>
      <c r="T127" s="2105"/>
      <c r="U127" s="2106"/>
      <c r="V127" s="1190"/>
      <c r="W127" s="1190"/>
      <c r="X127" s="2044" t="s">
        <v>2329</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2343</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2342</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2357</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2345</v>
      </c>
      <c r="J134" s="2079"/>
      <c r="K134" s="2079"/>
      <c r="L134" s="2079"/>
      <c r="M134" s="2079"/>
      <c r="N134" s="2079"/>
      <c r="O134" s="2079"/>
      <c r="P134" s="2079" t="s">
        <v>2344</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2343</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2342</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2356</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545</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2355</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2354</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545</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2353</v>
      </c>
      <c r="C142" s="2087"/>
      <c r="D142" s="2087"/>
      <c r="E142" s="2087"/>
      <c r="F142" s="2087"/>
      <c r="G142" s="2087"/>
      <c r="H142" s="2087"/>
      <c r="I142" s="2087"/>
      <c r="J142" s="2087"/>
      <c r="K142" s="2087"/>
      <c r="L142" s="2087"/>
      <c r="M142" s="2087"/>
      <c r="N142" s="2087"/>
      <c r="O142" s="2087"/>
      <c r="P142" s="2087"/>
      <c r="Q142" s="2087"/>
      <c r="R142" s="2088" t="s">
        <v>2352</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250</v>
      </c>
      <c r="BD142" s="1190"/>
      <c r="BE142" s="1194"/>
    </row>
    <row r="143" spans="1:57" ht="15.75" customHeight="1">
      <c r="A143" s="1190"/>
      <c r="B143" s="2090" t="s">
        <v>2351</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2348</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2347</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2345</v>
      </c>
      <c r="J157" s="2079"/>
      <c r="K157" s="2079"/>
      <c r="L157" s="2079"/>
      <c r="M157" s="2079"/>
      <c r="N157" s="2079"/>
      <c r="O157" s="2079"/>
      <c r="P157" s="2079" t="s">
        <v>2346</v>
      </c>
      <c r="Q157" s="2079"/>
      <c r="R157" s="2079"/>
      <c r="S157" s="2079"/>
      <c r="T157" s="2079"/>
      <c r="U157" s="2080"/>
      <c r="V157" s="1190"/>
      <c r="W157" s="1190"/>
      <c r="X157" s="2041"/>
      <c r="Y157" s="2042"/>
      <c r="Z157" s="2042"/>
      <c r="AA157" s="2042"/>
      <c r="AB157" s="2042"/>
      <c r="AC157" s="2042"/>
      <c r="AD157" s="2042"/>
      <c r="AE157" s="2079" t="s">
        <v>2345</v>
      </c>
      <c r="AF157" s="2079"/>
      <c r="AG157" s="2079"/>
      <c r="AH157" s="2079"/>
      <c r="AI157" s="2079"/>
      <c r="AJ157" s="2079"/>
      <c r="AK157" s="2079"/>
      <c r="AL157" s="2079" t="s">
        <v>2344</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2343</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2343</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2342</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2341</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2326</v>
      </c>
      <c r="D163" s="2042"/>
      <c r="E163" s="2042"/>
      <c r="F163" s="2042"/>
      <c r="G163" s="2042"/>
      <c r="H163" s="2042"/>
      <c r="I163" s="2042"/>
      <c r="J163" s="2042"/>
      <c r="K163" s="2042"/>
      <c r="L163" s="2042"/>
      <c r="M163" s="2042"/>
      <c r="N163" s="2042"/>
      <c r="O163" s="2042"/>
      <c r="P163" s="2042"/>
      <c r="Q163" s="2042" t="s">
        <v>2340</v>
      </c>
      <c r="R163" s="2042"/>
      <c r="S163" s="2042"/>
      <c r="T163" s="2074" t="s">
        <v>2339</v>
      </c>
      <c r="U163" s="2074"/>
      <c r="V163" s="2074"/>
      <c r="W163" s="2074"/>
      <c r="X163" s="2074"/>
      <c r="Y163" s="2074"/>
      <c r="Z163" s="2074"/>
      <c r="AA163" s="2074"/>
      <c r="AB163" s="2042" t="s">
        <v>2338</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2337</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2336</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2335</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2334</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170</v>
      </c>
      <c r="D168" s="2057"/>
      <c r="E168" s="2057"/>
      <c r="F168" s="2058" t="s">
        <v>2315</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170</v>
      </c>
      <c r="D169" s="2057"/>
      <c r="E169" s="2057"/>
      <c r="F169" s="2058" t="s">
        <v>2315</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170</v>
      </c>
      <c r="D170" s="2063"/>
      <c r="E170" s="2063"/>
      <c r="F170" s="2064" t="s">
        <v>2315</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2333</v>
      </c>
      <c r="D172" s="2028"/>
      <c r="E172" s="2028"/>
      <c r="F172" s="2028"/>
      <c r="G172" s="2028"/>
      <c r="H172" s="2028"/>
      <c r="I172" s="2028"/>
      <c r="J172" s="2028"/>
      <c r="K172" s="2028"/>
      <c r="L172" s="2028"/>
      <c r="M172" s="2028"/>
      <c r="N172" s="2037"/>
      <c r="O172" s="1190"/>
      <c r="P172" s="2038" t="s">
        <v>2332</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2331</v>
      </c>
      <c r="D173" s="2042"/>
      <c r="E173" s="2042"/>
      <c r="F173" s="2042"/>
      <c r="G173" s="2042"/>
      <c r="H173" s="2042"/>
      <c r="I173" s="2042" t="s">
        <v>2330</v>
      </c>
      <c r="J173" s="2042"/>
      <c r="K173" s="2042"/>
      <c r="L173" s="2042"/>
      <c r="M173" s="2042"/>
      <c r="N173" s="2043"/>
      <c r="O173" s="1190"/>
      <c r="P173" s="2044" t="s">
        <v>2329</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2328</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2326</v>
      </c>
      <c r="D184" s="2028"/>
      <c r="E184" s="2028"/>
      <c r="F184" s="2028"/>
      <c r="G184" s="2028"/>
      <c r="H184" s="2028"/>
      <c r="I184" s="2028"/>
      <c r="J184" s="2028"/>
      <c r="K184" s="2028"/>
      <c r="L184" s="2028"/>
      <c r="M184" s="2028"/>
      <c r="N184" s="2028" t="s">
        <v>2327</v>
      </c>
      <c r="O184" s="2028"/>
      <c r="P184" s="2028"/>
      <c r="Q184" s="2028"/>
      <c r="R184" s="2028"/>
      <c r="S184" s="2028"/>
      <c r="T184" s="2028"/>
      <c r="U184" s="2029" t="s">
        <v>2326</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2325</v>
      </c>
      <c r="D185" s="2007"/>
      <c r="E185" s="2007"/>
      <c r="F185" s="2007"/>
      <c r="G185" s="2007"/>
      <c r="H185" s="2007"/>
      <c r="I185" s="2007"/>
      <c r="J185" s="2007"/>
      <c r="K185" s="2007"/>
      <c r="L185" s="2007"/>
      <c r="M185" s="2007"/>
      <c r="N185" s="2017">
        <f>'Sources and Uses Budget'!B105</f>
        <v>36197769</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2324</v>
      </c>
      <c r="D186" s="2007"/>
      <c r="E186" s="2007"/>
      <c r="F186" s="2007"/>
      <c r="G186" s="2007"/>
      <c r="H186" s="2007"/>
      <c r="I186" s="2007"/>
      <c r="J186" s="2007"/>
      <c r="K186" s="2007"/>
      <c r="L186" s="2007"/>
      <c r="M186" s="2007"/>
      <c r="N186" s="2017">
        <f>N185/J29</f>
        <v>482636.92</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2323</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2322</v>
      </c>
      <c r="D188" s="2007"/>
      <c r="E188" s="2007"/>
      <c r="F188" s="2007"/>
      <c r="G188" s="2007"/>
      <c r="H188" s="2007"/>
      <c r="I188" s="2007"/>
      <c r="J188" s="2007"/>
      <c r="K188" s="2007"/>
      <c r="L188" s="2007"/>
      <c r="M188" s="2007"/>
      <c r="N188" s="2036">
        <f>SUM('Sources and Uses Budget'!B85:B86)</f>
        <v>47250</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2321</v>
      </c>
      <c r="D189" s="2007"/>
      <c r="E189" s="2007"/>
      <c r="F189" s="2007"/>
      <c r="G189" s="2007"/>
      <c r="H189" s="2007"/>
      <c r="I189" s="2007"/>
      <c r="J189" s="2007"/>
      <c r="K189" s="2007"/>
      <c r="L189" s="2007"/>
      <c r="M189" s="2007"/>
      <c r="N189" s="2036">
        <f>'Sources and Uses Budget'!B8</f>
        <v>1300000</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2319</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2320</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2319</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2318</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2317</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300</v>
      </c>
      <c r="D192" s="1999"/>
      <c r="E192" s="1991" t="s">
        <v>2315</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2316</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300</v>
      </c>
      <c r="D193" s="1990"/>
      <c r="E193" s="1991" t="s">
        <v>2315</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300</v>
      </c>
      <c r="D194" s="1978"/>
      <c r="E194" s="1979" t="s">
        <v>2315</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2314</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2313</v>
      </c>
      <c r="D195" s="1961"/>
      <c r="E195" s="1961"/>
      <c r="F195" s="1961"/>
      <c r="G195" s="1961"/>
      <c r="H195" s="1961"/>
      <c r="I195" s="1961"/>
      <c r="J195" s="1961"/>
      <c r="K195" s="1961"/>
      <c r="L195" s="1961"/>
      <c r="M195" s="1961"/>
      <c r="N195" s="1962">
        <f>SUM(N187:T194)</f>
        <v>1347250</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2312</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2311</v>
      </c>
      <c r="D196" s="1971"/>
      <c r="E196" s="1971"/>
      <c r="F196" s="1971"/>
      <c r="G196" s="1971"/>
      <c r="H196" s="1971"/>
      <c r="I196" s="1971"/>
      <c r="J196" s="1971"/>
      <c r="K196" s="1971"/>
      <c r="L196" s="1971"/>
      <c r="M196" s="1971"/>
      <c r="N196" s="1972">
        <f>(N185-N195)/J29</f>
        <v>464673.58666666667</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2310</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2309</v>
      </c>
      <c r="D200" s="1958"/>
      <c r="E200" s="1958"/>
      <c r="F200" s="1958"/>
      <c r="G200" s="1958"/>
      <c r="H200" s="1958"/>
      <c r="I200" s="1958"/>
      <c r="J200" s="1958"/>
      <c r="K200" s="1958"/>
      <c r="L200" s="1958"/>
      <c r="M200" s="1958"/>
      <c r="N200" s="1958"/>
      <c r="O200" s="1959" t="s">
        <v>2308</v>
      </c>
      <c r="P200" s="1959"/>
      <c r="Q200" s="1959"/>
      <c r="R200" s="1959"/>
      <c r="S200" s="1959"/>
      <c r="T200" s="1959"/>
      <c r="U200" s="1959"/>
      <c r="V200" s="1959"/>
      <c r="W200" s="1959"/>
      <c r="X200" s="1959" t="s">
        <v>2307</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2306</v>
      </c>
      <c r="D201" s="1950"/>
      <c r="E201" s="1950"/>
      <c r="F201" s="1950"/>
      <c r="G201" s="1950"/>
      <c r="H201" s="1950"/>
      <c r="I201" s="1950"/>
      <c r="J201" s="1950"/>
      <c r="K201" s="1950"/>
      <c r="L201" s="1950"/>
      <c r="M201" s="1950"/>
      <c r="N201" s="1950"/>
      <c r="O201" s="1951" t="s">
        <v>2305</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854</v>
      </c>
      <c r="D202" s="1950"/>
      <c r="E202" s="1950"/>
      <c r="F202" s="1950"/>
      <c r="G202" s="1950"/>
      <c r="H202" s="1950"/>
      <c r="I202" s="1950"/>
      <c r="J202" s="1950"/>
      <c r="K202" s="1950"/>
      <c r="L202" s="1950"/>
      <c r="M202" s="1950"/>
      <c r="N202" s="1950"/>
      <c r="O202" s="1951" t="s">
        <v>2305</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2304</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2303</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2302</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2301</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2300</v>
      </c>
      <c r="D207" s="1929"/>
      <c r="E207" s="1929"/>
      <c r="F207" s="1930"/>
      <c r="G207" s="1934" t="s">
        <v>2299</v>
      </c>
      <c r="H207" s="1929"/>
      <c r="I207" s="1929"/>
      <c r="J207" s="1929"/>
      <c r="K207" s="1929"/>
      <c r="L207" s="1929"/>
      <c r="M207" s="1929"/>
      <c r="N207" s="1929"/>
      <c r="O207" s="1930"/>
      <c r="P207" s="1936" t="s">
        <v>2298</v>
      </c>
      <c r="Q207" s="1937"/>
      <c r="R207" s="1937"/>
      <c r="S207" s="1937"/>
      <c r="T207" s="1938"/>
      <c r="U207" s="1942" t="s">
        <v>2297</v>
      </c>
      <c r="V207" s="1943"/>
      <c r="W207" s="1943"/>
      <c r="X207" s="1944"/>
      <c r="Y207" s="1942" t="s">
        <v>2296</v>
      </c>
      <c r="Z207" s="1943"/>
      <c r="AA207" s="1943"/>
      <c r="AB207" s="1944"/>
      <c r="AC207" s="1942" t="s">
        <v>2295</v>
      </c>
      <c r="AD207" s="1943"/>
      <c r="AE207" s="1943"/>
      <c r="AF207" s="1944"/>
      <c r="AG207" s="1934" t="s">
        <v>2294</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1883</v>
      </c>
      <c r="H209" s="1919"/>
      <c r="I209" s="1919"/>
      <c r="J209" s="1919"/>
      <c r="K209" s="1919"/>
      <c r="L209" s="1919"/>
      <c r="M209" s="1919"/>
      <c r="N209" s="1919"/>
      <c r="O209" s="1919"/>
      <c r="P209" s="1920"/>
      <c r="Q209" s="1923"/>
      <c r="R209" s="1923"/>
      <c r="S209" s="1923"/>
      <c r="T209" s="1923"/>
      <c r="U209" s="1921" t="s">
        <v>1883</v>
      </c>
      <c r="V209" s="1921"/>
      <c r="W209" s="1921"/>
      <c r="X209" s="1921"/>
      <c r="Y209" s="1921" t="s">
        <v>1883</v>
      </c>
      <c r="Z209" s="1921"/>
      <c r="AA209" s="1921"/>
      <c r="AB209" s="1921"/>
      <c r="AC209" s="1922" t="s">
        <v>1883</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1883</v>
      </c>
      <c r="H210" s="1919"/>
      <c r="I210" s="1919"/>
      <c r="J210" s="1919"/>
      <c r="K210" s="1919"/>
      <c r="L210" s="1919"/>
      <c r="M210" s="1919"/>
      <c r="N210" s="1919"/>
      <c r="O210" s="1919"/>
      <c r="P210" s="1920"/>
      <c r="Q210" s="1920"/>
      <c r="R210" s="1920"/>
      <c r="S210" s="1920"/>
      <c r="T210" s="1920"/>
      <c r="U210" s="1921" t="s">
        <v>1883</v>
      </c>
      <c r="V210" s="1921"/>
      <c r="W210" s="1921"/>
      <c r="X210" s="1921"/>
      <c r="Y210" s="1921" t="s">
        <v>1883</v>
      </c>
      <c r="Z210" s="1921"/>
      <c r="AA210" s="1921"/>
      <c r="AB210" s="1921"/>
      <c r="AC210" s="1922" t="s">
        <v>1883</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1883</v>
      </c>
      <c r="H211" s="1919"/>
      <c r="I211" s="1919"/>
      <c r="J211" s="1919"/>
      <c r="K211" s="1919"/>
      <c r="L211" s="1919"/>
      <c r="M211" s="1919"/>
      <c r="N211" s="1919"/>
      <c r="O211" s="1919"/>
      <c r="P211" s="1920"/>
      <c r="Q211" s="1920"/>
      <c r="R211" s="1920"/>
      <c r="S211" s="1920"/>
      <c r="T211" s="1920"/>
      <c r="U211" s="1921" t="s">
        <v>1883</v>
      </c>
      <c r="V211" s="1921"/>
      <c r="W211" s="1921"/>
      <c r="X211" s="1921"/>
      <c r="Y211" s="1921" t="s">
        <v>1883</v>
      </c>
      <c r="Z211" s="1921"/>
      <c r="AA211" s="1921"/>
      <c r="AB211" s="1921"/>
      <c r="AC211" s="1922" t="s">
        <v>1883</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1883</v>
      </c>
      <c r="H212" s="1919"/>
      <c r="I212" s="1919"/>
      <c r="J212" s="1919"/>
      <c r="K212" s="1919"/>
      <c r="L212" s="1919"/>
      <c r="M212" s="1919"/>
      <c r="N212" s="1919"/>
      <c r="O212" s="1919"/>
      <c r="P212" s="1920"/>
      <c r="Q212" s="1920"/>
      <c r="R212" s="1920"/>
      <c r="S212" s="1920"/>
      <c r="T212" s="1920"/>
      <c r="U212" s="1921" t="s">
        <v>1883</v>
      </c>
      <c r="V212" s="1921"/>
      <c r="W212" s="1921"/>
      <c r="X212" s="1921"/>
      <c r="Y212" s="1921" t="s">
        <v>1883</v>
      </c>
      <c r="Z212" s="1921"/>
      <c r="AA212" s="1921"/>
      <c r="AB212" s="1921"/>
      <c r="AC212" s="1922" t="s">
        <v>1883</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1883</v>
      </c>
      <c r="H213" s="1919"/>
      <c r="I213" s="1919"/>
      <c r="J213" s="1919"/>
      <c r="K213" s="1919"/>
      <c r="L213" s="1919"/>
      <c r="M213" s="1919"/>
      <c r="N213" s="1919"/>
      <c r="O213" s="1919"/>
      <c r="P213" s="1920"/>
      <c r="Q213" s="1920"/>
      <c r="R213" s="1920"/>
      <c r="S213" s="1920"/>
      <c r="T213" s="1920"/>
      <c r="U213" s="1921" t="s">
        <v>1883</v>
      </c>
      <c r="V213" s="1921"/>
      <c r="W213" s="1921"/>
      <c r="X213" s="1921"/>
      <c r="Y213" s="1921" t="s">
        <v>1883</v>
      </c>
      <c r="Z213" s="1921"/>
      <c r="AA213" s="1921"/>
      <c r="AB213" s="1921"/>
      <c r="AC213" s="1922" t="s">
        <v>1883</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1883</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1883</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1883</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2293</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2291</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2290</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2289</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2288</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2286</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2285</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2284</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2283</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2282</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441</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2281</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2280</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sqref="A1:AN2"/>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7" t="s">
        <v>1279</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9252725</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23310000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 customHeight="1">
      <c r="B12" s="2381" t="s">
        <v>497</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 customHeight="1">
      <c r="A18"/>
      <c r="B18" s="1150"/>
      <c r="C18" s="1563" t="s">
        <v>960</v>
      </c>
      <c r="D18" s="1563"/>
      <c r="E18" s="1563"/>
      <c r="F18" s="1563"/>
      <c r="G18" s="1563"/>
      <c r="H18" s="1563"/>
      <c r="I18" s="1563"/>
      <c r="J18" s="1563"/>
      <c r="K18" s="1563"/>
      <c r="L18" s="1563"/>
      <c r="M18" s="1563"/>
      <c r="N18" s="1563"/>
      <c r="O18" s="1563"/>
      <c r="P18" s="1563"/>
      <c r="Q18" s="1563"/>
      <c r="R18" s="1563"/>
      <c r="S18" s="1564"/>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 customHeight="1">
      <c r="B19" s="1150"/>
      <c r="C19" s="1563" t="s">
        <v>960</v>
      </c>
      <c r="D19" s="1563"/>
      <c r="E19" s="1563"/>
      <c r="F19" s="1563"/>
      <c r="G19" s="1563"/>
      <c r="H19" s="1563"/>
      <c r="I19" s="1563"/>
      <c r="J19" s="1563"/>
      <c r="K19" s="1563"/>
      <c r="L19" s="1563"/>
      <c r="M19" s="1563"/>
      <c r="N19" s="1563"/>
      <c r="O19" s="1563"/>
      <c r="P19" s="1563"/>
      <c r="Q19" s="1563"/>
      <c r="R19" s="1563"/>
      <c r="S19" s="1564"/>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 customHeight="1">
      <c r="B21" s="2343" t="s">
        <v>1262</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9252725</v>
      </c>
      <c r="U23" s="2337"/>
      <c r="V23" s="2337"/>
      <c r="W23" s="2337"/>
      <c r="X23" s="2337"/>
      <c r="Y23" s="2356">
        <f>Y11+Y22</f>
        <v>0</v>
      </c>
      <c r="Z23" s="2337"/>
      <c r="AA23" s="2337"/>
      <c r="AB23" s="2337"/>
      <c r="AC23" s="2337"/>
      <c r="AD23" s="2356">
        <f>AD11+AD22</f>
        <v>23310000</v>
      </c>
      <c r="AE23" s="2337"/>
      <c r="AF23" s="2337"/>
      <c r="AG23" s="2337"/>
      <c r="AH23" s="2337"/>
      <c r="AI23" s="2356">
        <f>AI11+AI22</f>
        <v>0</v>
      </c>
      <c r="AJ23" s="2337"/>
      <c r="AK23" s="2337"/>
      <c r="AL23" s="2337"/>
      <c r="AM23" s="2337"/>
    </row>
    <row r="24" spans="1:40" ht="13"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Application!AJ1053</f>
        <v>69080338.599999994</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 customHeight="1">
      <c r="B25" s="2387" t="s">
        <v>1263</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12028542.5</v>
      </c>
      <c r="U26" s="2337"/>
      <c r="V26" s="2337"/>
      <c r="W26" s="2337"/>
      <c r="X26" s="2337"/>
      <c r="Y26" s="2356">
        <f>Y23*Y25</f>
        <v>0</v>
      </c>
      <c r="Z26" s="2337"/>
      <c r="AA26" s="2337"/>
      <c r="AB26" s="2337"/>
      <c r="AC26" s="2337"/>
      <c r="AD26" s="2356">
        <f>AD23*AD25</f>
        <v>23310000</v>
      </c>
      <c r="AE26" s="2337"/>
      <c r="AF26" s="2337"/>
      <c r="AG26" s="2337"/>
      <c r="AH26" s="2337"/>
      <c r="AI26" s="2356">
        <f>AI23*AI25</f>
        <v>0</v>
      </c>
      <c r="AJ26" s="2337"/>
      <c r="AK26" s="2337"/>
      <c r="AL26" s="2337"/>
      <c r="AM26" s="2337"/>
    </row>
    <row r="27" spans="1:40" ht="13"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3"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12028542.5</v>
      </c>
      <c r="U28" s="2337"/>
      <c r="V28" s="2337"/>
      <c r="W28" s="2337"/>
      <c r="X28" s="2337"/>
      <c r="Y28" s="2356">
        <f>IF(ISERROR((Y26*Y27)),0,(Y26*Y27))</f>
        <v>0</v>
      </c>
      <c r="Z28" s="2337"/>
      <c r="AA28" s="2337"/>
      <c r="AB28" s="2337"/>
      <c r="AC28" s="2337"/>
      <c r="AD28" s="2356">
        <f>IF(ISERROR((AD26*AD27)),0,(AD26*AD27))</f>
        <v>23310000</v>
      </c>
      <c r="AE28" s="2337"/>
      <c r="AF28" s="2337"/>
      <c r="AG28" s="2337"/>
      <c r="AH28" s="2337"/>
      <c r="AI28" s="2356">
        <f>IF(ISERROR((AI26*AI27)),0,(AI26*AI27))</f>
        <v>0</v>
      </c>
      <c r="AJ28" s="2337"/>
      <c r="AK28" s="2337"/>
      <c r="AL28" s="2337"/>
      <c r="AM28" s="2337"/>
    </row>
    <row r="29" spans="1:40" ht="13"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35338542.5</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 customHeight="1">
      <c r="B30" s="2360" t="s">
        <v>1265</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 customHeight="1">
      <c r="B31" s="2360" t="s">
        <v>1264</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1153</v>
      </c>
      <c r="Z35" s="2357"/>
      <c r="AA35" s="2357"/>
      <c r="AB35" s="2357"/>
      <c r="AC35" s="2357"/>
      <c r="AD35" s="2358" t="s">
        <v>369</v>
      </c>
      <c r="AE35" s="2358"/>
      <c r="AF35" s="2358"/>
      <c r="AG35" s="2358"/>
      <c r="AH35" s="2358"/>
    </row>
    <row r="36" spans="1:76" ht="13" customHeight="1">
      <c r="B36" s="407"/>
      <c r="X36" s="412"/>
      <c r="Y36" s="2357"/>
      <c r="Z36" s="2357"/>
      <c r="AA36" s="2357"/>
      <c r="AB36" s="2357"/>
      <c r="AC36" s="2357"/>
      <c r="AD36" s="2358"/>
      <c r="AE36" s="2358"/>
      <c r="AF36" s="2358"/>
      <c r="AG36" s="2358"/>
      <c r="AH36" s="235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12028542.5</v>
      </c>
      <c r="Z38" s="2337"/>
      <c r="AA38" s="2337"/>
      <c r="AB38" s="2337"/>
      <c r="AC38" s="2337"/>
      <c r="AD38" s="2337">
        <f>IF(T24&gt;=(T23+Y23+AD23+AI23),AD28+AI28,0)</f>
        <v>23310000</v>
      </c>
      <c r="AE38" s="2337"/>
      <c r="AF38" s="2337"/>
      <c r="AG38" s="2337"/>
      <c r="AH38" s="2337"/>
    </row>
    <row r="39" spans="1:76" ht="13" customHeight="1">
      <c r="B39" s="2343" t="s">
        <v>1690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481142</v>
      </c>
      <c r="Z40" s="2337"/>
      <c r="AA40" s="2337"/>
      <c r="AB40" s="2337"/>
      <c r="AC40" s="2337"/>
      <c r="AD40" s="2356">
        <f>ROUND(AD38*AD39,0)</f>
        <v>932400</v>
      </c>
      <c r="AE40" s="2337"/>
      <c r="AF40" s="2337"/>
      <c r="AG40" s="2337"/>
      <c r="AH40" s="2337"/>
    </row>
    <row r="41" spans="1:76" ht="13"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1413542</v>
      </c>
      <c r="Z41" s="2355"/>
      <c r="AA41" s="2355"/>
      <c r="AB41" s="2355"/>
      <c r="AC41" s="2355"/>
      <c r="AD41" s="2355"/>
      <c r="AE41" s="2355"/>
      <c r="AF41" s="2355"/>
      <c r="AG41" s="2355"/>
      <c r="AH41" s="2356"/>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4" t="s">
        <v>1275</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 customHeight="1" thickTop="1"/>
    <row r="46" spans="1:76" ht="13" customHeight="1">
      <c r="A46" s="404" t="s">
        <v>586</v>
      </c>
      <c r="C46" s="404" t="s">
        <v>282</v>
      </c>
    </row>
    <row r="47" spans="1:76" ht="13" customHeight="1">
      <c r="D47" s="404" t="s">
        <v>283</v>
      </c>
      <c r="AB47" s="2351">
        <f>'Sources and Uses Budget'!B105-MAX(IF('Sources and Uses Budget'!B15="",0,'Sources and Uses Budget'!B15),IF(Application!AG394="",0,Application!AG394))</f>
        <v>36197769</v>
      </c>
      <c r="AC47" s="2352"/>
      <c r="AD47" s="2352"/>
      <c r="AE47" s="2352"/>
      <c r="AF47" s="2353"/>
    </row>
    <row r="48" spans="1:76" ht="13" customHeight="1">
      <c r="D48" s="404" t="s">
        <v>21</v>
      </c>
      <c r="AB48" s="2351">
        <f>Application!AO639-MAX(IF('Sources and Uses Budget'!B15="",0,'Sources and Uses Budget'!B15),IF(Application!AG394="",0,Application!AG394))</f>
        <v>24183868</v>
      </c>
      <c r="AC48" s="2352"/>
      <c r="AD48" s="2352"/>
      <c r="AE48" s="2352"/>
      <c r="AF48" s="2353"/>
    </row>
    <row r="49" spans="1:76" ht="13" customHeight="1">
      <c r="D49" s="404" t="s">
        <v>91</v>
      </c>
      <c r="AB49" s="2351">
        <f>AB47-AB48</f>
        <v>12013901</v>
      </c>
      <c r="AC49" s="2352"/>
      <c r="AD49" s="2352"/>
      <c r="AE49" s="2352"/>
      <c r="AF49" s="2353"/>
    </row>
    <row r="50" spans="1:76" ht="13" customHeight="1">
      <c r="D50" s="404" t="s">
        <v>681</v>
      </c>
      <c r="AA50" s="415"/>
      <c r="AB50" s="2339">
        <v>0.84992489999999998</v>
      </c>
      <c r="AC50" s="2340"/>
      <c r="AD50" s="2340"/>
      <c r="AE50" s="2340"/>
      <c r="AF50" s="2341"/>
    </row>
    <row r="51" spans="1:76" s="417" customFormat="1" ht="13" customHeight="1">
      <c r="A51" s="402"/>
      <c r="B51" s="402"/>
      <c r="C51" s="402"/>
      <c r="D51" s="402"/>
      <c r="E51" s="2350" t="s">
        <v>2610</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1">
        <f>ROUND(IF(ISERROR((AB49/AB50)),0,(AB49/AB50)),0)</f>
        <v>14135250</v>
      </c>
      <c r="AC54" s="2352"/>
      <c r="AD54" s="2352"/>
      <c r="AE54" s="2352"/>
      <c r="AF54" s="2353"/>
    </row>
    <row r="55" spans="1:76" ht="13" customHeight="1">
      <c r="D55" s="404" t="s">
        <v>333</v>
      </c>
      <c r="AB55" s="2351">
        <f>(AB54/10)</f>
        <v>1413525</v>
      </c>
      <c r="AC55" s="2352"/>
      <c r="AD55" s="2352"/>
      <c r="AE55" s="2352"/>
      <c r="AF55" s="2353"/>
    </row>
    <row r="56" spans="1:76" ht="13" customHeight="1">
      <c r="D56" s="404" t="s">
        <v>756</v>
      </c>
      <c r="AB56" s="2351">
        <f>ROUND((IF((Y41&lt;AB55),Y41,AB55)),0)</f>
        <v>1413525</v>
      </c>
      <c r="AC56" s="2352"/>
      <c r="AD56" s="2352"/>
      <c r="AE56" s="2352"/>
      <c r="AF56" s="2353"/>
    </row>
    <row r="57" spans="1:76" ht="13" customHeight="1">
      <c r="D57" s="404" t="s">
        <v>755</v>
      </c>
      <c r="AB57" s="2351">
        <f>ROUND((10*AB56*AB50),0)</f>
        <v>12013901</v>
      </c>
      <c r="AC57" s="2352"/>
      <c r="AD57" s="2352"/>
      <c r="AE57" s="2352"/>
      <c r="AF57" s="2353"/>
    </row>
    <row r="58" spans="1:76" ht="13" customHeight="1">
      <c r="D58" s="404"/>
      <c r="AB58" s="423"/>
      <c r="AC58" s="423"/>
      <c r="AD58" s="423"/>
      <c r="AE58" s="423"/>
      <c r="AF58" s="423"/>
    </row>
    <row r="59" spans="1:76" ht="13" customHeight="1">
      <c r="D59" s="404" t="s">
        <v>754</v>
      </c>
      <c r="AB59" s="2335">
        <f>AB49-AB57</f>
        <v>0</v>
      </c>
      <c r="AC59" s="2335"/>
      <c r="AD59" s="2335"/>
      <c r="AE59" s="2335"/>
      <c r="AF59" s="2335"/>
    </row>
    <row r="60" spans="1:76" ht="13" customHeight="1">
      <c r="D60" s="404"/>
      <c r="AB60" s="423"/>
      <c r="AC60" s="423"/>
      <c r="AD60" s="423"/>
      <c r="AE60" s="423"/>
      <c r="AF60" s="423"/>
    </row>
    <row r="61" spans="1:76" s="204" customFormat="1" ht="13"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 customHeight="1" thickTop="1"/>
    <row r="63" spans="1:76" ht="13" customHeight="1">
      <c r="A63" s="404" t="s">
        <v>589</v>
      </c>
      <c r="C63" s="205" t="s">
        <v>1247</v>
      </c>
      <c r="Y63" s="2346" t="s">
        <v>983</v>
      </c>
      <c r="Z63" s="2346"/>
      <c r="AA63" s="2346"/>
      <c r="AB63" s="2346"/>
      <c r="AC63" s="2346"/>
      <c r="AD63" s="2346" t="s">
        <v>369</v>
      </c>
      <c r="AE63" s="2346"/>
      <c r="AF63" s="2346"/>
      <c r="AG63" s="2346"/>
      <c r="AH63" s="2346"/>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Needs"),Application!M358="yes"),AD28+AI28,0)</f>
        <v>0</v>
      </c>
      <c r="AE64" s="2348"/>
      <c r="AF64" s="2348"/>
      <c r="AG64" s="2348"/>
      <c r="AH64" s="2349"/>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System'!B13="Yes"),0.13,0))</f>
        <v>0</v>
      </c>
      <c r="AE67" s="2336"/>
      <c r="AF67" s="2336"/>
      <c r="AG67" s="2336"/>
      <c r="AH67" s="2336"/>
    </row>
    <row r="68" spans="1:36" ht="13" customHeight="1">
      <c r="C68" s="404"/>
      <c r="D68" s="205" t="s">
        <v>2223</v>
      </c>
      <c r="Y68" s="2337">
        <f>ROUND(Y64*Y67,0)</f>
        <v>0</v>
      </c>
      <c r="Z68" s="2338"/>
      <c r="AA68" s="2338"/>
      <c r="AB68" s="2338"/>
      <c r="AC68" s="2338"/>
      <c r="AD68" s="2337">
        <f>ROUND(AD64*AD67,0)</f>
        <v>0</v>
      </c>
      <c r="AE68" s="2338"/>
      <c r="AF68" s="2338"/>
      <c r="AG68" s="2338"/>
      <c r="AH68" s="2338"/>
    </row>
    <row r="69" spans="1:36" ht="13" customHeight="1">
      <c r="C69" s="404"/>
      <c r="D69" s="205" t="s">
        <v>2224</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1249</v>
      </c>
      <c r="AB72" s="2339"/>
      <c r="AC72" s="2340"/>
      <c r="AD72" s="2340"/>
      <c r="AE72" s="2340"/>
      <c r="AF72" s="2341"/>
    </row>
    <row r="73" spans="1:36" ht="13" customHeight="1">
      <c r="A73" s="404"/>
      <c r="C73" s="404"/>
      <c r="D73" s="404"/>
      <c r="E73" s="2342" t="s">
        <v>1250</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3"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3"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30">
        <f>ROUND(IF(ISERROR((AB59/AB72)),0,(AB59/AB72)),0)</f>
        <v>0</v>
      </c>
      <c r="AC77" s="2330"/>
      <c r="AD77" s="2330"/>
      <c r="AE77" s="2330"/>
      <c r="AF77" s="2330"/>
    </row>
    <row r="78" spans="1:36" ht="13" customHeight="1">
      <c r="C78" s="404"/>
      <c r="D78" s="205" t="s">
        <v>1252</v>
      </c>
      <c r="AB78" s="2331">
        <f>ROUNDUP(MIN(Y69,AB77),0)</f>
        <v>0</v>
      </c>
      <c r="AC78" s="2332"/>
      <c r="AD78" s="2332"/>
      <c r="AE78" s="2332"/>
      <c r="AF78" s="2333"/>
    </row>
    <row r="79" spans="1:36" ht="13" customHeight="1">
      <c r="C79" s="404"/>
      <c r="D79" s="205" t="s">
        <v>1253</v>
      </c>
      <c r="AB79" s="2334">
        <f>AB78*AB72</f>
        <v>0</v>
      </c>
      <c r="AC79" s="2334"/>
      <c r="AD79" s="2334"/>
      <c r="AE79" s="2334"/>
      <c r="AF79" s="2334"/>
    </row>
    <row r="80" spans="1:36" ht="13" customHeight="1">
      <c r="C80" s="404"/>
      <c r="D80" s="404"/>
      <c r="AB80" s="425"/>
      <c r="AC80" s="425"/>
      <c r="AD80" s="425"/>
      <c r="AE80" s="425"/>
      <c r="AF80" s="425"/>
    </row>
    <row r="81" spans="1:78" ht="13" customHeight="1">
      <c r="D81" s="404" t="s">
        <v>754</v>
      </c>
      <c r="AB81" s="2335">
        <f>AB49-(AB57+AB79)</f>
        <v>0</v>
      </c>
      <c r="AC81" s="2335"/>
      <c r="AD81" s="2335"/>
      <c r="AE81" s="2335"/>
      <c r="AF81" s="2335"/>
    </row>
    <row r="82" spans="1:78" ht="13" customHeight="1">
      <c r="F82" s="522"/>
      <c r="J82" s="522" t="str">
        <f>IF(AB81&gt;0,"FUNDING GAP MUST NOT EXCEED ZERO","")</f>
        <v/>
      </c>
    </row>
    <row r="83" spans="1:78" ht="13" customHeight="1">
      <c r="D83" s="523"/>
    </row>
    <row r="84" spans="1:78" ht="13"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 customHeight="1" thickTop="1"/>
    <row r="86" spans="1:78" ht="13" customHeight="1">
      <c r="A86" s="404"/>
      <c r="C86" s="205"/>
    </row>
    <row r="87" spans="1:78" ht="13" customHeight="1">
      <c r="D87" s="205"/>
      <c r="AB87" s="2386"/>
      <c r="AC87" s="2386"/>
      <c r="AD87" s="2386"/>
      <c r="AE87" s="2386"/>
      <c r="AF87" s="2386"/>
    </row>
    <row r="88" spans="1:78" ht="13"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30" zoomScaleNormal="130" workbookViewId="0">
      <selection activeCell="H779" sqref="H779:I77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8" t="s">
        <v>1299</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1304</v>
      </c>
      <c r="AF7" s="2409"/>
      <c r="AG7" s="2409"/>
      <c r="AH7" s="2409"/>
      <c r="AI7" s="2409"/>
      <c r="AJ7" s="2409"/>
      <c r="AK7" s="240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591</v>
      </c>
      <c r="C13" s="2399"/>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591</v>
      </c>
      <c r="C16" s="2399"/>
      <c r="D16" s="547"/>
      <c r="E16" s="2410" t="s">
        <v>1306</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591</v>
      </c>
      <c r="C22" s="2399"/>
      <c r="D22" s="547"/>
      <c r="E22" s="2435" t="s">
        <v>1309</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591</v>
      </c>
      <c r="C25" s="2399"/>
      <c r="D25" s="547"/>
      <c r="E25" s="2400" t="s">
        <v>2032</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591</v>
      </c>
      <c r="C28" s="2399"/>
      <c r="D28" s="547"/>
      <c r="E28" s="2423" t="s">
        <v>2247</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399" t="s">
        <v>591</v>
      </c>
      <c r="C33" s="2399"/>
      <c r="D33" s="547"/>
      <c r="E33" s="2435" t="s">
        <v>2249</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591</v>
      </c>
      <c r="C36" s="2399"/>
      <c r="D36" s="547"/>
      <c r="E36" s="2400" t="s">
        <v>2250</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9" t="s">
        <v>591</v>
      </c>
      <c r="C40" s="2399"/>
      <c r="D40" s="547"/>
      <c r="E40" s="2400" t="s">
        <v>2248</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591</v>
      </c>
      <c r="C45" s="2399"/>
      <c r="D45" s="1142"/>
      <c r="E45" s="2400" t="s">
        <v>2007</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545</v>
      </c>
      <c r="C52" s="2399"/>
      <c r="D52" s="540"/>
      <c r="E52" s="2400" t="s">
        <v>2012</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545</v>
      </c>
      <c r="C56" s="2399"/>
      <c r="D56" s="540"/>
      <c r="E56" s="2420" t="s">
        <v>2013</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545</v>
      </c>
      <c r="C58" s="2399"/>
      <c r="D58" s="540"/>
      <c r="E58" s="2400" t="s">
        <v>2014</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2">
        <f>AO39</f>
        <v>20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1313</v>
      </c>
      <c r="AF65" s="2409"/>
      <c r="AG65" s="2409"/>
      <c r="AH65" s="2409"/>
      <c r="AI65" s="2409"/>
      <c r="AJ65" s="2409"/>
      <c r="AK65" s="240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591</v>
      </c>
      <c r="C68" s="2399"/>
      <c r="D68" s="547" t="s">
        <v>1314</v>
      </c>
      <c r="E68" s="2410" t="s">
        <v>2015</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0</v>
      </c>
      <c r="AP71" s="574" t="s">
        <v>1315</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591</v>
      </c>
      <c r="C74" s="2399"/>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591</v>
      </c>
      <c r="F75" s="2399"/>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591</v>
      </c>
      <c r="F76" s="2398"/>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591</v>
      </c>
      <c r="F77" s="2398"/>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591</v>
      </c>
      <c r="F79" s="2399"/>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591</v>
      </c>
      <c r="C81" s="2399"/>
      <c r="D81" s="547" t="s">
        <v>1319</v>
      </c>
      <c r="E81" s="2400" t="s">
        <v>1739</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2">
        <f>IF(AK62&gt;0,0,AO71)</f>
        <v>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1304</v>
      </c>
      <c r="AF87" s="2409"/>
      <c r="AG87" s="2409"/>
      <c r="AH87" s="2409"/>
      <c r="AI87" s="2409"/>
      <c r="AJ87" s="2409"/>
      <c r="AK87" s="240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591</v>
      </c>
      <c r="C90" s="2399"/>
      <c r="D90" s="547" t="s">
        <v>1314</v>
      </c>
      <c r="E90" s="2410" t="s">
        <v>1324</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0.49459459459459459</v>
      </c>
      <c r="F93" s="2394"/>
      <c r="G93" s="2394"/>
      <c r="H93" s="2394"/>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9.9999999999999978E-2</v>
      </c>
      <c r="F94" s="2396"/>
      <c r="G94" s="2396"/>
      <c r="H94" s="239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19.999999999999996</v>
      </c>
      <c r="F95" s="2427"/>
      <c r="G95" s="2427"/>
      <c r="H95" s="242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545</v>
      </c>
      <c r="C98" s="2399"/>
      <c r="D98" s="547" t="s">
        <v>1316</v>
      </c>
      <c r="E98" s="2410" t="s">
        <v>1724</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0.49459459459459459</v>
      </c>
      <c r="F103" s="2394"/>
      <c r="G103" s="2394"/>
      <c r="H103" s="2394"/>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0.10810810810810811</v>
      </c>
      <c r="F104" s="2394"/>
      <c r="G104" s="2394"/>
      <c r="H104" s="2394"/>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0.6216216216216216</v>
      </c>
      <c r="F105" s="2394"/>
      <c r="G105" s="2394"/>
      <c r="H105" s="2394"/>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1313</v>
      </c>
      <c r="AF112" s="2409"/>
      <c r="AG112" s="2409"/>
      <c r="AH112" s="2409"/>
      <c r="AI112" s="2409"/>
      <c r="AJ112" s="2409"/>
      <c r="AK112" s="2409"/>
      <c r="AL112" s="540"/>
      <c r="AM112" s="540"/>
      <c r="AN112" s="535"/>
      <c r="AO112" s="536" t="str">
        <f>Application!B718</f>
        <v>1 Bedroom</v>
      </c>
      <c r="AQ112" s="536">
        <f>Application!O718</f>
        <v>818</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1102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1386</v>
      </c>
    </row>
    <row r="115" spans="1:52" s="536" customFormat="1" ht="12.75" customHeight="1">
      <c r="A115" s="540"/>
      <c r="B115" s="2399" t="s">
        <v>591</v>
      </c>
      <c r="C115" s="2399"/>
      <c r="D115" s="547" t="s">
        <v>1314</v>
      </c>
      <c r="E115" s="2410" t="s">
        <v>1856</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1 Bedroom</v>
      </c>
      <c r="AQ115" s="536">
        <f>Application!O721</f>
        <v>1670</v>
      </c>
      <c r="AU115" s="536" t="s">
        <v>1839</v>
      </c>
      <c r="AV115" s="595" t="s">
        <v>1840</v>
      </c>
      <c r="AW115" s="536" t="s">
        <v>1841</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f>Application!B723</f>
        <v>0</v>
      </c>
      <c r="AQ117" s="536">
        <f>Application!O723</f>
        <v>0</v>
      </c>
      <c r="AU117" s="856" t="str">
        <f>J124</f>
        <v>1-bedroom</v>
      </c>
      <c r="AV117" s="536">
        <f t="array" ref="AV117">SUM(IF(Application!B718:F752="1 Bedroom",Application!G718:J752))</f>
        <v>74</v>
      </c>
      <c r="AW117" s="1011">
        <f>AV117/AV122</f>
        <v>1</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f>Application!B728</f>
        <v>0</v>
      </c>
      <c r="AQ122" s="536">
        <f>Application!O728</f>
        <v>0</v>
      </c>
      <c r="AV122" s="536">
        <f>SUM(AV116:AV121)</f>
        <v>74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3" t="s">
        <v>1587</v>
      </c>
      <c r="F124" s="2394"/>
      <c r="G124" s="2394"/>
      <c r="H124" s="2394"/>
      <c r="I124" s="577"/>
      <c r="J124" s="2394" t="s">
        <v>1630</v>
      </c>
      <c r="K124" s="2394"/>
      <c r="L124" s="2394"/>
      <c r="M124" s="2394"/>
      <c r="N124" s="577"/>
      <c r="O124" s="2394" t="s">
        <v>1631</v>
      </c>
      <c r="P124" s="2394"/>
      <c r="Q124" s="2394"/>
      <c r="R124" s="2394"/>
      <c r="S124" s="577"/>
      <c r="T124" s="2394" t="s">
        <v>1333</v>
      </c>
      <c r="U124" s="2394"/>
      <c r="V124" s="2394"/>
      <c r="W124" s="2394"/>
      <c r="X124" s="577"/>
      <c r="Y124" s="2394" t="s">
        <v>1632</v>
      </c>
      <c r="Z124" s="2394"/>
      <c r="AA124" s="2394"/>
      <c r="AB124" s="2394"/>
      <c r="AC124" s="577"/>
      <c r="AD124" s="2394" t="s">
        <v>1633</v>
      </c>
      <c r="AE124" s="2394"/>
      <c r="AF124" s="2394"/>
      <c r="AG124" s="239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3"/>
      <c r="F127" s="2454"/>
      <c r="G127" s="2454"/>
      <c r="H127" s="2454"/>
      <c r="I127" s="864"/>
      <c r="J127" s="2454">
        <v>2217</v>
      </c>
      <c r="K127" s="2454"/>
      <c r="L127" s="2454"/>
      <c r="M127" s="2454"/>
      <c r="N127" s="864"/>
      <c r="O127" s="2454"/>
      <c r="P127" s="2454"/>
      <c r="Q127" s="2454"/>
      <c r="R127" s="2454"/>
      <c r="S127" s="864"/>
      <c r="T127" s="2454"/>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6">
        <f>Application!DX670</f>
        <v>0</v>
      </c>
      <c r="F130" s="2447"/>
      <c r="G130" s="2447"/>
      <c r="H130" s="2447"/>
      <c r="I130" s="864"/>
      <c r="J130" s="2447">
        <f>Application!EC670</f>
        <v>1370.6486486486488</v>
      </c>
      <c r="K130" s="2447"/>
      <c r="L130" s="2447"/>
      <c r="M130" s="2447"/>
      <c r="N130" s="864"/>
      <c r="O130" s="2447">
        <f>Application!EH670</f>
        <v>0</v>
      </c>
      <c r="P130" s="2447"/>
      <c r="Q130" s="2447"/>
      <c r="R130" s="2447"/>
      <c r="S130" s="868"/>
      <c r="T130" s="2447">
        <f>Application!EM670</f>
        <v>0</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t="e">
        <f>(E127-E130)/E127</f>
        <v>#DIV/0!</v>
      </c>
      <c r="F133" s="2396"/>
      <c r="G133" s="2396"/>
      <c r="H133" s="2646"/>
      <c r="I133" s="577"/>
      <c r="J133" s="2645">
        <f>(J127-J130)/J127</f>
        <v>0.38175523290543584</v>
      </c>
      <c r="K133" s="2396"/>
      <c r="L133" s="2396"/>
      <c r="M133" s="2646"/>
      <c r="N133" s="577"/>
      <c r="O133" s="2645" t="e">
        <f>(O127-O130)/O127</f>
        <v>#DIV/0!</v>
      </c>
      <c r="P133" s="2396"/>
      <c r="Q133" s="2396"/>
      <c r="R133" s="2646"/>
      <c r="S133" s="577"/>
      <c r="T133" s="2645" t="e">
        <f>(T127-T130)/T127</f>
        <v>#DIV/0!</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t="e">
        <f>IF(((E133-0.1)*AW116)&gt;0,((E133-0.1)*AW116),0)</f>
        <v>#DIV/0!</v>
      </c>
      <c r="F136" s="2449"/>
      <c r="G136" s="2449"/>
      <c r="H136" s="2450"/>
      <c r="I136" s="577"/>
      <c r="J136" s="2448">
        <f>IF(((J133-0.1)*AW117)&gt;0,((J133-0.1)*AW117),0)</f>
        <v>0.2817552329054358</v>
      </c>
      <c r="K136" s="2449"/>
      <c r="L136" s="2449"/>
      <c r="M136" s="2450"/>
      <c r="N136" s="577"/>
      <c r="O136" s="2448" t="e">
        <f>IF(((O133-0.1)*AW118)&gt;0,((O133-0.1)*AW118),0)</f>
        <v>#DIV/0!</v>
      </c>
      <c r="P136" s="2449"/>
      <c r="Q136" s="2449"/>
      <c r="R136" s="2450"/>
      <c r="S136" s="577"/>
      <c r="T136" s="2448" t="e">
        <f>IF(((T133-0.1)*AW119)&gt;0,((T133-0.1)*AW119),0)</f>
        <v>#DIV/0!</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0.28000000000000003</v>
      </c>
      <c r="F138" s="2396"/>
      <c r="G138" s="2396"/>
      <c r="H138" s="2646"/>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9" t="s">
        <v>1313</v>
      </c>
      <c r="AF146" s="2409"/>
      <c r="AG146" s="2409"/>
      <c r="AH146" s="2409"/>
      <c r="AI146" s="2409"/>
      <c r="AJ146" s="2409"/>
      <c r="AK146" s="240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1337</v>
      </c>
      <c r="AG148" s="2444"/>
      <c r="AH148" s="2444"/>
      <c r="AI148" s="2444"/>
      <c r="AJ148" s="2444"/>
      <c r="AK148" s="2444"/>
      <c r="AL148" s="244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2721</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1" t="s">
        <v>1340</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2" t="s">
        <v>591</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1" t="s">
        <v>1342</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2474</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2475</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2473</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591</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1351</v>
      </c>
      <c r="AG168" s="2444"/>
      <c r="AH168" s="2444"/>
      <c r="AI168" s="2444"/>
      <c r="AJ168" s="2444"/>
      <c r="AK168" s="2444"/>
      <c r="AL168" s="2444"/>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1349</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591</v>
      </c>
      <c r="AG172" s="2472"/>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1" t="s">
        <v>1342</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3" t="str">
        <f>Application!AA335</f>
        <v>FPI Management, Inc.</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1313</v>
      </c>
      <c r="AF186" s="2409"/>
      <c r="AG186" s="2409"/>
      <c r="AH186" s="2409"/>
      <c r="AI186" s="2409"/>
      <c r="AJ186" s="2409"/>
      <c r="AK186" s="240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9" t="s">
        <v>1359</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1362</v>
      </c>
      <c r="AG188" s="2444"/>
      <c r="AH188" s="2444"/>
      <c r="AI188" s="2444"/>
      <c r="AJ188" s="2444"/>
      <c r="AK188" s="2444"/>
      <c r="AL188" s="2444"/>
      <c r="AN188" s="597"/>
      <c r="AP188" s="550" t="s">
        <v>1042</v>
      </c>
      <c r="AQ188" s="550">
        <v>10</v>
      </c>
    </row>
    <row r="189" spans="1:73" s="550" customFormat="1" ht="12.75" customHeight="1">
      <c r="A189" s="536"/>
      <c r="B189" s="2470" t="s">
        <v>1725</v>
      </c>
      <c r="C189" s="2470"/>
      <c r="D189" s="2470"/>
      <c r="E189" s="2470"/>
      <c r="F189" s="2470"/>
      <c r="G189" s="2470"/>
      <c r="H189" s="2470"/>
      <c r="I189" s="2470"/>
      <c r="J189" s="2470"/>
      <c r="K189" s="2470"/>
      <c r="L189" s="2470"/>
      <c r="M189" s="2470"/>
      <c r="N189" s="2470"/>
      <c r="O189" s="2470"/>
      <c r="P189" s="2470"/>
      <c r="Q189" s="2470"/>
      <c r="R189" s="2470"/>
      <c r="S189" s="2470"/>
      <c r="T189" s="2445" t="s">
        <v>591</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9">
        <f>IF(AK84&gt;0,VLOOKUP($B$188,AP185:AQ191,2,FALSE),0)</f>
        <v>0</v>
      </c>
      <c r="AL191" s="2480"/>
      <c r="AM191" s="2481"/>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1371</v>
      </c>
      <c r="AF194" s="2409"/>
      <c r="AG194" s="2409"/>
      <c r="AH194" s="2409"/>
      <c r="AI194" s="2409"/>
      <c r="AJ194" s="2409"/>
      <c r="AK194" s="2409"/>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2669</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v>3300000</v>
      </c>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1626</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1589</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1">
        <f>SUM(AD199:AJ209)-AD210</f>
        <v>3300000</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1606</v>
      </c>
      <c r="J222" s="2460"/>
      <c r="K222" s="2460"/>
      <c r="L222" s="536"/>
      <c r="M222" s="536"/>
      <c r="N222" s="536"/>
      <c r="O222" s="536"/>
      <c r="P222" s="536"/>
      <c r="Q222" s="536"/>
      <c r="R222" s="536"/>
      <c r="S222" s="536"/>
      <c r="T222" s="2648" t="s">
        <v>1600</v>
      </c>
      <c r="U222" s="2648"/>
      <c r="V222" s="2648"/>
      <c r="W222" s="2648"/>
      <c r="X222" s="2648"/>
      <c r="Y222" s="2648"/>
      <c r="Z222" s="849"/>
      <c r="AA222" s="489"/>
      <c r="AB222" s="2455" t="s">
        <v>1601</v>
      </c>
      <c r="AC222" s="2455"/>
      <c r="AD222" s="2455"/>
      <c r="AE222" s="2455"/>
      <c r="AF222" s="2455"/>
      <c r="AG222" s="2455"/>
      <c r="AH222" s="827"/>
      <c r="AI222" s="827"/>
      <c r="AJ222" s="827"/>
      <c r="AK222" s="610"/>
    </row>
    <row r="223" spans="1:37">
      <c r="A223" s="605"/>
      <c r="B223" s="2458" t="s">
        <v>1586</v>
      </c>
      <c r="C223" s="2458"/>
      <c r="D223" s="2458"/>
      <c r="E223" s="2458"/>
      <c r="F223" s="2458"/>
      <c r="G223" s="2458"/>
      <c r="I223" s="2459" t="s">
        <v>1607</v>
      </c>
      <c r="J223" s="2459"/>
      <c r="K223" s="2459"/>
      <c r="L223" s="1008"/>
      <c r="N223" s="2465" t="s">
        <v>1602</v>
      </c>
      <c r="O223" s="2465"/>
      <c r="P223" s="2465"/>
      <c r="Q223" s="2465"/>
      <c r="R223" s="2465"/>
      <c r="T223" s="2465" t="s">
        <v>1603</v>
      </c>
      <c r="U223" s="2465"/>
      <c r="V223" s="2465"/>
      <c r="W223" s="2465"/>
      <c r="X223" s="2465"/>
      <c r="Y223" s="2465"/>
      <c r="Z223" s="850"/>
      <c r="AA223" s="489"/>
      <c r="AB223" s="2602" t="s">
        <v>1604</v>
      </c>
      <c r="AC223" s="2602"/>
      <c r="AD223" s="2602"/>
      <c r="AE223" s="2602"/>
      <c r="AF223" s="2602"/>
      <c r="AG223" s="2602"/>
      <c r="AH223" s="827"/>
      <c r="AI223" s="827"/>
      <c r="AJ223" s="827"/>
      <c r="AK223" s="610"/>
    </row>
    <row r="224" spans="1:37">
      <c r="A224" s="605"/>
      <c r="B224" s="2462" t="s">
        <v>1183</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1183</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1183</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1183</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1183</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1183</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1183</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1183</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1183</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1183</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3300000</v>
      </c>
      <c r="AH268" s="2482"/>
      <c r="AI268" s="2482"/>
      <c r="AJ268" s="2482"/>
      <c r="AK268" s="2482"/>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36197769</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0.09</v>
      </c>
      <c r="AH270" s="2483"/>
      <c r="AI270" s="2483"/>
      <c r="AJ270" s="2483"/>
      <c r="AK270" s="2483"/>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4">
        <f>IFERROR(IF(AG270=0,0,IF((AG270*100)&gt;8,8,(AG270*100))),0)</f>
        <v>8</v>
      </c>
      <c r="AL273" s="2484"/>
      <c r="AM273" s="2485"/>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6" t="s">
        <v>545</v>
      </c>
      <c r="D278" s="2476"/>
      <c r="E278" s="547"/>
      <c r="F278" s="2633" t="s">
        <v>2023</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1362</v>
      </c>
      <c r="AH278" s="2477"/>
      <c r="AI278" s="2477"/>
      <c r="AJ278" s="2477"/>
      <c r="AK278" s="550"/>
      <c r="AL278" s="550"/>
      <c r="AM278" s="550"/>
      <c r="AO278" s="550"/>
    </row>
    <row r="279" spans="1:52" ht="13.75"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5"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4">
        <f>IF($C$278="yes",10,0)</f>
        <v>10</v>
      </c>
      <c r="AL285" s="2484"/>
      <c r="AM285" s="2485"/>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1852</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1381</v>
      </c>
      <c r="B292" s="1627"/>
      <c r="C292" s="2472" t="s">
        <v>591</v>
      </c>
      <c r="D292" s="2476"/>
      <c r="E292" s="547"/>
      <c r="F292" s="2504" t="s">
        <v>1382</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2016</v>
      </c>
      <c r="AH292" s="2507"/>
      <c r="AI292" s="2507"/>
      <c r="AJ292" s="2507"/>
      <c r="AK292" s="2507"/>
      <c r="AL292" s="550"/>
      <c r="AM292" s="550"/>
      <c r="AN292" s="73"/>
      <c r="AO292" s="14"/>
      <c r="AP292" s="30"/>
      <c r="AS292" s="570"/>
      <c r="AT292" s="570"/>
      <c r="AU292" s="570"/>
      <c r="AV292" s="32"/>
      <c r="AW292" s="32"/>
    </row>
    <row r="293" spans="1:49" ht="13">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8" t="s">
        <v>2024</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ht="13">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1383</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1384</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1385</v>
      </c>
      <c r="B302" s="1627"/>
      <c r="C302" s="2476" t="s">
        <v>591</v>
      </c>
      <c r="D302" s="247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6" t="s">
        <v>2018</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7" t="s">
        <v>1388</v>
      </c>
      <c r="B310" s="1627"/>
      <c r="C310" s="2476" t="s">
        <v>591</v>
      </c>
      <c r="D310" s="247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98" t="s">
        <v>2025</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1183</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1183</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t="13"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t="13"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t="13"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t="13"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14" t="s">
        <v>1183</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14" t="s">
        <v>1183</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7" t="s">
        <v>1391</v>
      </c>
      <c r="B333" s="1627"/>
      <c r="C333" s="2476" t="s">
        <v>591</v>
      </c>
      <c r="D333" s="2476"/>
      <c r="E333" s="547"/>
      <c r="F333" s="2400" t="s">
        <v>2026</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9">
        <f>IF(NOT(OR(Application!M355="Yes",Application!M356="Yes")),0,AP295)</f>
        <v>0</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09" t="s">
        <v>1313</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1453</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65"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2091</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6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2206</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1454</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4"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9"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5</v>
      </c>
      <c r="AS357" s="539" t="s">
        <v>1455</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0</v>
      </c>
      <c r="AS359" s="539" t="s">
        <v>1456</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5</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581</v>
      </c>
      <c r="AP361" s="696">
        <f>IF(C407="Yes",5,0)</f>
        <v>0</v>
      </c>
      <c r="AS361" s="539" t="s">
        <v>1877</v>
      </c>
    </row>
    <row r="362" spans="1:46" s="550" customFormat="1" ht="12.75" customHeight="1">
      <c r="A362" s="603"/>
      <c r="B362" s="611"/>
      <c r="C362" s="2540" t="s">
        <v>2230</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0</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763</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584</v>
      </c>
      <c r="AP364" s="696">
        <f>IF(C421="Yes",5,0)</f>
        <v>0</v>
      </c>
    </row>
    <row r="365" spans="1:46" s="550" customFormat="1" ht="11.9"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65"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8" t="s">
        <v>1457</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456</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461</v>
      </c>
      <c r="AP370" s="696">
        <f>IF(C449="Yes",5,0)</f>
        <v>0</v>
      </c>
    </row>
    <row r="371" spans="1:81" s="550" customFormat="1" ht="68.150000000000006"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646</v>
      </c>
      <c r="AP371" s="701">
        <f>IF(C453="Yes",5,0)</f>
        <v>0</v>
      </c>
    </row>
    <row r="372" spans="1:81" s="550" customFormat="1" ht="12.65"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6">
        <f>Application!DU802-U374</f>
        <v>74</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1">
        <f>IF(AP375&gt;0,AP375,0)</f>
        <v>0</v>
      </c>
      <c r="AR375" s="2541"/>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2" t="s">
        <v>1459</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545</v>
      </c>
      <c r="D381" s="247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1461</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2" t="s">
        <v>1462</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591</v>
      </c>
      <c r="D389" s="247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1461</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2" t="s">
        <v>1464</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591</v>
      </c>
      <c r="D397" s="247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1466</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545</v>
      </c>
      <c r="D399" s="247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1461</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2" t="s">
        <v>1470</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591</v>
      </c>
      <c r="D407" s="247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1461</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591</v>
      </c>
      <c r="D409" s="247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1473</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591</v>
      </c>
      <c r="D412" s="2476"/>
      <c r="E412" s="715" t="s">
        <v>1474</v>
      </c>
      <c r="F412" s="2522" t="s">
        <v>1475</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1461</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2" t="s">
        <v>1477</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ht="13">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591</v>
      </c>
      <c r="D421" s="247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1461</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591</v>
      </c>
      <c r="D423" s="247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1473</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2" t="s">
        <v>1481</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65"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591</v>
      </c>
      <c r="D430" s="247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1461</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4" customHeight="1">
      <c r="A433" s="536"/>
      <c r="C433" s="746"/>
      <c r="D433" s="747"/>
      <c r="E433" s="715" t="s">
        <v>1483</v>
      </c>
      <c r="F433" s="2522" t="s">
        <v>1484</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591</v>
      </c>
      <c r="D442" s="247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1461</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2" t="s">
        <v>1487</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591</v>
      </c>
      <c r="D449" s="247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1461</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591</v>
      </c>
      <c r="D453" s="2526"/>
      <c r="E453" s="715" t="s">
        <v>1496</v>
      </c>
      <c r="F453" s="2522" t="s">
        <v>1497</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1461</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899999999999999"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591</v>
      </c>
      <c r="D457" s="2476"/>
      <c r="E457" s="715" t="s">
        <v>1502</v>
      </c>
      <c r="F457" s="2522" t="s">
        <v>1503</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1461</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2" t="s">
        <v>1506</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591</v>
      </c>
      <c r="D466" s="247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1461</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20" t="s">
        <v>1510</v>
      </c>
      <c r="AF472" s="2520"/>
      <c r="AG472" s="2520"/>
      <c r="AH472" s="2520"/>
      <c r="AI472" s="2520"/>
      <c r="AJ472" s="2520"/>
      <c r="AK472" s="2520"/>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5" t="s">
        <v>591</v>
      </c>
      <c r="D478" s="2546"/>
      <c r="E478" s="761" t="s">
        <v>507</v>
      </c>
      <c r="F478" s="2547" t="s">
        <v>1516</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1" t="s">
        <v>591</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2" t="s">
        <v>545</v>
      </c>
      <c r="D482" s="2623"/>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0" t="s">
        <v>591</v>
      </c>
      <c r="W485" s="2620"/>
      <c r="X485" s="262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0" t="s">
        <v>591</v>
      </c>
      <c r="W487" s="2620"/>
      <c r="X487" s="262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0" t="s">
        <v>591</v>
      </c>
      <c r="W492" s="2620"/>
      <c r="X492" s="262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0"/>
      <c r="E495" s="2610"/>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0" t="s">
        <v>591</v>
      </c>
      <c r="W496" s="2620"/>
      <c r="X496" s="262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0" t="s">
        <v>591</v>
      </c>
      <c r="W498" s="2620"/>
      <c r="X498" s="262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591</v>
      </c>
      <c r="D501" s="2546"/>
      <c r="E501" s="761" t="s">
        <v>507</v>
      </c>
      <c r="F501" s="2547" t="s">
        <v>1516</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591</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591</v>
      </c>
      <c r="D505" s="2546"/>
      <c r="E505" s="761" t="s">
        <v>757</v>
      </c>
      <c r="F505" s="2617" t="s">
        <v>1538</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9" t="s">
        <v>591</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5" t="s">
        <v>591</v>
      </c>
      <c r="D510" s="2546"/>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9"/>
      <c r="D512" s="2610"/>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591</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591</v>
      </c>
      <c r="D515" s="2550"/>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591</v>
      </c>
      <c r="D519" s="2550"/>
      <c r="F519" s="795" t="s">
        <v>1546</v>
      </c>
      <c r="G519" s="2523" t="s">
        <v>1547</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591</v>
      </c>
      <c r="D523" s="2552"/>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591</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1559</v>
      </c>
      <c r="AF538" s="2409"/>
      <c r="AG538" s="2409"/>
      <c r="AH538" s="2409"/>
      <c r="AI538" s="2409"/>
      <c r="AJ538" s="2409"/>
      <c r="AK538" s="240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545</v>
      </c>
      <c r="D541" s="2476"/>
      <c r="E541" s="551"/>
      <c r="F541" s="2603" t="s">
        <v>1560</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591</v>
      </c>
      <c r="D544" s="247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1562</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1563</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37956230</v>
      </c>
      <c r="AQ550" s="2625"/>
      <c r="AR550" s="2625"/>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32562725</v>
      </c>
      <c r="AG551" s="2482"/>
      <c r="AH551" s="2482"/>
      <c r="AI551" s="2482"/>
      <c r="AJ551" s="2482"/>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68321214</v>
      </c>
      <c r="AG552" s="2630"/>
      <c r="AH552" s="2630"/>
      <c r="AI552" s="2630"/>
      <c r="AJ552" s="2630"/>
      <c r="AK552" s="595"/>
      <c r="AL552" s="595"/>
      <c r="AM552" s="595"/>
      <c r="AN552" s="597"/>
      <c r="AP552" s="2625">
        <f>Application!AJ1045</f>
        <v>23532862.600000001</v>
      </c>
      <c r="AQ552" s="2625"/>
      <c r="AR552" s="2625"/>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0.52</v>
      </c>
      <c r="AG553" s="2631"/>
      <c r="AH553" s="2631"/>
      <c r="AI553" s="2631"/>
      <c r="AJ553" s="2631"/>
      <c r="AK553" s="595"/>
      <c r="AL553" s="595"/>
      <c r="AM553" s="595"/>
      <c r="AN553" s="597"/>
      <c r="AP553" s="2628">
        <f>Application!AJ1049</f>
        <v>7591246</v>
      </c>
      <c r="AQ553" s="2628"/>
      <c r="AR553" s="2628"/>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0.8</v>
      </c>
      <c r="AQ554" s="2624"/>
      <c r="AR554" s="2624"/>
      <c r="AS554" s="550" t="s">
        <v>2170</v>
      </c>
    </row>
    <row r="555" spans="1:49" s="550" customFormat="1" ht="12.75" customHeight="1">
      <c r="A555" s="624"/>
      <c r="B555" s="2561" t="s">
        <v>2030</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37956229.999999993</v>
      </c>
      <c r="AQ556" s="2534"/>
      <c r="AR556" s="2534"/>
      <c r="AS556" s="550" t="s">
        <v>2172</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69080338.599999994</v>
      </c>
      <c r="AQ557" s="2625"/>
      <c r="AR557" s="2625"/>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0">
        <f>IFERROR(IF(AND(C541="N/A",C544="N/A"),0,IF(AF553=0,0,IF((AF553*100)&gt;12,12,(AF553*100)))),0)</f>
        <v>12</v>
      </c>
      <c r="AL559" s="2570"/>
      <c r="AM559" s="2571"/>
      <c r="AN559" s="597"/>
      <c r="AP559" s="2642">
        <f>AP556+(AP550*AP554)</f>
        <v>68321214</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1313</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2021</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1337</v>
      </c>
      <c r="AG578" s="2444"/>
      <c r="AH578" s="2444"/>
      <c r="AI578" s="2444"/>
      <c r="AJ578" s="2444"/>
      <c r="AK578" s="2444"/>
      <c r="AL578" s="2444"/>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1395</v>
      </c>
      <c r="AG585" s="2444"/>
      <c r="AH585" s="2444"/>
      <c r="AI585" s="2444"/>
      <c r="AJ585" s="2444"/>
      <c r="AK585" s="2444"/>
      <c r="AL585" s="2444"/>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1377</v>
      </c>
      <c r="AG591" s="2444"/>
      <c r="AH591" s="2444"/>
      <c r="AI591" s="2444"/>
      <c r="AJ591" s="2444"/>
      <c r="AK591" s="2444"/>
      <c r="AL591" s="2444"/>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1398</v>
      </c>
      <c r="AG597" s="2444"/>
      <c r="AH597" s="2444"/>
      <c r="AI597" s="2444"/>
      <c r="AJ597" s="2444"/>
      <c r="AK597" s="2444"/>
      <c r="AL597" s="2444"/>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30" t="s">
        <v>1183</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1351</v>
      </c>
      <c r="AG603" s="2444"/>
      <c r="AH603" s="2444"/>
      <c r="AI603" s="2444"/>
      <c r="AJ603" s="2444"/>
      <c r="AK603" s="2444"/>
      <c r="AL603" s="2444"/>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8" t="s">
        <v>687</v>
      </c>
      <c r="I606" s="2528"/>
      <c r="J606" s="936"/>
      <c r="K606" s="936"/>
      <c r="L606" s="936"/>
      <c r="N606" s="22"/>
      <c r="O606" s="22"/>
      <c r="P606" s="22"/>
      <c r="Q606" s="1151" t="s">
        <v>2175</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9" t="s">
        <v>591</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2" t="s">
        <v>591</v>
      </c>
      <c r="C616" s="2472"/>
      <c r="D616" s="642"/>
      <c r="E616" s="2499" t="s">
        <v>1402</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9">
        <f>VLOOKUP($H$606,$AO$586:$AP$591,2,FALSE)+IF(R606=AO594,0,VLOOKUP($I$614,$AO$613:$AP$615,2,FALSE))</f>
        <v>7</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7" t="s">
        <v>1693</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1351</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2" t="s">
        <v>591</v>
      </c>
      <c r="Y634" s="247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1407</v>
      </c>
      <c r="AG636" s="2444"/>
      <c r="AH636" s="2444"/>
      <c r="AI636" s="2444"/>
      <c r="AJ636" s="2444"/>
      <c r="AK636" s="2444"/>
      <c r="AL636" s="244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8" t="s">
        <v>591</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9">
        <f>VLOOKUP($H$638,$AO$605:$AP$607,2,FALSE)</f>
        <v>0</v>
      </c>
      <c r="AK640" s="2481"/>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9" t="s">
        <v>2096</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1351</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1407</v>
      </c>
      <c r="AG647" s="2444"/>
      <c r="AH647" s="2444"/>
      <c r="AI647" s="2444"/>
      <c r="AJ647" s="2444"/>
      <c r="AK647" s="2444"/>
      <c r="AL647" s="2444"/>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8" t="s">
        <v>591</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9" t="s">
        <v>1417</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1377</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9" t="s">
        <v>1418</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1398</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9" t="s">
        <v>1419</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1351</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591</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9" t="s">
        <v>1420</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1398</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9" t="s">
        <v>1421</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1351</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9" t="s">
        <v>1422</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1407</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9" t="s">
        <v>1423</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1424</v>
      </c>
      <c r="AG681" s="2444"/>
      <c r="AH681" s="2444"/>
      <c r="AI681" s="2444"/>
      <c r="AJ681" s="2444"/>
      <c r="AK681" s="2444"/>
      <c r="AL681" s="2444"/>
      <c r="AM681" s="596"/>
      <c r="AN681" s="597"/>
      <c r="AO681" s="611" t="s">
        <v>687</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8" t="s">
        <v>687</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9">
        <f>VLOOKUP($H$685,$AO$633:$AP$640,2,FALSE)</f>
        <v>5</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74</v>
      </c>
    </row>
    <row r="691" spans="1:51" s="550" customFormat="1" ht="12.75" customHeight="1">
      <c r="A691" s="679"/>
      <c r="B691" s="536"/>
      <c r="C691" s="948"/>
      <c r="D691" s="663" t="s">
        <v>687</v>
      </c>
      <c r="E691" s="2535" t="s">
        <v>2188</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1351</v>
      </c>
      <c r="AG691" s="2444"/>
      <c r="AH691" s="2444"/>
      <c r="AI691" s="2444"/>
      <c r="AJ691" s="2444"/>
      <c r="AK691" s="2444"/>
      <c r="AL691" s="2444"/>
      <c r="AN691" s="597"/>
      <c r="AW691" s="22" t="s">
        <v>2183</v>
      </c>
      <c r="AX691" s="550">
        <f>Application!DE753</f>
        <v>0</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99" t="s">
        <v>2132</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1351</v>
      </c>
      <c r="AG694" s="2444"/>
      <c r="AH694" s="2444"/>
      <c r="AI694" s="2444"/>
      <c r="AJ694" s="2444"/>
      <c r="AK694" s="2444"/>
      <c r="AL694" s="2444"/>
      <c r="AN694" s="597"/>
      <c r="AW694" s="22" t="s">
        <v>2186</v>
      </c>
      <c r="AX694" s="550">
        <f>AX691+AX692+AX693</f>
        <v>0</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0</v>
      </c>
      <c r="AP695" s="2534"/>
      <c r="AW695" s="22" t="s">
        <v>2187</v>
      </c>
      <c r="AX695" s="550">
        <f>IFERROR(AX694/AX690,0)</f>
        <v>0</v>
      </c>
      <c r="AY695" s="550">
        <f>IFERROR(AX694/(AX690-AX689),0)</f>
        <v>0</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9" t="s">
        <v>2133</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1407</v>
      </c>
      <c r="AG699" s="2444"/>
      <c r="AH699" s="2444"/>
      <c r="AI699" s="2444"/>
      <c r="AJ699" s="2444"/>
      <c r="AK699" s="2444"/>
      <c r="AL699" s="2444"/>
      <c r="AN699" s="597"/>
      <c r="AO699" s="611" t="s">
        <v>509</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3"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9" t="s">
        <v>1692</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8" t="s">
        <v>591</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9">
        <f>VLOOKUP($H$709,$AO$703:$AP$706,2,FALSE)</f>
        <v>0</v>
      </c>
      <c r="AK711" s="2481"/>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6" t="s">
        <v>1694</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1351</v>
      </c>
      <c r="AG715" s="2444"/>
      <c r="AH715" s="2444"/>
      <c r="AI715" s="2444"/>
      <c r="AJ715" s="2444"/>
      <c r="AK715" s="2444"/>
      <c r="AL715" s="2444"/>
      <c r="AM715" s="550"/>
      <c r="AN715" s="684"/>
      <c r="AP715" s="570" t="s">
        <v>1431</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1432</v>
      </c>
    </row>
    <row r="717" spans="1:43" s="570" customFormat="1" ht="14.15"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1433</v>
      </c>
    </row>
    <row r="718" spans="1:43" s="570" customFormat="1" ht="14.1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15" customHeight="1">
      <c r="A719" s="550"/>
      <c r="B719" s="536"/>
      <c r="C719" s="931"/>
      <c r="D719" s="663" t="s">
        <v>509</v>
      </c>
      <c r="E719" s="2537" t="s">
        <v>1434</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1407</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15"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1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5" customHeight="1">
      <c r="A723" s="550"/>
      <c r="B723" s="536"/>
      <c r="C723" s="933"/>
      <c r="D723" s="536" t="s">
        <v>1399</v>
      </c>
      <c r="E723" s="936"/>
      <c r="F723" s="936"/>
      <c r="G723" s="936"/>
      <c r="H723" s="2528" t="s">
        <v>591</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99" t="s">
        <v>1695</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1351</v>
      </c>
      <c r="AG729" s="2444"/>
      <c r="AH729" s="2444"/>
      <c r="AI729" s="2444"/>
      <c r="AJ729" s="2444"/>
      <c r="AK729" s="2444"/>
      <c r="AL729" s="2444"/>
      <c r="AM729" s="550"/>
      <c r="AN729" s="684"/>
      <c r="AT729" s="14"/>
      <c r="AU729" s="14"/>
      <c r="AV729" s="14"/>
      <c r="AW729" s="14"/>
      <c r="AX729" s="14"/>
      <c r="AY729" s="14"/>
      <c r="AZ729" s="14"/>
    </row>
    <row r="730" spans="1:81" s="570" customFormat="1" ht="13">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9" t="s">
        <v>1438</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1407</v>
      </c>
      <c r="AG732" s="2444"/>
      <c r="AH732" s="2444"/>
      <c r="AI732" s="2444"/>
      <c r="AJ732" s="2444"/>
      <c r="AK732" s="2444"/>
      <c r="AL732" s="2444"/>
      <c r="AM732" s="550"/>
      <c r="AN732" s="684"/>
      <c r="AT732" s="14"/>
      <c r="AU732" s="14"/>
      <c r="AV732" s="14"/>
      <c r="AW732" s="14"/>
      <c r="AX732" s="14"/>
      <c r="AY732" s="14"/>
      <c r="AZ732" s="14"/>
    </row>
    <row r="733" spans="1:81" s="570" customFormat="1" ht="13">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8" t="s">
        <v>591</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99" t="s">
        <v>1441</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1351</v>
      </c>
      <c r="AG741" s="2444"/>
      <c r="AH741" s="2444"/>
      <c r="AI741" s="2444"/>
      <c r="AJ741" s="2444"/>
      <c r="AK741" s="2444"/>
      <c r="AL741" s="2444"/>
      <c r="AM741" s="550"/>
      <c r="AN741" s="684"/>
      <c r="AT741" s="14"/>
      <c r="AU741" s="14"/>
      <c r="AV741" s="14"/>
      <c r="AW741" s="14"/>
      <c r="AX741" s="14"/>
      <c r="AY741" s="14"/>
      <c r="AZ741" s="14"/>
    </row>
    <row r="742" spans="1:81" s="570" customFormat="1" ht="13">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99" t="s">
        <v>1442</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1407</v>
      </c>
      <c r="AG746" s="2444"/>
      <c r="AH746" s="2444"/>
      <c r="AI746" s="2444"/>
      <c r="AJ746" s="2444"/>
      <c r="AK746" s="2444"/>
      <c r="AL746" s="2444"/>
      <c r="AM746" s="550"/>
      <c r="AN746" s="684"/>
      <c r="AO746" s="30"/>
      <c r="AP746" s="14"/>
    </row>
    <row r="747" spans="1:81" s="570" customFormat="1" ht="13">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8" t="s">
        <v>687</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9">
        <f>VLOOKUP($H$751,$AO$680:$AP$682,2,FALSE)</f>
        <v>3</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99" t="s">
        <v>1444</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1407</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99" t="s">
        <v>1445</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1424</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8" t="s">
        <v>687</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9">
        <f>VLOOKUP($H$763,$AO$697:$AP$699,2,FALSE)</f>
        <v>2</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9" t="s">
        <v>1691</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1407</v>
      </c>
      <c r="AG769" s="2444"/>
      <c r="AH769" s="2444"/>
      <c r="AI769" s="2444"/>
      <c r="AJ769" s="2444"/>
      <c r="AK769" s="2444"/>
      <c r="AL769" s="2444"/>
      <c r="AM769" s="613"/>
      <c r="AN769" s="684"/>
      <c r="AO769" s="550" t="s">
        <v>591</v>
      </c>
      <c r="AP769" s="673">
        <v>0</v>
      </c>
    </row>
    <row r="770" spans="1:81" s="570" customFormat="1" ht="13.75"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8" t="s">
        <v>1696</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1351</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8" t="s">
        <v>591</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9">
        <f>VLOOKUP($H$779,$AO$769:$AP$771,2,FALSE)</f>
        <v>0</v>
      </c>
      <c r="AK781" s="2481"/>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9" t="s">
        <v>2031</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1351</v>
      </c>
      <c r="AG785" s="2444"/>
      <c r="AH785" s="2444"/>
      <c r="AI785" s="2444"/>
      <c r="AJ785" s="2444"/>
      <c r="AK785" s="2444"/>
      <c r="AL785" s="244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28" t="s">
        <v>591</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1567</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ht="13">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5" t="s">
        <v>1568</v>
      </c>
      <c r="U802" s="2576"/>
      <c r="V802" s="2576"/>
      <c r="W802" s="2576"/>
      <c r="X802" s="2576"/>
      <c r="Y802" s="2577"/>
      <c r="Z802" s="2575" t="s">
        <v>1569</v>
      </c>
      <c r="AA802" s="2576"/>
      <c r="AB802" s="2576"/>
      <c r="AC802" s="2576"/>
      <c r="AD802" s="2576"/>
      <c r="AE802" s="2577"/>
      <c r="AF802" s="2575" t="s">
        <v>1570</v>
      </c>
      <c r="AG802" s="2576"/>
      <c r="AH802" s="2576"/>
      <c r="AI802" s="2576"/>
      <c r="AJ802" s="2576"/>
      <c r="AK802" s="2577"/>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ht="13">
      <c r="A804" s="819" t="s">
        <v>757</v>
      </c>
      <c r="B804" s="2555" t="s">
        <v>1303</v>
      </c>
      <c r="C804" s="2555"/>
      <c r="D804" s="2555"/>
      <c r="E804" s="2555"/>
      <c r="F804" s="2555"/>
      <c r="G804" s="2555"/>
      <c r="H804" s="2555"/>
      <c r="I804" s="2555"/>
      <c r="J804" s="2555"/>
      <c r="K804" s="2555"/>
      <c r="L804" s="2555"/>
      <c r="M804" s="2555"/>
      <c r="N804" s="2555"/>
      <c r="O804" s="2555"/>
      <c r="P804" s="2555"/>
      <c r="Q804" s="2555"/>
      <c r="R804" s="2555"/>
      <c r="S804" s="2556"/>
      <c r="T804" s="2557">
        <f>AK62</f>
        <v>20</v>
      </c>
      <c r="U804" s="2558"/>
      <c r="V804" s="2558"/>
      <c r="W804" s="2558"/>
      <c r="X804" s="2558"/>
      <c r="Y804" s="2559"/>
      <c r="Z804" s="2560">
        <v>20</v>
      </c>
      <c r="AA804" s="2558"/>
      <c r="AB804" s="2558"/>
      <c r="AC804" s="2558"/>
      <c r="AD804" s="2558"/>
      <c r="AE804" s="2559"/>
      <c r="AF804" s="2541">
        <f>IF(T804&gt;Z804,Z804,T804)</f>
        <v>20</v>
      </c>
      <c r="AG804" s="2541"/>
      <c r="AH804" s="2541"/>
      <c r="AI804" s="2541"/>
      <c r="AJ804" s="2541"/>
      <c r="AK804" s="2541"/>
      <c r="AL804" s="818"/>
      <c r="AM804" s="596"/>
      <c r="AO804" s="816"/>
      <c r="AP804" s="816"/>
      <c r="AQ804" s="816"/>
    </row>
    <row r="805" spans="1:81" ht="13">
      <c r="A805" s="819" t="s">
        <v>1540</v>
      </c>
      <c r="B805" s="2555" t="s">
        <v>1312</v>
      </c>
      <c r="C805" s="2555"/>
      <c r="D805" s="2555"/>
      <c r="E805" s="2555"/>
      <c r="F805" s="2555"/>
      <c r="G805" s="2555"/>
      <c r="H805" s="2555"/>
      <c r="I805" s="2555"/>
      <c r="J805" s="2555"/>
      <c r="K805" s="2555"/>
      <c r="L805" s="2555"/>
      <c r="M805" s="2555"/>
      <c r="N805" s="2555"/>
      <c r="O805" s="2555"/>
      <c r="P805" s="2555"/>
      <c r="Q805" s="2555"/>
      <c r="R805" s="2555"/>
      <c r="S805" s="2556"/>
      <c r="T805" s="2557">
        <f>AK84</f>
        <v>0</v>
      </c>
      <c r="U805" s="2558"/>
      <c r="V805" s="2558"/>
      <c r="W805" s="2558"/>
      <c r="X805" s="2558"/>
      <c r="Y805" s="2559"/>
      <c r="Z805" s="2560">
        <v>10</v>
      </c>
      <c r="AA805" s="2558"/>
      <c r="AB805" s="2558"/>
      <c r="AC805" s="2558"/>
      <c r="AD805" s="2558"/>
      <c r="AE805" s="2559"/>
      <c r="AF805" s="2541">
        <f>IF(T805&gt;Z805,Z805,T805)</f>
        <v>0</v>
      </c>
      <c r="AG805" s="2541"/>
      <c r="AH805" s="2541"/>
      <c r="AI805" s="2541"/>
      <c r="AJ805" s="2541"/>
      <c r="AK805" s="2541"/>
      <c r="AL805" s="818"/>
      <c r="AM805" s="596"/>
      <c r="AO805" s="816"/>
      <c r="AP805" s="816"/>
      <c r="AQ805" s="816"/>
    </row>
    <row r="806" spans="1:81" ht="13">
      <c r="A806" s="819" t="s">
        <v>1549</v>
      </c>
      <c r="B806" s="2555" t="s">
        <v>1322</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ht="13">
      <c r="A807" s="819" t="s">
        <v>1571</v>
      </c>
      <c r="B807" s="2555" t="s">
        <v>1332</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ht="13">
      <c r="A808" s="820" t="s">
        <v>1572</v>
      </c>
      <c r="B808" s="2555" t="s">
        <v>1573</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ht="13">
      <c r="A809" s="535"/>
      <c r="B809" s="601"/>
      <c r="C809" s="2582" t="s">
        <v>1574</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ht="13">
      <c r="A810" s="600"/>
      <c r="B810" s="601"/>
      <c r="C810" s="2582" t="s">
        <v>1575</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ht="13">
      <c r="A811" s="820" t="s">
        <v>1360</v>
      </c>
      <c r="B811" s="2555" t="s">
        <v>1576</v>
      </c>
      <c r="C811" s="2555"/>
      <c r="D811" s="2555"/>
      <c r="E811" s="2555"/>
      <c r="F811" s="2555"/>
      <c r="G811" s="2555"/>
      <c r="H811" s="2555"/>
      <c r="I811" s="2555"/>
      <c r="J811" s="2555"/>
      <c r="K811" s="2555"/>
      <c r="L811" s="2555"/>
      <c r="M811" s="2555"/>
      <c r="N811" s="2555"/>
      <c r="O811" s="2555"/>
      <c r="P811" s="2555"/>
      <c r="Q811" s="2555"/>
      <c r="R811" s="2555"/>
      <c r="S811" s="2556"/>
      <c r="T811" s="2581">
        <f>AK191</f>
        <v>0</v>
      </c>
      <c r="U811" s="2581"/>
      <c r="V811" s="2581"/>
      <c r="W811" s="2581"/>
      <c r="X811" s="2581"/>
      <c r="Y811" s="2581"/>
      <c r="Z811" s="2541">
        <v>10</v>
      </c>
      <c r="AA811" s="2541"/>
      <c r="AB811" s="2541"/>
      <c r="AC811" s="2541"/>
      <c r="AD811" s="2541"/>
      <c r="AE811" s="2541"/>
      <c r="AF811" s="2541">
        <f>IF(T811&gt;Z811,Z811,T811)</f>
        <v>0</v>
      </c>
      <c r="AG811" s="2541"/>
      <c r="AH811" s="2541"/>
      <c r="AI811" s="2541"/>
      <c r="AJ811" s="2541"/>
      <c r="AK811" s="2541"/>
      <c r="AL811" s="818"/>
      <c r="AM811" s="596"/>
    </row>
    <row r="812" spans="1:81" ht="13">
      <c r="A812" s="819" t="s">
        <v>1369</v>
      </c>
      <c r="B812" s="2555" t="s">
        <v>1370</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t="13" hidden="1">
      <c r="A813" s="820" t="s">
        <v>589</v>
      </c>
      <c r="B813" s="2555" t="s">
        <v>1577</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55" t="s">
        <v>1578</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55" t="s">
        <v>1380</v>
      </c>
      <c r="C815" s="2555"/>
      <c r="D815" s="2555"/>
      <c r="E815" s="2555"/>
      <c r="F815" s="2555"/>
      <c r="G815" s="2555"/>
      <c r="H815" s="2555"/>
      <c r="I815" s="2555"/>
      <c r="J815" s="2555"/>
      <c r="K815" s="2555"/>
      <c r="L815" s="2555"/>
      <c r="M815" s="2555"/>
      <c r="N815" s="2555"/>
      <c r="O815" s="2555"/>
      <c r="P815" s="2555"/>
      <c r="Q815" s="2555"/>
      <c r="R815" s="2555"/>
      <c r="S815" s="2556"/>
      <c r="T815" s="2581">
        <f>AK338</f>
        <v>0</v>
      </c>
      <c r="U815" s="2581"/>
      <c r="V815" s="2581"/>
      <c r="W815" s="2581"/>
      <c r="X815" s="2581"/>
      <c r="Y815" s="2581"/>
      <c r="Z815" s="2587">
        <v>10</v>
      </c>
      <c r="AA815" s="2588"/>
      <c r="AB815" s="2588"/>
      <c r="AC815" s="2588"/>
      <c r="AD815" s="2588"/>
      <c r="AE815" s="2589"/>
      <c r="AF815" s="2587">
        <f>IF(T815&gt;Z815,Z815,T815)</f>
        <v>0</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4">
        <f>AK338</f>
        <v>0</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55" t="s">
        <v>845</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55" t="s">
        <v>1558</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555" t="s">
        <v>1580</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5" t="s">
        <v>1581</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1582</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0" t="s">
        <v>1583</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110</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3482f8a1327742e19a7388ac1a41ef1f">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015445ec46049fdd05a9b74b7838eb9a"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Props1.xml><?xml version="1.0" encoding="utf-8"?>
<ds:datastoreItem xmlns:ds="http://schemas.openxmlformats.org/officeDocument/2006/customXml" ds:itemID="{EF1FA3AE-965D-4173-AEBB-9CD17B8EBBB9}">
  <ds:schemaRefs>
    <ds:schemaRef ds:uri="http://schemas.microsoft.com/sharepoint/v3/contenttype/forms"/>
  </ds:schemaRefs>
</ds:datastoreItem>
</file>

<file path=customXml/itemProps2.xml><?xml version="1.0" encoding="utf-8"?>
<ds:datastoreItem xmlns:ds="http://schemas.openxmlformats.org/officeDocument/2006/customXml" ds:itemID="{09D9C148-2B51-405B-8271-8CB37EFC9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571A17-723B-45C1-BBF3-CCA980719282}">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Natasha Shatzkin</cp:lastModifiedBy>
  <cp:lastPrinted>2025-09-05T03:39:30Z</cp:lastPrinted>
  <dcterms:created xsi:type="dcterms:W3CDTF">2007-12-27T18:26:28Z</dcterms:created>
  <dcterms:modified xsi:type="dcterms:W3CDTF">2025-09-05T06:25:05Z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