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Ave J &amp; 25th - Lancaster, CA/05. Financing/Bonds &amp; TC App/Draft 9.9.25/"/>
    </mc:Choice>
  </mc:AlternateContent>
  <xr:revisionPtr revIDLastSave="1" documentId="8_{655EA881-5EDD-48C6-8744-5535C4EB602F}" xr6:coauthVersionLast="47" xr6:coauthVersionMax="47" xr10:uidLastSave="{B2D2E647-8630-4D9D-A08E-B8ECCBD2D059}"/>
  <bookViews>
    <workbookView xWindow="-11025" yWindow="-16320" windowWidth="29040" windowHeight="1572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autoNoTable"/>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W560" i="3" l="1"/>
  <c r="Q632" i="3" l="1"/>
  <c r="Q560" i="3" s="1"/>
  <c r="A41" i="7" l="1"/>
  <c r="E93" i="4"/>
  <c r="E48" i="4"/>
  <c r="AG443" i="3" l="1"/>
  <c r="E49" i="4" l="1"/>
  <c r="E92" i="4" l="1"/>
  <c r="E65" i="4"/>
  <c r="E60" i="4"/>
  <c r="E43" i="4"/>
  <c r="E91" i="4"/>
  <c r="E90" i="4"/>
  <c r="E84" i="4"/>
  <c r="E41" i="4"/>
  <c r="E4" i="4" l="1"/>
  <c r="AD67" i="15" l="1"/>
  <c r="Y67" i="15"/>
  <c r="BE103" i="3" l="1"/>
  <c r="AC216" i="23"/>
  <c r="Y216" i="23"/>
  <c r="U216" i="23"/>
  <c r="BQ102" i="23"/>
  <c r="BQ101" i="23"/>
  <c r="N11" i="23"/>
  <c r="W86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G70" i="21"/>
  <c r="G76" i="21" s="1"/>
  <c r="S47" i="21" l="1"/>
  <c r="U45" i="21"/>
  <c r="T45" i="21"/>
  <c r="R53" i="21" a="1"/>
  <c r="R53" i="21" s="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BE18" i="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J28" i="23" l="1"/>
  <c r="O105" i="23"/>
  <c r="R93" i="23"/>
  <c r="R80" i="23"/>
  <c r="AZ1052" i="3"/>
  <c r="BH247" i="3" l="1"/>
  <c r="I14" i="21"/>
  <c r="G137" i="21"/>
  <c r="G86" i="21"/>
  <c r="B82" i="21"/>
  <c r="B67" i="21"/>
  <c r="B92" i="21"/>
  <c r="B58" i="21"/>
  <c r="B49" i="21"/>
  <c r="C5" i="7" l="1"/>
  <c r="G37" i="21"/>
  <c r="P18" i="21"/>
  <c r="C39" i="21" l="1"/>
  <c r="G136" i="21"/>
  <c r="I17" i="21" s="1"/>
  <c r="AO22" i="20"/>
  <c r="AO17" i="20"/>
  <c r="AO13" i="20"/>
  <c r="AO25" i="20"/>
  <c r="BN150" i="3" l="1"/>
  <c r="C178" i="20" l="1"/>
  <c r="U374" i="20"/>
  <c r="L100" i="21"/>
  <c r="X752" i="3" l="1"/>
  <c r="AH752" i="3"/>
  <c r="BF751" i="3"/>
  <c r="BS751" i="3"/>
  <c r="BS752" i="3"/>
  <c r="AJ1020" i="3"/>
  <c r="BF740" i="3" l="1"/>
  <c r="AH751" i="3"/>
  <c r="AH742" i="3"/>
  <c r="AY1027" i="3"/>
  <c r="AX689" i="20" l="1"/>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1" i="7"/>
  <c r="E30" i="7"/>
  <c r="E29" i="7"/>
  <c r="E26" i="7"/>
  <c r="E18" i="7"/>
  <c r="G18" i="7" s="1"/>
  <c r="I18" i="7" s="1"/>
  <c r="K18" i="7" s="1"/>
  <c r="M18" i="7" s="1"/>
  <c r="O18" i="7" s="1"/>
  <c r="Q18" i="7" s="1"/>
  <c r="S18" i="7" s="1"/>
  <c r="U18" i="7" s="1"/>
  <c r="W18" i="7" s="1"/>
  <c r="Y18" i="7" s="1"/>
  <c r="AA18" i="7" s="1"/>
  <c r="AC18" i="7" s="1"/>
  <c r="AE18" i="7" s="1"/>
  <c r="AG1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G720" i="3"/>
  <c r="CI720" i="3" s="1"/>
  <c r="CG721" i="3"/>
  <c r="CI721" i="3" s="1"/>
  <c r="CG722" i="3"/>
  <c r="CG723" i="3"/>
  <c r="CI723" i="3" s="1"/>
  <c r="CG724" i="3"/>
  <c r="CI724" i="3" s="1"/>
  <c r="CG725" i="3"/>
  <c r="CG726" i="3"/>
  <c r="CI726" i="3" s="1"/>
  <c r="CG727" i="3"/>
  <c r="CI727" i="3" s="1"/>
  <c r="CG728" i="3"/>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K721" i="3"/>
  <c r="CM721" i="3" s="1"/>
  <c r="CK722" i="3"/>
  <c r="CM722" i="3" s="1"/>
  <c r="CK723" i="3"/>
  <c r="CK724" i="3"/>
  <c r="CM724" i="3" s="1"/>
  <c r="CK725" i="3"/>
  <c r="CM725" i="3" s="1"/>
  <c r="CK726" i="3"/>
  <c r="CK727" i="3"/>
  <c r="CM727" i="3" s="1"/>
  <c r="CK728" i="3"/>
  <c r="CM728" i="3" s="1"/>
  <c r="CK729" i="3"/>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O797" i="3"/>
  <c r="O777" i="3"/>
  <c r="AP95" i="20"/>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E88" i="21"/>
  <c r="E79" i="21"/>
  <c r="B35" i="21"/>
  <c r="B20" i="21"/>
  <c r="AK285" i="20"/>
  <c r="T814" i="20" s="1"/>
  <c r="AF814" i="20" s="1"/>
  <c r="BE78" i="3" s="1"/>
  <c r="B24" i="4"/>
  <c r="R36" i="4"/>
  <c r="B36" i="4"/>
  <c r="B66" i="4"/>
  <c r="B67" i="4"/>
  <c r="B68" i="4"/>
  <c r="B69" i="4"/>
  <c r="R66" i="4"/>
  <c r="R67" i="4"/>
  <c r="R68" i="4"/>
  <c r="A104" i="11"/>
  <c r="C101" i="11"/>
  <c r="C102" i="11"/>
  <c r="C104" i="11"/>
  <c r="B101" i="11"/>
  <c r="B102" i="11"/>
  <c r="B104" i="11"/>
  <c r="C85" i="11"/>
  <c r="C88" i="11"/>
  <c r="C91" i="11"/>
  <c r="C92" i="11"/>
  <c r="C93" i="11"/>
  <c r="C94" i="11"/>
  <c r="C95" i="11"/>
  <c r="C96" i="11"/>
  <c r="B85" i="11"/>
  <c r="B88" i="11"/>
  <c r="B91" i="11"/>
  <c r="B92" i="11"/>
  <c r="B93" i="11"/>
  <c r="B94" i="11"/>
  <c r="B95" i="11"/>
  <c r="B96" i="11"/>
  <c r="A70" i="11"/>
  <c r="C67" i="11"/>
  <c r="C68" i="11"/>
  <c r="C69" i="11"/>
  <c r="C70" i="11"/>
  <c r="B67" i="11"/>
  <c r="B68" i="11"/>
  <c r="B69" i="11"/>
  <c r="B70" i="11"/>
  <c r="A62" i="11"/>
  <c r="A54" i="11"/>
  <c r="A38" i="11"/>
  <c r="A26" i="11"/>
  <c r="C35" i="11"/>
  <c r="C37" i="11"/>
  <c r="B35" i="11"/>
  <c r="B37" i="11"/>
  <c r="C24" i="11"/>
  <c r="C25" i="11"/>
  <c r="C26" i="11"/>
  <c r="B25" i="11"/>
  <c r="B26" i="11"/>
  <c r="D70" i="4"/>
  <c r="C70" i="4"/>
  <c r="B70" i="13" s="1"/>
  <c r="C54" i="11"/>
  <c r="B54" i="11"/>
  <c r="AU121" i="20"/>
  <c r="AU120" i="20"/>
  <c r="AU119" i="20"/>
  <c r="AU118" i="20"/>
  <c r="AU117" i="20"/>
  <c r="AU116" i="20"/>
  <c r="H100" i="13"/>
  <c r="H101" i="13"/>
  <c r="H102" i="13"/>
  <c r="H103" i="13"/>
  <c r="E100" i="13"/>
  <c r="E101" i="13"/>
  <c r="E103" i="13"/>
  <c r="B100" i="13"/>
  <c r="B101"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30" i="3"/>
  <c r="BS731" i="3"/>
  <c r="BS732" i="3"/>
  <c r="BS733" i="3"/>
  <c r="BS734" i="3"/>
  <c r="BS735" i="3"/>
  <c r="BS736" i="3"/>
  <c r="BS737" i="3"/>
  <c r="BS738" i="3"/>
  <c r="BS739" i="3"/>
  <c r="BS740" i="3"/>
  <c r="BS741"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1"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T81" i="4"/>
  <c r="H81" i="13" s="1"/>
  <c r="B80" i="4"/>
  <c r="A76" i="13"/>
  <c r="A61" i="13"/>
  <c r="A37" i="13"/>
  <c r="A25" i="13"/>
  <c r="A103" i="13"/>
  <c r="A95" i="13"/>
  <c r="A94" i="13"/>
  <c r="A93" i="13"/>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65" i="13"/>
  <c r="E53" i="13"/>
  <c r="E52" i="13"/>
  <c r="E51" i="13"/>
  <c r="E50" i="13"/>
  <c r="E49" i="13"/>
  <c r="E48" i="13"/>
  <c r="E47" i="13"/>
  <c r="E41" i="13"/>
  <c r="E34" i="13"/>
  <c r="E29" i="13"/>
  <c r="E27" i="13"/>
  <c r="E25" i="13"/>
  <c r="E23" i="13"/>
  <c r="E22" i="13"/>
  <c r="E21" i="13"/>
  <c r="E20" i="13"/>
  <c r="E19" i="13"/>
  <c r="E18" i="13"/>
  <c r="E17" i="13"/>
  <c r="E15" i="13"/>
  <c r="E14" i="13"/>
  <c r="E13" i="13"/>
  <c r="E10" i="13"/>
  <c r="B95" i="13"/>
  <c r="B94" i="13"/>
  <c r="B93" i="13"/>
  <c r="B92" i="13"/>
  <c r="B91" i="13"/>
  <c r="B90" i="13"/>
  <c r="B87" i="13"/>
  <c r="B84" i="13"/>
  <c r="B76" i="13"/>
  <c r="B74" i="13"/>
  <c r="B73" i="13"/>
  <c r="B65" i="13"/>
  <c r="B61" i="13"/>
  <c r="B60" i="13"/>
  <c r="B59" i="13"/>
  <c r="B57" i="13"/>
  <c r="B53" i="13"/>
  <c r="B52" i="13"/>
  <c r="B51" i="13"/>
  <c r="B50" i="13"/>
  <c r="B49" i="13"/>
  <c r="B48" i="13"/>
  <c r="B47" i="13"/>
  <c r="B43" i="13"/>
  <c r="B41" i="13"/>
  <c r="B34"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1" i="4"/>
  <c r="R95" i="4"/>
  <c r="R94" i="4"/>
  <c r="R93" i="4"/>
  <c r="R92" i="4"/>
  <c r="R90" i="4"/>
  <c r="R87" i="4"/>
  <c r="R76" i="4"/>
  <c r="R73" i="4"/>
  <c r="R74" i="4"/>
  <c r="R69" i="4"/>
  <c r="R65" i="4"/>
  <c r="R61" i="4"/>
  <c r="R60" i="4"/>
  <c r="R59" i="4"/>
  <c r="R57" i="4"/>
  <c r="R53" i="4"/>
  <c r="R52" i="4"/>
  <c r="R51" i="4"/>
  <c r="R50" i="4"/>
  <c r="R49" i="4"/>
  <c r="R48" i="4"/>
  <c r="R47" i="4"/>
  <c r="R43" i="4"/>
  <c r="R41" i="4"/>
  <c r="R34"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42" i="11"/>
  <c r="B42" i="11"/>
  <c r="B44" i="11"/>
  <c r="C44" i="11"/>
  <c r="B48" i="11"/>
  <c r="B49" i="11"/>
  <c r="B50" i="11"/>
  <c r="B51" i="11"/>
  <c r="B52" i="11"/>
  <c r="B53" i="11"/>
  <c r="C48" i="11"/>
  <c r="C49" i="11"/>
  <c r="C50" i="11"/>
  <c r="C51" i="11"/>
  <c r="C52" i="11"/>
  <c r="C53" i="11"/>
  <c r="B58" i="11"/>
  <c r="C58" i="11"/>
  <c r="B60" i="11"/>
  <c r="C60" i="11"/>
  <c r="B61" i="11"/>
  <c r="C61" i="11"/>
  <c r="B62" i="11"/>
  <c r="C62" i="11"/>
  <c r="B66" i="11"/>
  <c r="C66"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L38" i="4"/>
  <c r="O38" i="4"/>
  <c r="P38" i="4"/>
  <c r="P42" i="4"/>
  <c r="P54" i="4"/>
  <c r="P62" i="4"/>
  <c r="P70" i="4"/>
  <c r="P77" i="4"/>
  <c r="P96" i="4"/>
  <c r="P104" i="4"/>
  <c r="Q38" i="4"/>
  <c r="B41" i="4"/>
  <c r="G42" i="4"/>
  <c r="H42" i="4"/>
  <c r="K42" i="4"/>
  <c r="L42" i="4"/>
  <c r="O42" i="4"/>
  <c r="Q42" i="4"/>
  <c r="B43" i="4"/>
  <c r="B47" i="4"/>
  <c r="B48" i="4"/>
  <c r="B49" i="4"/>
  <c r="B50" i="4"/>
  <c r="B51" i="4"/>
  <c r="B52" i="4"/>
  <c r="B53" i="4"/>
  <c r="G54" i="4"/>
  <c r="H54" i="4"/>
  <c r="K54" i="4"/>
  <c r="L54" i="4"/>
  <c r="O54" i="4"/>
  <c r="Q54" i="4"/>
  <c r="B57" i="4"/>
  <c r="B60" i="4"/>
  <c r="B61" i="4"/>
  <c r="G62" i="4"/>
  <c r="H62" i="4"/>
  <c r="K62" i="4"/>
  <c r="L62" i="4"/>
  <c r="O62" i="4"/>
  <c r="O70" i="4"/>
  <c r="O77" i="4"/>
  <c r="O96" i="4"/>
  <c r="O104" i="4"/>
  <c r="Q62" i="4"/>
  <c r="B65" i="4"/>
  <c r="E70" i="4"/>
  <c r="F70" i="4"/>
  <c r="G70" i="4"/>
  <c r="H70" i="4"/>
  <c r="I70" i="4"/>
  <c r="K70" i="4"/>
  <c r="L70" i="4"/>
  <c r="Q70" i="4"/>
  <c r="B73" i="4"/>
  <c r="B74" i="4"/>
  <c r="B76" i="4"/>
  <c r="F77" i="4"/>
  <c r="G77" i="4"/>
  <c r="H77" i="4"/>
  <c r="I77" i="4"/>
  <c r="K77" i="4"/>
  <c r="L77" i="4"/>
  <c r="Q77" i="4"/>
  <c r="B84" i="4"/>
  <c r="B87" i="4"/>
  <c r="B90" i="4"/>
  <c r="B91" i="4"/>
  <c r="B92" i="4"/>
  <c r="B93" i="4"/>
  <c r="B94" i="4"/>
  <c r="B95" i="4"/>
  <c r="F96" i="4"/>
  <c r="G96" i="4"/>
  <c r="H96" i="4"/>
  <c r="I96" i="4"/>
  <c r="L96" i="4"/>
  <c r="Q96" i="4"/>
  <c r="B101" i="4"/>
  <c r="B103" i="4"/>
  <c r="F104" i="4"/>
  <c r="G104" i="4"/>
  <c r="H104" i="4"/>
  <c r="K104" i="4"/>
  <c r="L104" i="4"/>
  <c r="Q104"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EE720" i="3"/>
  <c r="EJ720" i="3"/>
  <c r="EO720" i="3"/>
  <c r="ET720" i="3"/>
  <c r="DU721" i="3"/>
  <c r="DZ721" i="3"/>
  <c r="EE721" i="3"/>
  <c r="EJ721" i="3"/>
  <c r="EO721" i="3"/>
  <c r="ET721" i="3"/>
  <c r="DU722" i="3"/>
  <c r="DZ722" i="3"/>
  <c r="EE722" i="3"/>
  <c r="EJ722" i="3"/>
  <c r="EO722" i="3"/>
  <c r="ET722" i="3"/>
  <c r="DU723" i="3"/>
  <c r="DZ723" i="3"/>
  <c r="EJ723" i="3"/>
  <c r="EO723" i="3"/>
  <c r="ET723" i="3"/>
  <c r="G609" i="3"/>
  <c r="Z609" i="3"/>
  <c r="DU724" i="3"/>
  <c r="DZ724" i="3"/>
  <c r="EE724" i="3"/>
  <c r="EJ724" i="3"/>
  <c r="EO724" i="3"/>
  <c r="ET724" i="3"/>
  <c r="DU725" i="3"/>
  <c r="DZ725" i="3"/>
  <c r="EE725" i="3"/>
  <c r="EJ725" i="3"/>
  <c r="EO725" i="3"/>
  <c r="ET725" i="3"/>
  <c r="DU726" i="3"/>
  <c r="DZ726" i="3"/>
  <c r="EE726" i="3"/>
  <c r="EO726" i="3"/>
  <c r="ET726" i="3"/>
  <c r="DU727" i="3"/>
  <c r="DZ727" i="3"/>
  <c r="EE727" i="3"/>
  <c r="EJ727" i="3"/>
  <c r="EO727" i="3"/>
  <c r="ET727" i="3"/>
  <c r="DU728" i="3"/>
  <c r="DZ728" i="3"/>
  <c r="EE728" i="3"/>
  <c r="EJ728" i="3"/>
  <c r="EO728" i="3"/>
  <c r="ET728" i="3"/>
  <c r="DU729" i="3"/>
  <c r="DZ729" i="3"/>
  <c r="EE729" i="3"/>
  <c r="EJ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X719" i="3"/>
  <c r="X720" i="3"/>
  <c r="X721" i="3"/>
  <c r="X722" i="3"/>
  <c r="X723" i="3"/>
  <c r="X724" i="3"/>
  <c r="X730" i="3"/>
  <c r="AH730" i="3" s="1"/>
  <c r="X731" i="3"/>
  <c r="AH731" i="3" s="1"/>
  <c r="X732" i="3"/>
  <c r="X733" i="3"/>
  <c r="X734" i="3"/>
  <c r="X735" i="3"/>
  <c r="X736" i="3"/>
  <c r="X737" i="3"/>
  <c r="X738" i="3"/>
  <c r="X739" i="3"/>
  <c r="X740" i="3"/>
  <c r="X741" i="3"/>
  <c r="M832" i="3"/>
  <c r="Q832" i="3"/>
  <c r="U832" i="3"/>
  <c r="Y832" i="3"/>
  <c r="AC832" i="3"/>
  <c r="AG832" i="3"/>
  <c r="Z902" i="3"/>
  <c r="BE23" i="3" l="1"/>
  <c r="B26" i="4"/>
  <c r="D35" i="11"/>
  <c r="AO18" i="20"/>
  <c r="D94" i="11"/>
  <c r="D6" i="11"/>
  <c r="D25" i="11"/>
  <c r="D91" i="11"/>
  <c r="D54" i="11"/>
  <c r="D70" i="11"/>
  <c r="D93" i="11"/>
  <c r="D85" i="11"/>
  <c r="D101" i="11"/>
  <c r="D92" i="11"/>
  <c r="D96" i="11"/>
  <c r="D88" i="11"/>
  <c r="D104" i="11"/>
  <c r="B8" i="4"/>
  <c r="N189" i="23" s="1"/>
  <c r="D95" i="11"/>
  <c r="C12" i="4"/>
  <c r="B12" i="13" s="1"/>
  <c r="D75" i="11"/>
  <c r="D62" i="11"/>
  <c r="D58" i="11"/>
  <c r="L12" i="4"/>
  <c r="H12" i="4"/>
  <c r="D51" i="11"/>
  <c r="D49" i="11"/>
  <c r="D48" i="11"/>
  <c r="D20" i="11"/>
  <c r="D15" i="11"/>
  <c r="D8" i="11"/>
  <c r="D12" i="13"/>
  <c r="D74" i="11"/>
  <c r="C12" i="13"/>
  <c r="D77" i="11"/>
  <c r="D53" i="11"/>
  <c r="D50" i="11"/>
  <c r="D21" i="11"/>
  <c r="D16" i="11"/>
  <c r="B12" i="11"/>
  <c r="D5" i="11"/>
  <c r="D66" i="11"/>
  <c r="D42" i="11"/>
  <c r="D28" i="11"/>
  <c r="N63" i="4"/>
  <c r="N97" i="4" s="1"/>
  <c r="N105" i="4" s="1"/>
  <c r="E12" i="4"/>
  <c r="D12" i="4"/>
  <c r="F12" i="4"/>
  <c r="D11" i="11"/>
  <c r="F63" i="13"/>
  <c r="F97" i="13" s="1"/>
  <c r="F105" i="13" s="1"/>
  <c r="F107" i="13" s="1"/>
  <c r="D24" i="11"/>
  <c r="B71" i="11"/>
  <c r="O12" i="4"/>
  <c r="D10" i="11"/>
  <c r="Q12" i="4"/>
  <c r="K12" i="4"/>
  <c r="D61" i="11"/>
  <c r="B9" i="11"/>
  <c r="J12" i="4"/>
  <c r="D30" i="11"/>
  <c r="D22" i="11"/>
  <c r="O63" i="4"/>
  <c r="O97" i="4" s="1"/>
  <c r="O105" i="4" s="1"/>
  <c r="M63" i="4"/>
  <c r="M97" i="4" s="1"/>
  <c r="M105" i="4" s="1"/>
  <c r="N12" i="4"/>
  <c r="I12" i="4"/>
  <c r="B70" i="4"/>
  <c r="D102" i="11"/>
  <c r="P63" i="4"/>
  <c r="P97" i="4" s="1"/>
  <c r="P105" i="4" s="1"/>
  <c r="I63" i="13"/>
  <c r="I97" i="13" s="1"/>
  <c r="I105" i="13" s="1"/>
  <c r="I107" i="13" s="1"/>
  <c r="C63" i="13"/>
  <c r="C97" i="13" s="1"/>
  <c r="C105" i="13" s="1"/>
  <c r="C71" i="11"/>
  <c r="R70" i="4"/>
  <c r="R11" i="4"/>
  <c r="G58" i="7"/>
  <c r="I63" i="4"/>
  <c r="I97" i="4" s="1"/>
  <c r="L63" i="4"/>
  <c r="L97" i="4" s="1"/>
  <c r="L105" i="4" s="1"/>
  <c r="D52" i="11"/>
  <c r="D44" i="11"/>
  <c r="D18" i="11"/>
  <c r="C12" i="11"/>
  <c r="J63" i="4"/>
  <c r="Q63" i="4"/>
  <c r="Q97" i="4" s="1"/>
  <c r="Q105" i="4" s="1"/>
  <c r="B11" i="4"/>
  <c r="J63" i="13"/>
  <c r="J97" i="13" s="1"/>
  <c r="J105" i="13" s="1"/>
  <c r="J107" i="13" s="1"/>
  <c r="D81" i="11"/>
  <c r="D60" i="11"/>
  <c r="M12" i="4"/>
  <c r="D63" i="4"/>
  <c r="D97" i="4" s="1"/>
  <c r="D105" i="4" s="1"/>
  <c r="BE68" i="3" s="1"/>
  <c r="R26" i="4"/>
  <c r="D63" i="13"/>
  <c r="D97" i="13" s="1"/>
  <c r="D105" i="13" s="1"/>
  <c r="D23" i="11"/>
  <c r="D19" i="11"/>
  <c r="D14" i="11"/>
  <c r="D7" i="11"/>
  <c r="R8" i="4"/>
  <c r="G63" i="13"/>
  <c r="G97" i="13" s="1"/>
  <c r="G105" i="13" s="1"/>
  <c r="G107" i="13" s="1"/>
  <c r="M53" i="7"/>
  <c r="K58" i="7"/>
  <c r="C27" i="11"/>
  <c r="I58" i="7"/>
  <c r="C9" i="11"/>
  <c r="T63" i="4"/>
  <c r="BG243" i="3"/>
  <c r="BO245" i="3" s="1"/>
  <c r="T267" i="3" s="1"/>
  <c r="J7" i="8"/>
  <c r="J40" i="8" s="1"/>
  <c r="Z809" i="3" s="1"/>
  <c r="S38" i="21"/>
  <c r="S37" i="21"/>
  <c r="S36" i="21"/>
  <c r="S43" i="21"/>
  <c r="S35" i="21"/>
  <c r="S42" i="21"/>
  <c r="S34" i="21"/>
  <c r="S41" i="21"/>
  <c r="U33" i="21"/>
  <c r="S40" i="21"/>
  <c r="U32" i="21"/>
  <c r="S39" i="21"/>
  <c r="U37" i="21"/>
  <c r="U36" i="21"/>
  <c r="T43" i="21"/>
  <c r="U43" i="21"/>
  <c r="T35" i="21"/>
  <c r="U35" i="21"/>
  <c r="U38" i="21"/>
  <c r="R42" i="21" a="1"/>
  <c r="R42" i="21" s="1"/>
  <c r="U42" i="21"/>
  <c r="T34" i="21"/>
  <c r="U34" i="21"/>
  <c r="R41" i="21" a="1"/>
  <c r="R41" i="21" s="1"/>
  <c r="U41" i="21"/>
  <c r="T40" i="21"/>
  <c r="U40" i="21"/>
  <c r="T39" i="21"/>
  <c r="U39" i="21"/>
  <c r="AO23" i="20"/>
  <c r="AF1017" i="3"/>
  <c r="C9" i="7"/>
  <c r="C7" i="7"/>
  <c r="G12" i="4"/>
  <c r="G99" i="21"/>
  <c r="AA29" i="7"/>
  <c r="O29"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AJ1016" i="3"/>
  <c r="AJ1036" i="3"/>
  <c r="I15" i="21" s="1"/>
  <c r="AB234" i="20"/>
  <c r="AB250" i="20" s="1"/>
  <c r="AB252" i="20" s="1"/>
  <c r="AB254" i="20" s="1"/>
  <c r="AB260" i="20" s="1"/>
  <c r="AD209" i="20" s="1"/>
  <c r="AO71" i="20"/>
  <c r="AP375" i="20"/>
  <c r="AQ375" i="20" s="1"/>
  <c r="AK535" i="20"/>
  <c r="T813" i="20" s="1"/>
  <c r="AF813" i="20" s="1"/>
  <c r="Y7" i="15"/>
  <c r="AI7" i="15"/>
  <c r="EZ718" i="3"/>
  <c r="CP753" i="3"/>
  <c r="DX669" i="3" s="1"/>
  <c r="DU753" i="3"/>
  <c r="AG29" i="7"/>
  <c r="K29" i="7"/>
  <c r="S29" i="7"/>
  <c r="AK183" i="20"/>
  <c r="AP366" i="20"/>
  <c r="AQ366" i="20" s="1"/>
  <c r="T816" i="20"/>
  <c r="T808" i="20"/>
  <c r="AF808" i="20" s="1"/>
  <c r="BE75" i="3"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ET753" i="3"/>
  <c r="B27" i="11"/>
  <c r="D26" i="11"/>
  <c r="T7" i="15"/>
  <c r="AC29" i="7"/>
  <c r="M29" i="7"/>
  <c r="G29" i="7"/>
  <c r="Q29" i="7"/>
  <c r="AE29" i="7"/>
  <c r="P36" i="21" a="1"/>
  <c r="P36" i="21" s="1"/>
  <c r="W29" i="7"/>
  <c r="P40" i="21" a="1"/>
  <c r="P40" i="21" s="1"/>
  <c r="U29" i="7"/>
  <c r="T36" i="21"/>
  <c r="T42" i="21"/>
  <c r="AD68" i="15"/>
  <c r="CU777" i="3"/>
  <c r="CY778" i="3" s="1"/>
  <c r="T33" i="21"/>
  <c r="DO777" i="3"/>
  <c r="DS778" i="3" s="1"/>
  <c r="CZ777" i="3"/>
  <c r="DD778" i="3" s="1"/>
  <c r="DE777" i="3"/>
  <c r="DI778" i="3" s="1"/>
  <c r="R39" i="21" a="1"/>
  <c r="R39" i="21" s="1"/>
  <c r="DJ777" i="3"/>
  <c r="DN778" i="3" s="1"/>
  <c r="DO797" i="3"/>
  <c r="DS798" i="3" s="1"/>
  <c r="AC797" i="3"/>
  <c r="DZ797" i="3"/>
  <c r="R35" i="21" a="1"/>
  <c r="R35" i="21" s="1"/>
  <c r="R43" i="21" a="1"/>
  <c r="R43" i="21" s="1"/>
  <c r="R988" i="3"/>
  <c r="R987" i="3"/>
  <c r="R986" i="3"/>
  <c r="AC777" i="3"/>
  <c r="T41" i="21"/>
  <c r="R40" i="21" a="1"/>
  <c r="R40" i="21" s="1"/>
  <c r="P34" i="21" a="1"/>
  <c r="P34" i="21" s="1"/>
  <c r="P41" i="21" a="1"/>
  <c r="P41" i="21" s="1"/>
  <c r="R34" i="21" a="1"/>
  <c r="R34" i="21" s="1"/>
  <c r="CP777" i="3"/>
  <c r="CT778" i="3" s="1"/>
  <c r="P35" i="21" a="1"/>
  <c r="P35" i="21" s="1"/>
  <c r="R990" i="3"/>
  <c r="CZ797" i="3"/>
  <c r="DD798" i="3" s="1"/>
  <c r="EE794" i="3"/>
  <c r="EE797" i="3" s="1"/>
  <c r="R32" i="21" a="1"/>
  <c r="R32" i="21" s="1"/>
  <c r="T32" i="21"/>
  <c r="CU797" i="3"/>
  <c r="CY798" i="3" s="1"/>
  <c r="R37" i="21" a="1"/>
  <c r="R37" i="21" s="1"/>
  <c r="P37" i="21" a="1"/>
  <c r="P37" i="21" s="1"/>
  <c r="T37" i="21"/>
  <c r="DO753" i="3"/>
  <c r="AX693" i="20" s="1"/>
  <c r="ET797" i="3"/>
  <c r="DJ797" i="3"/>
  <c r="DN798" i="3" s="1"/>
  <c r="EO787" i="3"/>
  <c r="EO797" i="3" s="1"/>
  <c r="EJ797" i="3"/>
  <c r="DE797" i="3"/>
  <c r="DI798" i="3" s="1"/>
  <c r="DU790" i="3"/>
  <c r="DU797" i="3" s="1"/>
  <c r="CP797" i="3"/>
  <c r="P39" i="21" a="1"/>
  <c r="P39" i="21" s="1"/>
  <c r="R36" i="21" a="1"/>
  <c r="R36" i="21" s="1"/>
  <c r="T38" i="21"/>
  <c r="P38" i="21" a="1"/>
  <c r="P38" i="21" s="1"/>
  <c r="R38" i="21" a="1"/>
  <c r="R38" i="21" s="1"/>
  <c r="P42" i="21" a="1"/>
  <c r="P42" i="21" s="1"/>
  <c r="R33" i="21" a="1"/>
  <c r="R33" i="21" s="1"/>
  <c r="E24" i="21"/>
  <c r="F24" i="21" s="1"/>
  <c r="D71" i="11" l="1"/>
  <c r="B12" i="4"/>
  <c r="R12" i="4"/>
  <c r="D12" i="11"/>
  <c r="B13" i="11"/>
  <c r="D27" i="11"/>
  <c r="T97" i="4"/>
  <c r="H63" i="13"/>
  <c r="AO39" i="20"/>
  <c r="AK62" i="20" s="1"/>
  <c r="T804" i="20" s="1"/>
  <c r="AF804" i="20" s="1"/>
  <c r="BE71" i="3" s="1"/>
  <c r="D9" i="11"/>
  <c r="C13" i="11"/>
  <c r="O53" i="7"/>
  <c r="M58" i="7"/>
  <c r="AO42" i="20"/>
  <c r="AS360" i="20"/>
  <c r="G130" i="21"/>
  <c r="G132" i="21" s="1"/>
  <c r="I16" i="21" s="1"/>
  <c r="DX635" i="3"/>
  <c r="AS362" i="20"/>
  <c r="AS358" i="20" s="1"/>
  <c r="AK469" i="20" s="1"/>
  <c r="T817" i="20" s="1"/>
  <c r="AF817" i="20" s="1"/>
  <c r="BE80" i="3" s="1"/>
  <c r="DX661" i="3"/>
  <c r="CT755" i="3"/>
  <c r="CP802" i="3"/>
  <c r="AB986" i="3" s="1"/>
  <c r="DX660" i="3"/>
  <c r="DX664" i="3"/>
  <c r="DX666" i="3"/>
  <c r="DX665" i="3"/>
  <c r="DX662" i="3"/>
  <c r="DX658" i="3"/>
  <c r="DX663" i="3"/>
  <c r="DX667" i="3"/>
  <c r="DX659" i="3"/>
  <c r="AI11" i="15"/>
  <c r="Y11" i="15"/>
  <c r="EW643" i="3"/>
  <c r="EW658" i="3"/>
  <c r="EW666" i="3"/>
  <c r="EW663" i="3"/>
  <c r="EW660" i="3"/>
  <c r="EW667" i="3"/>
  <c r="EW665" i="3"/>
  <c r="EW659" i="3"/>
  <c r="EW664" i="3"/>
  <c r="EW662" i="3"/>
  <c r="EW661" i="3"/>
  <c r="DX668" i="3"/>
  <c r="DX639" i="3"/>
  <c r="DX636" i="3"/>
  <c r="DX653" i="3"/>
  <c r="DX657" i="3"/>
  <c r="T815" i="20"/>
  <c r="AF815" i="20" s="1"/>
  <c r="BE79" i="3" s="1"/>
  <c r="DX646" i="3"/>
  <c r="DU778" i="3"/>
  <c r="DU777"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X649" i="3"/>
  <c r="DX640" i="3"/>
  <c r="DX642" i="3"/>
  <c r="DX641" i="3"/>
  <c r="DX656" i="3"/>
  <c r="DX652" i="3"/>
  <c r="DX647" i="3"/>
  <c r="DX655" i="3"/>
  <c r="DX644" i="3"/>
  <c r="DX654" i="3"/>
  <c r="DX648" i="3"/>
  <c r="DX651" i="3"/>
  <c r="DX638" i="3"/>
  <c r="DX650" i="3"/>
  <c r="DX643" i="3"/>
  <c r="EW651" i="3"/>
  <c r="DX637" i="3"/>
  <c r="EZ753" i="3"/>
  <c r="DX645" i="3"/>
  <c r="CT798" i="3"/>
  <c r="DU800" i="3" s="1"/>
  <c r="DU799" i="3"/>
  <c r="ET799" i="3"/>
  <c r="E6" i="7"/>
  <c r="G24" i="21"/>
  <c r="AK84" i="20" l="1"/>
  <c r="AK191" i="20" s="1"/>
  <c r="T811" i="20" s="1"/>
  <c r="AF811" i="20" s="1"/>
  <c r="BE76" i="3" s="1"/>
  <c r="D13" i="11"/>
  <c r="O58" i="7"/>
  <c r="Q53" i="7"/>
  <c r="T105" i="4"/>
  <c r="H97" i="13"/>
  <c r="Y23" i="15"/>
  <c r="AI23" i="15"/>
  <c r="AI26" i="15" s="1"/>
  <c r="DX670" i="3"/>
  <c r="E130" i="20" s="1"/>
  <c r="E133" i="20" s="1"/>
  <c r="EW670" i="3"/>
  <c r="AD130" i="20" s="1"/>
  <c r="AD133" i="20" s="1"/>
  <c r="AJ986" i="3"/>
  <c r="G6" i="7"/>
  <c r="E7" i="7"/>
  <c r="T805" i="20" l="1"/>
  <c r="AF805" i="20" s="1"/>
  <c r="BE72" i="3" s="1"/>
  <c r="H105" i="13"/>
  <c r="T107" i="4"/>
  <c r="H107" i="13" s="1"/>
  <c r="AD11" i="15" s="1"/>
  <c r="AD23" i="15" s="1"/>
  <c r="AD26" i="15" s="1"/>
  <c r="Q58" i="7"/>
  <c r="S53" i="7"/>
  <c r="Y26" i="15"/>
  <c r="I6" i="7"/>
  <c r="G7" i="7"/>
  <c r="S58" i="7" l="1"/>
  <c r="U53" i="7"/>
  <c r="K6" i="7"/>
  <c r="I7" i="7"/>
  <c r="U58" i="7" l="1"/>
  <c r="W53" i="7"/>
  <c r="M6" i="7"/>
  <c r="K7" i="7"/>
  <c r="W58" i="7" l="1"/>
  <c r="Y53" i="7"/>
  <c r="M7" i="7"/>
  <c r="O6" i="7"/>
  <c r="AA53" i="7" l="1"/>
  <c r="Y58" i="7"/>
  <c r="O7" i="7"/>
  <c r="Q6" i="7"/>
  <c r="AC53" i="7" l="1"/>
  <c r="AA58" i="7"/>
  <c r="Q7" i="7"/>
  <c r="S6" i="7"/>
  <c r="AE53" i="7" l="1"/>
  <c r="AC58" i="7"/>
  <c r="S7" i="7"/>
  <c r="U6" i="7"/>
  <c r="AG53" i="7" l="1"/>
  <c r="AG58" i="7" s="1"/>
  <c r="AE58" i="7"/>
  <c r="U7" i="7"/>
  <c r="W6" i="7"/>
  <c r="Y6" i="7" l="1"/>
  <c r="W7" i="7"/>
  <c r="Y7" i="7" l="1"/>
  <c r="AA6" i="7"/>
  <c r="AC6" i="7" l="1"/>
  <c r="AA7" i="7"/>
  <c r="AE6" i="7" l="1"/>
  <c r="AC7" i="7"/>
  <c r="AE7" i="7" l="1"/>
  <c r="AG6" i="7"/>
  <c r="AG7" i="7" l="1"/>
  <c r="Y64" i="15" l="1"/>
  <c r="Y68" i="15" s="1"/>
  <c r="AO13" i="23"/>
  <c r="K108" i="4"/>
  <c r="W879" i="3"/>
  <c r="E21" i="7" s="1"/>
  <c r="G21" i="7" s="1"/>
  <c r="I21" i="7" s="1"/>
  <c r="K21" i="7" s="1"/>
  <c r="M21" i="7" s="1"/>
  <c r="O21" i="7" s="1"/>
  <c r="Q21" i="7" s="1"/>
  <c r="S21" i="7" s="1"/>
  <c r="U21" i="7" s="1"/>
  <c r="W21" i="7" s="1"/>
  <c r="Y21" i="7" s="1"/>
  <c r="AA21" i="7" s="1"/>
  <c r="AC21" i="7" s="1"/>
  <c r="AE21" i="7" s="1"/>
  <c r="AG21" i="7" s="1"/>
  <c r="B72" i="13" l="1"/>
  <c r="B72" i="4"/>
  <c r="B73" i="11"/>
  <c r="C73" i="11"/>
  <c r="D73" i="11" l="1"/>
  <c r="AF418" i="3" l="1"/>
  <c r="AP582" i="20" s="1"/>
  <c r="BE39" i="3"/>
  <c r="BA1038" i="3"/>
  <c r="AP587" i="20" l="1"/>
  <c r="Y607" i="20"/>
  <c r="H108" i="4" l="1"/>
  <c r="E43" i="13"/>
  <c r="E29" i="4" l="1"/>
  <c r="R29" i="4" s="1"/>
  <c r="H38" i="4"/>
  <c r="H63" i="4" s="1"/>
  <c r="H97" i="4" s="1"/>
  <c r="H105" i="4" s="1"/>
  <c r="AZ722" i="3" l="1"/>
  <c r="AH722" i="3" s="1"/>
  <c r="CZ722" i="3"/>
  <c r="FJ722" i="3" s="1"/>
  <c r="BF722" i="3"/>
  <c r="BS722" i="3"/>
  <c r="B8" i="8"/>
  <c r="G8" i="8" s="1"/>
  <c r="M24" i="21"/>
  <c r="CI722" i="3"/>
  <c r="AZ727" i="3" l="1"/>
  <c r="AH727" i="3" s="1"/>
  <c r="BS727" i="3"/>
  <c r="DJ727" i="3"/>
  <c r="BF727" i="3"/>
  <c r="M29" i="21"/>
  <c r="B13" i="8"/>
  <c r="G13" i="8" s="1"/>
  <c r="AZ729" i="3"/>
  <c r="AH729" i="3" s="1"/>
  <c r="M31" i="21"/>
  <c r="EO729" i="3"/>
  <c r="EO753" i="3" s="1"/>
  <c r="BS729" i="3"/>
  <c r="B15" i="8"/>
  <c r="G15" i="8" s="1"/>
  <c r="DJ729" i="3"/>
  <c r="FT729" i="3" s="1"/>
  <c r="BF729" i="3"/>
  <c r="CM729" i="3"/>
  <c r="AZ725" i="3"/>
  <c r="AH725" i="3" s="1"/>
  <c r="BS725" i="3"/>
  <c r="B11" i="8"/>
  <c r="G11" i="8" s="1"/>
  <c r="BF725" i="3"/>
  <c r="M27" i="21"/>
  <c r="DE725" i="3"/>
  <c r="FO725" i="3" s="1"/>
  <c r="CI725" i="3"/>
  <c r="AZ726" i="3"/>
  <c r="AH726" i="3" s="1"/>
  <c r="BS726" i="3"/>
  <c r="EJ726" i="3"/>
  <c r="EJ753" i="3" s="1"/>
  <c r="B12" i="8"/>
  <c r="G12" i="8" s="1"/>
  <c r="M28" i="21"/>
  <c r="BF726" i="3"/>
  <c r="DE726" i="3"/>
  <c r="FO726" i="3" s="1"/>
  <c r="CM726" i="3"/>
  <c r="AZ719" i="3"/>
  <c r="AH719" i="3" s="1"/>
  <c r="BF719" i="3"/>
  <c r="CU719" i="3"/>
  <c r="FE719" i="3" s="1"/>
  <c r="M21" i="21"/>
  <c r="B5" i="8"/>
  <c r="G5" i="8" s="1"/>
  <c r="BS719" i="3"/>
  <c r="CI719" i="3"/>
  <c r="AZ724" i="3"/>
  <c r="AH724" i="3" s="1"/>
  <c r="BS724" i="3"/>
  <c r="BF724" i="3"/>
  <c r="B10" i="8"/>
  <c r="G10" i="8" s="1"/>
  <c r="M26" i="21"/>
  <c r="DE724" i="3"/>
  <c r="R24" i="21" a="1"/>
  <c r="R24" i="21" s="1"/>
  <c r="T24" i="21"/>
  <c r="U24" i="21"/>
  <c r="AZ721" i="3"/>
  <c r="AH721" i="3" s="1"/>
  <c r="CZ721" i="3"/>
  <c r="B7" i="8"/>
  <c r="G7" i="8" s="1"/>
  <c r="BF721" i="3"/>
  <c r="M23" i="21"/>
  <c r="BS721" i="3"/>
  <c r="AZ720" i="3"/>
  <c r="AH720" i="3" s="1"/>
  <c r="BE7" i="3"/>
  <c r="BE8" i="3" s="1"/>
  <c r="BE9" i="3" s="1"/>
  <c r="BE10" i="3" s="1"/>
  <c r="BF720" i="3"/>
  <c r="BS720" i="3"/>
  <c r="M22" i="21"/>
  <c r="DZ720" i="3"/>
  <c r="DZ753" i="3" s="1"/>
  <c r="CU720" i="3"/>
  <c r="FE720" i="3" s="1"/>
  <c r="B6" i="8"/>
  <c r="G6" i="8" s="1"/>
  <c r="CM720" i="3"/>
  <c r="AZ723" i="3"/>
  <c r="AH723" i="3" s="1"/>
  <c r="CZ723" i="3"/>
  <c r="FJ723" i="3" s="1"/>
  <c r="BF723" i="3"/>
  <c r="B9" i="8"/>
  <c r="G9" i="8" s="1"/>
  <c r="BS723" i="3"/>
  <c r="M25" i="21"/>
  <c r="EE723" i="3"/>
  <c r="EE753" i="3" s="1"/>
  <c r="CM723" i="3"/>
  <c r="AZ718" i="3"/>
  <c r="AH718" i="3" s="1"/>
  <c r="V21" i="23" a="1"/>
  <c r="V21" i="23" s="1"/>
  <c r="AB20" i="23" a="1"/>
  <c r="AB20" i="23" s="1"/>
  <c r="V23" i="23" a="1"/>
  <c r="V23" i="23" s="1"/>
  <c r="V22" i="23" a="1"/>
  <c r="V22" i="23" s="1"/>
  <c r="AN23" i="23" a="1"/>
  <c r="AN23" i="23" s="1"/>
  <c r="P21" i="23" a="1"/>
  <c r="P21" i="23" s="1"/>
  <c r="AN22" i="23" a="1"/>
  <c r="AN22" i="23" s="1"/>
  <c r="AH22" i="23" a="1"/>
  <c r="AH22" i="23" s="1"/>
  <c r="AH23" i="23" a="1"/>
  <c r="AH23" i="23" s="1"/>
  <c r="V20" i="23" a="1"/>
  <c r="V20" i="23" s="1"/>
  <c r="AB22" i="23" a="1"/>
  <c r="AB22" i="23" s="1"/>
  <c r="AH24" i="23" a="1"/>
  <c r="AH24" i="23" s="1"/>
  <c r="P24" i="23" a="1"/>
  <c r="P24" i="23" s="1"/>
  <c r="P20" i="23" a="1"/>
  <c r="P20" i="23" s="1"/>
  <c r="P19" i="23" a="1"/>
  <c r="P19" i="23" s="1"/>
  <c r="AH21" i="23" a="1"/>
  <c r="AH21" i="23" s="1"/>
  <c r="AN20" i="23" a="1"/>
  <c r="AN20" i="23" s="1"/>
  <c r="AH19" i="23" a="1"/>
  <c r="AH19" i="23" s="1"/>
  <c r="P23" i="23" a="1"/>
  <c r="P23" i="23" s="1"/>
  <c r="AH20" i="23" a="1"/>
  <c r="AH20" i="23" s="1"/>
  <c r="AB19" i="23" a="1"/>
  <c r="AB19" i="23" s="1"/>
  <c r="AN21" i="23" a="1"/>
  <c r="AN21" i="23" s="1"/>
  <c r="AB23" i="23" a="1"/>
  <c r="AB23" i="23" s="1"/>
  <c r="V19" i="23" a="1"/>
  <c r="V19" i="23" s="1"/>
  <c r="P22" i="23" a="1"/>
  <c r="P22" i="23" s="1"/>
  <c r="V24" i="23" a="1"/>
  <c r="V24" i="23" s="1"/>
  <c r="AB24" i="23" a="1"/>
  <c r="AB24" i="23" s="1"/>
  <c r="AN24" i="23" a="1"/>
  <c r="AN24" i="23" s="1"/>
  <c r="AB21" i="23" a="1"/>
  <c r="AB21" i="23" s="1"/>
  <c r="AN19" i="23" a="1"/>
  <c r="AN19" i="23" s="1"/>
  <c r="G753" i="3"/>
  <c r="O753" i="3"/>
  <c r="AV120" i="20" a="1"/>
  <c r="AV120" i="20" s="1"/>
  <c r="AV119" i="20" a="1"/>
  <c r="AV119" i="20" s="1"/>
  <c r="BS718" i="3"/>
  <c r="AV118" i="20" a="1"/>
  <c r="AV118" i="20" s="1"/>
  <c r="AV117" i="20" a="1"/>
  <c r="AV117" i="20" s="1"/>
  <c r="BF718" i="3"/>
  <c r="AV116" i="20" a="1"/>
  <c r="AV116" i="20" s="1"/>
  <c r="M20" i="21"/>
  <c r="B4" i="8"/>
  <c r="G4" i="8" s="1"/>
  <c r="AV121" i="20" a="1"/>
  <c r="AV121" i="20" s="1"/>
  <c r="CU718" i="3"/>
  <c r="AZ728" i="3"/>
  <c r="AH728" i="3" s="1"/>
  <c r="BS728" i="3"/>
  <c r="M30" i="21"/>
  <c r="DJ728" i="3"/>
  <c r="FT728" i="3" s="1"/>
  <c r="BF728" i="3"/>
  <c r="B14" i="8"/>
  <c r="G14" i="8" s="1"/>
  <c r="CI728" i="3"/>
  <c r="T212" i="3"/>
  <c r="BE40" i="3"/>
  <c r="AG441" i="3"/>
  <c r="V29" i="23" l="1"/>
  <c r="CM753" i="3"/>
  <c r="X1052" i="3" s="1"/>
  <c r="AG1049" i="3" s="1"/>
  <c r="BF753" i="3"/>
  <c r="BG751" i="3" s="1"/>
  <c r="BH751" i="3" s="1"/>
  <c r="J21" i="23"/>
  <c r="BE11" i="3"/>
  <c r="BE12" i="3" s="1"/>
  <c r="BE13" i="3" s="1"/>
  <c r="BE14" i="3" s="1"/>
  <c r="BE15" i="3" s="1"/>
  <c r="AF1014" i="3"/>
  <c r="BA1042" i="3"/>
  <c r="BD1051" i="3" s="1" a="1"/>
  <c r="BD1051" i="3" s="1"/>
  <c r="BS753" i="3"/>
  <c r="J23" i="23"/>
  <c r="AH29" i="23"/>
  <c r="FO724" i="3"/>
  <c r="DE753" i="3"/>
  <c r="EM642" i="3" s="1"/>
  <c r="R22" i="21" a="1"/>
  <c r="R22" i="21" s="1"/>
  <c r="U22" i="21"/>
  <c r="G60" i="21"/>
  <c r="T22" i="21"/>
  <c r="D40" i="8"/>
  <c r="Y801" i="3"/>
  <c r="E4" i="7" s="1"/>
  <c r="Y800" i="3"/>
  <c r="U26" i="21"/>
  <c r="T26" i="21"/>
  <c r="R26" i="21" a="1"/>
  <c r="R26" i="21" s="1"/>
  <c r="E27" i="21"/>
  <c r="T28" i="21"/>
  <c r="U28" i="21"/>
  <c r="R28" i="21" a="1"/>
  <c r="R28" i="21" s="1"/>
  <c r="AX690" i="20"/>
  <c r="AY1003" i="3"/>
  <c r="AC884" i="3"/>
  <c r="Y69" i="15"/>
  <c r="C757" i="3"/>
  <c r="J19" i="23"/>
  <c r="P29" i="23"/>
  <c r="R30" i="21" a="1"/>
  <c r="R30" i="21" s="1"/>
  <c r="U30" i="21"/>
  <c r="T30" i="21"/>
  <c r="AN29" i="23"/>
  <c r="J20" i="23"/>
  <c r="T31" i="21"/>
  <c r="U31" i="21"/>
  <c r="R31" i="21" a="1"/>
  <c r="R31" i="21" s="1"/>
  <c r="FJ721" i="3"/>
  <c r="CZ753" i="3"/>
  <c r="EH640" i="3" s="1"/>
  <c r="J24" i="23"/>
  <c r="T25" i="21"/>
  <c r="R25" i="21" a="1"/>
  <c r="R25" i="21" s="1"/>
  <c r="U25" i="21"/>
  <c r="CU753" i="3"/>
  <c r="EC637" i="3" s="1"/>
  <c r="FE718" i="3"/>
  <c r="CI753" i="3"/>
  <c r="U29" i="21"/>
  <c r="E28" i="21"/>
  <c r="T29" i="21"/>
  <c r="R29" i="21" a="1"/>
  <c r="R29" i="21" s="1"/>
  <c r="AV122" i="20"/>
  <c r="AW121" i="20" s="1"/>
  <c r="AD136" i="20" s="1"/>
  <c r="R23" i="21" a="1"/>
  <c r="R23" i="21" s="1"/>
  <c r="U23" i="21"/>
  <c r="E26" i="21"/>
  <c r="T23" i="21"/>
  <c r="AB29" i="23"/>
  <c r="G40" i="8"/>
  <c r="J22" i="23"/>
  <c r="R27" i="21" a="1"/>
  <c r="R27" i="21" s="1"/>
  <c r="T27" i="21"/>
  <c r="U27" i="21"/>
  <c r="FT727" i="3"/>
  <c r="DJ753" i="3"/>
  <c r="ER646" i="3" s="1"/>
  <c r="T20" i="21"/>
  <c r="R20" i="21" a="1"/>
  <c r="R20" i="21" s="1"/>
  <c r="U20" i="21"/>
  <c r="M18" i="21"/>
  <c r="E25" i="21"/>
  <c r="R21" i="21" a="1"/>
  <c r="R21" i="21" s="1"/>
  <c r="T21" i="21"/>
  <c r="U21" i="21"/>
  <c r="AW117" i="20" l="1"/>
  <c r="AW116" i="20"/>
  <c r="E136" i="20" s="1"/>
  <c r="BG745" i="3"/>
  <c r="BH745" i="3" s="1"/>
  <c r="BG746" i="3"/>
  <c r="BH746" i="3" s="1"/>
  <c r="G42" i="21" a="1"/>
  <c r="G42" i="21" s="1"/>
  <c r="G43" i="21" s="1"/>
  <c r="BG734" i="3"/>
  <c r="BH734" i="3" s="1"/>
  <c r="BG723" i="3"/>
  <c r="BH723" i="3" s="1"/>
  <c r="BG750" i="3"/>
  <c r="BH750" i="3" s="1"/>
  <c r="BG735" i="3"/>
  <c r="BH735" i="3" s="1"/>
  <c r="BG748" i="3"/>
  <c r="BH748" i="3" s="1"/>
  <c r="BG740" i="3"/>
  <c r="BH740" i="3" s="1"/>
  <c r="BG733" i="3"/>
  <c r="BH733" i="3" s="1"/>
  <c r="BG722" i="3"/>
  <c r="BH722" i="3" s="1"/>
  <c r="BG718" i="3"/>
  <c r="BG732" i="3"/>
  <c r="BH732" i="3" s="1"/>
  <c r="BG747" i="3"/>
  <c r="BH747" i="3" s="1"/>
  <c r="BG719" i="3"/>
  <c r="BH719" i="3" s="1"/>
  <c r="AW118" i="20"/>
  <c r="BG725" i="3"/>
  <c r="BH725" i="3" s="1"/>
  <c r="BG728" i="3"/>
  <c r="BH728" i="3" s="1"/>
  <c r="BG737" i="3"/>
  <c r="BH737" i="3" s="1"/>
  <c r="BG736" i="3"/>
  <c r="BH736" i="3" s="1"/>
  <c r="BG749" i="3"/>
  <c r="BH749" i="3" s="1"/>
  <c r="BG724" i="3"/>
  <c r="BH724" i="3" s="1"/>
  <c r="BG730" i="3"/>
  <c r="BH730" i="3" s="1"/>
  <c r="BG744" i="3"/>
  <c r="BH744" i="3" s="1"/>
  <c r="BG739" i="3"/>
  <c r="BH739" i="3" s="1"/>
  <c r="BG738" i="3"/>
  <c r="BH738" i="3" s="1"/>
  <c r="BG726" i="3"/>
  <c r="BH726" i="3" s="1"/>
  <c r="BG721" i="3"/>
  <c r="BH721" i="3" s="1"/>
  <c r="AW119" i="20"/>
  <c r="BG720" i="3"/>
  <c r="BH720" i="3" s="1"/>
  <c r="BG731" i="3"/>
  <c r="BH731" i="3" s="1"/>
  <c r="BG727" i="3"/>
  <c r="BH727" i="3" s="1"/>
  <c r="BG752" i="3"/>
  <c r="BH752" i="3" s="1"/>
  <c r="BG741" i="3"/>
  <c r="BH741" i="3" s="1"/>
  <c r="BG743" i="3"/>
  <c r="BH743" i="3" s="1"/>
  <c r="BG729" i="3"/>
  <c r="BH729" i="3" s="1"/>
  <c r="BG742" i="3"/>
  <c r="BH742" i="3" s="1"/>
  <c r="EC636" i="3"/>
  <c r="T18" i="21"/>
  <c r="G51" i="21" s="1"/>
  <c r="AX691" i="20"/>
  <c r="EM663" i="3"/>
  <c r="EM639" i="3"/>
  <c r="DE802" i="3"/>
  <c r="AB989" i="3" s="1"/>
  <c r="AJ989" i="3" s="1"/>
  <c r="EM650" i="3"/>
  <c r="EM638" i="3"/>
  <c r="EM657" i="3"/>
  <c r="EM636" i="3"/>
  <c r="EM640" i="3"/>
  <c r="EM659" i="3"/>
  <c r="EM649" i="3"/>
  <c r="EM656" i="3"/>
  <c r="DI755" i="3"/>
  <c r="EM669" i="3"/>
  <c r="EM666" i="3"/>
  <c r="EM647" i="3"/>
  <c r="EM661" i="3"/>
  <c r="EM646" i="3"/>
  <c r="EM653" i="3"/>
  <c r="EM668" i="3"/>
  <c r="EM665" i="3"/>
  <c r="EM644" i="3"/>
  <c r="EM651" i="3"/>
  <c r="EM658" i="3"/>
  <c r="EM652" i="3"/>
  <c r="EM655" i="3"/>
  <c r="EM662" i="3"/>
  <c r="EM654" i="3"/>
  <c r="EM648" i="3"/>
  <c r="EM637" i="3"/>
  <c r="EM664" i="3"/>
  <c r="EM667" i="3"/>
  <c r="EM645" i="3"/>
  <c r="EM660" i="3"/>
  <c r="EM635" i="3"/>
  <c r="FO753" i="3"/>
  <c r="EM641" i="3"/>
  <c r="ER645" i="3"/>
  <c r="EM643" i="3"/>
  <c r="AW120" i="20"/>
  <c r="AX692" i="20"/>
  <c r="ER666" i="3"/>
  <c r="ER635" i="3"/>
  <c r="ER638" i="3"/>
  <c r="ER657" i="3"/>
  <c r="ER661" i="3"/>
  <c r="ER649" i="3"/>
  <c r="ER647" i="3"/>
  <c r="ER662" i="3"/>
  <c r="ER659" i="3"/>
  <c r="ER658" i="3"/>
  <c r="DN755" i="3"/>
  <c r="ER663" i="3"/>
  <c r="DJ802" i="3"/>
  <c r="AB990" i="3" s="1"/>
  <c r="AJ990" i="3" s="1"/>
  <c r="ER637" i="3"/>
  <c r="ER643" i="3"/>
  <c r="ER636" i="3"/>
  <c r="ER654" i="3"/>
  <c r="ER668" i="3"/>
  <c r="ER667" i="3"/>
  <c r="ER642" i="3"/>
  <c r="ER651" i="3"/>
  <c r="ER656" i="3"/>
  <c r="ER665" i="3"/>
  <c r="ER639" i="3"/>
  <c r="ER650" i="3"/>
  <c r="ER664" i="3"/>
  <c r="ER669" i="3"/>
  <c r="ER653" i="3"/>
  <c r="ER640" i="3"/>
  <c r="ER660" i="3"/>
  <c r="ER655" i="3"/>
  <c r="ER652" i="3"/>
  <c r="ER648" i="3"/>
  <c r="ER641" i="3"/>
  <c r="FT753" i="3"/>
  <c r="ER644" i="3"/>
  <c r="J29" i="23"/>
  <c r="AT22" i="23" s="1"/>
  <c r="FE753" i="3"/>
  <c r="EC635" i="3"/>
  <c r="EH644" i="3"/>
  <c r="EH651" i="3"/>
  <c r="EH657" i="3"/>
  <c r="EH646" i="3"/>
  <c r="EH649" i="3"/>
  <c r="DD755" i="3"/>
  <c r="EH668" i="3"/>
  <c r="EH637" i="3"/>
  <c r="EH665" i="3"/>
  <c r="EH654" i="3"/>
  <c r="EH635" i="3"/>
  <c r="EH647" i="3"/>
  <c r="EH656" i="3"/>
  <c r="EH645" i="3"/>
  <c r="CZ802" i="3"/>
  <c r="AB988" i="3" s="1"/>
  <c r="AJ988" i="3" s="1"/>
  <c r="EH643" i="3"/>
  <c r="EH669" i="3"/>
  <c r="EH636" i="3"/>
  <c r="EH655" i="3"/>
  <c r="EH659" i="3"/>
  <c r="EH664" i="3"/>
  <c r="EH641" i="3"/>
  <c r="EH650" i="3"/>
  <c r="EH653" i="3"/>
  <c r="EH648" i="3"/>
  <c r="EH663" i="3"/>
  <c r="EH666" i="3"/>
  <c r="EH658" i="3"/>
  <c r="EH661" i="3"/>
  <c r="EH662" i="3"/>
  <c r="EH652" i="3"/>
  <c r="EH660" i="3"/>
  <c r="EH667" i="3"/>
  <c r="EH642" i="3"/>
  <c r="EH639" i="3"/>
  <c r="FJ753" i="3"/>
  <c r="EH638" i="3"/>
  <c r="BT751" i="3"/>
  <c r="BU751" i="3" s="1"/>
  <c r="BT737" i="3"/>
  <c r="BU737" i="3" s="1"/>
  <c r="BT726" i="3"/>
  <c r="BU726" i="3" s="1"/>
  <c r="BT721" i="3"/>
  <c r="BU721" i="3" s="1"/>
  <c r="BT745" i="3"/>
  <c r="BU745" i="3" s="1"/>
  <c r="BT742" i="3"/>
  <c r="BU742" i="3" s="1"/>
  <c r="BT731" i="3"/>
  <c r="BU731" i="3" s="1"/>
  <c r="BT725" i="3"/>
  <c r="BU725" i="3" s="1"/>
  <c r="BT739" i="3"/>
  <c r="BU739" i="3" s="1"/>
  <c r="BT733" i="3"/>
  <c r="BU733" i="3" s="1"/>
  <c r="BT723" i="3"/>
  <c r="BU723" i="3" s="1"/>
  <c r="BT729" i="3"/>
  <c r="BU729" i="3" s="1"/>
  <c r="BT719" i="3"/>
  <c r="BU719" i="3" s="1"/>
  <c r="BT748" i="3"/>
  <c r="BU748" i="3" s="1"/>
  <c r="BT741" i="3"/>
  <c r="BU741" i="3" s="1"/>
  <c r="BT744" i="3"/>
  <c r="BU744" i="3" s="1"/>
  <c r="BT727" i="3"/>
  <c r="BU727" i="3" s="1"/>
  <c r="BT734" i="3"/>
  <c r="BU734" i="3" s="1"/>
  <c r="BT749" i="3"/>
  <c r="BU749" i="3" s="1"/>
  <c r="BT736" i="3"/>
  <c r="BU736" i="3" s="1"/>
  <c r="BT740" i="3"/>
  <c r="BU740" i="3" s="1"/>
  <c r="BT735" i="3"/>
  <c r="BU735" i="3" s="1"/>
  <c r="BT750" i="3"/>
  <c r="BU750" i="3" s="1"/>
  <c r="BT747" i="3"/>
  <c r="BU747" i="3" s="1"/>
  <c r="BT743" i="3"/>
  <c r="BU743" i="3" s="1"/>
  <c r="BT722" i="3"/>
  <c r="BU722" i="3" s="1"/>
  <c r="BT752" i="3"/>
  <c r="BU752" i="3" s="1"/>
  <c r="BT730" i="3"/>
  <c r="BU730" i="3" s="1"/>
  <c r="BT718" i="3"/>
  <c r="BT720" i="3"/>
  <c r="BU720" i="3" s="1"/>
  <c r="BT738" i="3"/>
  <c r="BU738" i="3" s="1"/>
  <c r="BT724" i="3"/>
  <c r="BU724" i="3" s="1"/>
  <c r="BT728" i="3"/>
  <c r="BU728" i="3" s="1"/>
  <c r="BT746" i="3"/>
  <c r="BU746" i="3" s="1"/>
  <c r="BT732" i="3"/>
  <c r="BU732" i="3" s="1"/>
  <c r="F25" i="21"/>
  <c r="E29" i="21"/>
  <c r="X1048" i="3"/>
  <c r="BA1039" i="3"/>
  <c r="BA1048" i="3" s="1" a="1"/>
  <c r="BA1048" i="3" s="1"/>
  <c r="E5" i="7"/>
  <c r="G4" i="7"/>
  <c r="EC648" i="3"/>
  <c r="EC656" i="3"/>
  <c r="EC666" i="3"/>
  <c r="EC643" i="3"/>
  <c r="DO754" i="3"/>
  <c r="EC655" i="3"/>
  <c r="EC639" i="3"/>
  <c r="EC649" i="3"/>
  <c r="CY755" i="3"/>
  <c r="EC652" i="3"/>
  <c r="EC668" i="3"/>
  <c r="EC650" i="3"/>
  <c r="EC661" i="3"/>
  <c r="EC669" i="3"/>
  <c r="EC642" i="3"/>
  <c r="EC646" i="3"/>
  <c r="EC641" i="3"/>
  <c r="EC665" i="3"/>
  <c r="EC659" i="3"/>
  <c r="EC662" i="3"/>
  <c r="EC645" i="3"/>
  <c r="EC663" i="3"/>
  <c r="EC647" i="3"/>
  <c r="EC651" i="3"/>
  <c r="EC667" i="3"/>
  <c r="CU802" i="3"/>
  <c r="AB987" i="3" s="1"/>
  <c r="EC660" i="3"/>
  <c r="EC640" i="3"/>
  <c r="EC638" i="3"/>
  <c r="EC654" i="3"/>
  <c r="EC657" i="3"/>
  <c r="EC664" i="3"/>
  <c r="EC653" i="3"/>
  <c r="EC644" i="3"/>
  <c r="EC658" i="3"/>
  <c r="I1048" i="3"/>
  <c r="I1052" i="3"/>
  <c r="AY1006" i="3" s="1"/>
  <c r="O32" i="21" l="1"/>
  <c r="P32" i="21" s="1" a="1"/>
  <c r="P32" i="21" s="1"/>
  <c r="S32" i="21" s="1"/>
  <c r="O33" i="21"/>
  <c r="P33" i="21" s="1" a="1"/>
  <c r="P33" i="21" s="1"/>
  <c r="S33" i="21" s="1"/>
  <c r="O28" i="21"/>
  <c r="P28" i="21" s="1" a="1"/>
  <c r="P28" i="21" s="1"/>
  <c r="S28" i="21" s="1"/>
  <c r="O31" i="21"/>
  <c r="P31" i="21" s="1" a="1"/>
  <c r="P31" i="21" s="1"/>
  <c r="S31" i="21" s="1"/>
  <c r="O30" i="21"/>
  <c r="P30" i="21" s="1" a="1"/>
  <c r="P30" i="21" s="1"/>
  <c r="S30" i="21" s="1"/>
  <c r="O29" i="21"/>
  <c r="P29" i="21" s="1" a="1"/>
  <c r="P29" i="21" s="1"/>
  <c r="S29" i="21" s="1"/>
  <c r="AT23" i="23"/>
  <c r="O21" i="21"/>
  <c r="P21" i="21" s="1" a="1"/>
  <c r="P21" i="21" s="1"/>
  <c r="S21" i="21" s="1"/>
  <c r="AX694" i="20"/>
  <c r="AY695" i="20" s="1"/>
  <c r="O22" i="21"/>
  <c r="P22" i="21" s="1" a="1"/>
  <c r="P22" i="21" s="1"/>
  <c r="S22" i="21" s="1"/>
  <c r="O25" i="21"/>
  <c r="P25" i="21" s="1" a="1"/>
  <c r="P25" i="21" s="1"/>
  <c r="S25" i="21" s="1"/>
  <c r="O24" i="21"/>
  <c r="P24" i="21" s="1" a="1"/>
  <c r="P24" i="21" s="1"/>
  <c r="S24" i="21" s="1"/>
  <c r="BG753" i="3"/>
  <c r="O23" i="21"/>
  <c r="P23" i="21" s="1" a="1"/>
  <c r="P23" i="21" s="1"/>
  <c r="S23" i="21" s="1"/>
  <c r="O20" i="21"/>
  <c r="P20" i="21" s="1" a="1"/>
  <c r="P20" i="21" s="1"/>
  <c r="S20" i="21" s="1"/>
  <c r="AW122" i="20"/>
  <c r="O27" i="21"/>
  <c r="P27" i="21" s="1" a="1"/>
  <c r="P27" i="21" s="1"/>
  <c r="S27" i="21" s="1"/>
  <c r="O26" i="21"/>
  <c r="P26" i="21" s="1" a="1"/>
  <c r="P26" i="21" s="1"/>
  <c r="S26" i="21" s="1"/>
  <c r="BH718" i="3"/>
  <c r="BH753" i="3" s="1"/>
  <c r="AC753" i="3" s="1"/>
  <c r="AT19" i="23"/>
  <c r="G25" i="21"/>
  <c r="EH670" i="3"/>
  <c r="O130" i="20" s="1"/>
  <c r="O133" i="20" s="1"/>
  <c r="O136" i="20" s="1"/>
  <c r="DU755" i="3"/>
  <c r="EC670" i="3"/>
  <c r="J130" i="20" s="1"/>
  <c r="J133" i="20" s="1"/>
  <c r="J136" i="20" s="1"/>
  <c r="ER670" i="3"/>
  <c r="Y130" i="20" s="1"/>
  <c r="Y133" i="20" s="1"/>
  <c r="Y136" i="20" s="1"/>
  <c r="G5" i="7"/>
  <c r="I4" i="7"/>
  <c r="AY1005" i="3"/>
  <c r="AG1045" i="3"/>
  <c r="G52" i="21"/>
  <c r="G54" i="21" s="1"/>
  <c r="G56" i="21" s="1"/>
  <c r="E12" i="21" s="1"/>
  <c r="F28" i="21"/>
  <c r="G28" i="21" s="1"/>
  <c r="F27" i="21"/>
  <c r="G61" i="21"/>
  <c r="G63" i="21" s="1"/>
  <c r="G65" i="21" s="1"/>
  <c r="E13" i="21" s="1"/>
  <c r="AT24" i="23"/>
  <c r="AY44" i="23"/>
  <c r="AY40" i="23"/>
  <c r="AY45" i="23"/>
  <c r="AY46" i="23"/>
  <c r="AY42" i="23"/>
  <c r="AY47" i="23"/>
  <c r="AT25" i="23"/>
  <c r="AY37" i="23"/>
  <c r="AT28" i="23"/>
  <c r="AY39" i="23"/>
  <c r="AY36" i="23"/>
  <c r="AT26" i="23"/>
  <c r="AT29" i="23"/>
  <c r="AY38" i="23"/>
  <c r="AY41" i="23"/>
  <c r="AT27" i="23"/>
  <c r="AY43" i="23"/>
  <c r="AT21" i="23"/>
  <c r="EM670" i="3"/>
  <c r="T130" i="20" s="1"/>
  <c r="T133" i="20" s="1"/>
  <c r="T136" i="20" s="1"/>
  <c r="AJ987" i="3"/>
  <c r="AJ992" i="3" s="1"/>
  <c r="AJ1049" i="3" s="1"/>
  <c r="AP553" i="20" s="1"/>
  <c r="AB991" i="3"/>
  <c r="AT20" i="23"/>
  <c r="BU718" i="3"/>
  <c r="BU753" i="3" s="1"/>
  <c r="AH753" i="3" s="1"/>
  <c r="BE43" i="3" s="1"/>
  <c r="BT753" i="3"/>
  <c r="BE42" i="3" l="1"/>
  <c r="G45" i="21"/>
  <c r="G47" i="21" s="1"/>
  <c r="E10" i="21" s="1"/>
  <c r="AX695" i="20"/>
  <c r="AO695" i="20" s="1"/>
  <c r="AP706" i="20" s="1"/>
  <c r="AJ1045" i="3"/>
  <c r="AP552" i="20" s="1"/>
  <c r="E103" i="20"/>
  <c r="E93" i="20"/>
  <c r="E94" i="20" s="1"/>
  <c r="E95" i="20" s="1"/>
  <c r="E138" i="20"/>
  <c r="E139" i="20" s="1"/>
  <c r="AK143" i="20" s="1"/>
  <c r="T807" i="20" s="1"/>
  <c r="AF807" i="20" s="1"/>
  <c r="BE74" i="3" s="1"/>
  <c r="G27" i="21"/>
  <c r="F26" i="21"/>
  <c r="I5" i="7"/>
  <c r="K4" i="7"/>
  <c r="E11" i="21"/>
  <c r="AP550" i="20"/>
  <c r="O756" i="3"/>
  <c r="DU802" i="3"/>
  <c r="U373" i="20" s="1"/>
  <c r="P421" i="3"/>
  <c r="AP705" i="20" l="1"/>
  <c r="AJ711" i="20" s="1"/>
  <c r="AK794" i="20" s="1"/>
  <c r="T819" i="20" s="1"/>
  <c r="AF819" i="20" s="1"/>
  <c r="BE82" i="3" s="1"/>
  <c r="AP554" i="20"/>
  <c r="AJ1053" i="3"/>
  <c r="AP557" i="20" s="1"/>
  <c r="AP556" i="20" s="1"/>
  <c r="M4" i="7"/>
  <c r="K5" i="7"/>
  <c r="G26" i="21"/>
  <c r="F29" i="21"/>
  <c r="G29" i="21"/>
  <c r="T24" i="15" l="1"/>
  <c r="AP559" i="20"/>
  <c r="AF552" i="20" s="1"/>
  <c r="G31" i="21"/>
  <c r="G33" i="21" s="1"/>
  <c r="E9" i="21" s="1"/>
  <c r="G96" i="21"/>
  <c r="G111" i="21"/>
  <c r="G79" i="21"/>
  <c r="G80" i="21" s="1"/>
  <c r="E15" i="21" s="1"/>
  <c r="G88" i="21"/>
  <c r="G90" i="21" s="1"/>
  <c r="E16" i="21" s="1"/>
  <c r="M5" i="7"/>
  <c r="O4" i="7"/>
  <c r="G101" i="21" l="1"/>
  <c r="G97" i="21"/>
  <c r="G113" i="21"/>
  <c r="O5" i="7"/>
  <c r="Q4" i="7"/>
  <c r="Q5" i="7" l="1"/>
  <c r="S4" i="7"/>
  <c r="G115" i="21"/>
  <c r="E17" i="21" s="1"/>
  <c r="E14" i="21" s="1"/>
  <c r="E18" i="21" s="1"/>
  <c r="H3" i="21" s="1"/>
  <c r="U4" i="7" l="1"/>
  <c r="S5" i="7"/>
  <c r="U5" i="7" l="1"/>
  <c r="W4" i="7"/>
  <c r="W5" i="7" l="1"/>
  <c r="Y4" i="7"/>
  <c r="AA4" i="7" l="1"/>
  <c r="Y5" i="7"/>
  <c r="AA5" i="7" l="1"/>
  <c r="AC4" i="7"/>
  <c r="AE4" i="7" l="1"/>
  <c r="AC5" i="7"/>
  <c r="AE5" i="7" l="1"/>
  <c r="AG4" i="7"/>
  <c r="AG5" i="7" s="1"/>
  <c r="C798" i="3" l="1"/>
  <c r="BE41" i="3"/>
  <c r="E28" i="7"/>
  <c r="E19" i="7"/>
  <c r="G19" i="7" s="1"/>
  <c r="I19" i="7" s="1"/>
  <c r="K19" i="7" s="1"/>
  <c r="M19" i="7" s="1"/>
  <c r="O19" i="7" s="1"/>
  <c r="Q19" i="7" s="1"/>
  <c r="S19" i="7" s="1"/>
  <c r="U19" i="7" s="1"/>
  <c r="W19" i="7" s="1"/>
  <c r="Y19" i="7" s="1"/>
  <c r="AA19" i="7" s="1"/>
  <c r="AC19" i="7" s="1"/>
  <c r="AE19" i="7" s="1"/>
  <c r="AG19" i="7" s="1"/>
  <c r="W847" i="3" l="1"/>
  <c r="E15" i="7" s="1"/>
  <c r="B90" i="11"/>
  <c r="B89" i="13"/>
  <c r="C90" i="11"/>
  <c r="B89" i="4"/>
  <c r="E89" i="4"/>
  <c r="R89" i="4" s="1"/>
  <c r="C42" i="4"/>
  <c r="E40" i="4"/>
  <c r="C41" i="11"/>
  <c r="B40" i="13"/>
  <c r="B40" i="4"/>
  <c r="B41" i="11"/>
  <c r="B43" i="11" s="1"/>
  <c r="AE28" i="7"/>
  <c r="Y28" i="7"/>
  <c r="AC28" i="7"/>
  <c r="G28" i="7"/>
  <c r="Q28" i="7"/>
  <c r="W28" i="7"/>
  <c r="I28" i="7"/>
  <c r="K28" i="7"/>
  <c r="U28" i="7"/>
  <c r="M28" i="7"/>
  <c r="O28" i="7"/>
  <c r="AA28" i="7"/>
  <c r="S28" i="7"/>
  <c r="AG28" i="7"/>
  <c r="B89" i="11"/>
  <c r="B88" i="4"/>
  <c r="C89" i="11"/>
  <c r="B88" i="13"/>
  <c r="E88" i="4"/>
  <c r="R88" i="4" s="1"/>
  <c r="E89" i="13"/>
  <c r="Z817" i="3" l="1"/>
  <c r="E8" i="7" s="1"/>
  <c r="D41" i="11"/>
  <c r="C43" i="11"/>
  <c r="D43" i="11" s="1"/>
  <c r="R40" i="4"/>
  <c r="R42" i="4" s="1"/>
  <c r="E42" i="4"/>
  <c r="B42" i="4"/>
  <c r="B42" i="13"/>
  <c r="D90" i="11"/>
  <c r="S42" i="4"/>
  <c r="E42" i="13" s="1"/>
  <c r="E40" i="13"/>
  <c r="B79" i="13"/>
  <c r="E79" i="4"/>
  <c r="B80" i="11"/>
  <c r="B82" i="11" s="1"/>
  <c r="B79" i="4"/>
  <c r="C81" i="4"/>
  <c r="C80" i="11"/>
  <c r="D89" i="11"/>
  <c r="B35" i="4"/>
  <c r="E35" i="4"/>
  <c r="R35" i="4" s="1"/>
  <c r="C36" i="11"/>
  <c r="B36" i="11"/>
  <c r="B35" i="13"/>
  <c r="B38" i="11"/>
  <c r="B37" i="4"/>
  <c r="C38" i="11"/>
  <c r="E37" i="4"/>
  <c r="R37" i="4" s="1"/>
  <c r="B37" i="13"/>
  <c r="G15" i="7"/>
  <c r="E35" i="13"/>
  <c r="E37" i="13"/>
  <c r="Z818" i="3" l="1"/>
  <c r="D36" i="11"/>
  <c r="B81" i="13"/>
  <c r="B81" i="4"/>
  <c r="D38" i="11"/>
  <c r="E81" i="4"/>
  <c r="R79" i="4"/>
  <c r="R81" i="4" s="1"/>
  <c r="I15" i="7"/>
  <c r="E9" i="7"/>
  <c r="E11" i="7" s="1"/>
  <c r="G8" i="7"/>
  <c r="B86" i="11"/>
  <c r="B85" i="4"/>
  <c r="B85" i="13"/>
  <c r="C86" i="11"/>
  <c r="S81" i="4"/>
  <c r="E81" i="13" s="1"/>
  <c r="E79" i="13"/>
  <c r="C82" i="11"/>
  <c r="D82" i="11" s="1"/>
  <c r="D80" i="11"/>
  <c r="E85" i="13"/>
  <c r="D86" i="11" l="1"/>
  <c r="G9" i="7"/>
  <c r="G11" i="7" s="1"/>
  <c r="I8" i="7"/>
  <c r="K15" i="7"/>
  <c r="E16" i="7" l="1"/>
  <c r="I9" i="7"/>
  <c r="I11" i="7" s="1"/>
  <c r="K8" i="7"/>
  <c r="M15" i="7"/>
  <c r="O15" i="7" l="1"/>
  <c r="M8" i="7"/>
  <c r="K9" i="7"/>
  <c r="K11" i="7" s="1"/>
  <c r="G16" i="7"/>
  <c r="I16" i="7" l="1"/>
  <c r="O8" i="7"/>
  <c r="M9" i="7"/>
  <c r="M11" i="7" s="1"/>
  <c r="Q15" i="7"/>
  <c r="Q8" i="7" l="1"/>
  <c r="O9" i="7"/>
  <c r="O11" i="7" s="1"/>
  <c r="S15" i="7"/>
  <c r="K16" i="7"/>
  <c r="M16" i="7" l="1"/>
  <c r="U15" i="7"/>
  <c r="S8" i="7"/>
  <c r="Q9" i="7"/>
  <c r="Q11" i="7" s="1"/>
  <c r="U8" i="7" l="1"/>
  <c r="S9" i="7"/>
  <c r="S11" i="7" s="1"/>
  <c r="W15" i="7"/>
  <c r="O16" i="7"/>
  <c r="Q16" i="7" l="1"/>
  <c r="Y15" i="7"/>
  <c r="W8" i="7"/>
  <c r="U9" i="7"/>
  <c r="U11" i="7" s="1"/>
  <c r="Y8" i="7" l="1"/>
  <c r="W9" i="7"/>
  <c r="W11" i="7" s="1"/>
  <c r="AA15" i="7"/>
  <c r="S16" i="7"/>
  <c r="U16" i="7" l="1"/>
  <c r="AC15" i="7"/>
  <c r="AA8" i="7"/>
  <c r="Y9" i="7"/>
  <c r="Y11" i="7" s="1"/>
  <c r="AC8" i="7" l="1"/>
  <c r="AA9" i="7"/>
  <c r="AA11" i="7" s="1"/>
  <c r="AE15" i="7"/>
  <c r="W16" i="7"/>
  <c r="Y16" i="7" l="1"/>
  <c r="AG15" i="7"/>
  <c r="AC9" i="7"/>
  <c r="AC11" i="7" s="1"/>
  <c r="AE8" i="7"/>
  <c r="AE9" i="7" l="1"/>
  <c r="AE11" i="7" s="1"/>
  <c r="AG8" i="7"/>
  <c r="AG9" i="7" s="1"/>
  <c r="AG11" i="7" s="1"/>
  <c r="AA16" i="7"/>
  <c r="AC16" i="7" l="1"/>
  <c r="AE16" i="7" l="1"/>
  <c r="AG16" i="7" l="1"/>
  <c r="AG450" i="3" l="1"/>
  <c r="BE24" i="3" s="1"/>
  <c r="AG444" i="3" l="1"/>
  <c r="AG445" i="3" s="1"/>
  <c r="T27" i="15" s="1"/>
  <c r="AD27" i="15" l="1"/>
  <c r="AD28" i="15" s="1"/>
  <c r="AI27" i="15"/>
  <c r="AI28" i="15" s="1"/>
  <c r="Y27" i="15"/>
  <c r="Y28" i="15" s="1"/>
  <c r="E27" i="7" l="1"/>
  <c r="E32" i="7"/>
  <c r="G32" i="7" s="1"/>
  <c r="I32" i="7" s="1"/>
  <c r="K32" i="7" s="1"/>
  <c r="M32" i="7" s="1"/>
  <c r="O32" i="7" s="1"/>
  <c r="Q32" i="7" s="1"/>
  <c r="S32" i="7" s="1"/>
  <c r="U32" i="7" s="1"/>
  <c r="W32" i="7" s="1"/>
  <c r="Y32" i="7" s="1"/>
  <c r="AA32" i="7" s="1"/>
  <c r="AC32" i="7" s="1"/>
  <c r="AE32" i="7" s="1"/>
  <c r="AG32" i="7" s="1"/>
  <c r="AD211" i="20"/>
  <c r="G27" i="7" l="1"/>
  <c r="I27" i="7" l="1"/>
  <c r="K27" i="7" l="1"/>
  <c r="M27" i="7" l="1"/>
  <c r="O27" i="7" l="1"/>
  <c r="Q27" i="7" l="1"/>
  <c r="S27" i="7" l="1"/>
  <c r="U27" i="7" l="1"/>
  <c r="W27" i="7" l="1"/>
  <c r="Y27" i="7" l="1"/>
  <c r="AA27" i="7" l="1"/>
  <c r="AC27" i="7" l="1"/>
  <c r="AE27" i="7" l="1"/>
  <c r="AG27" i="7" l="1"/>
  <c r="E72" i="4" l="1"/>
  <c r="R72" i="4" s="1"/>
  <c r="J77" i="4"/>
  <c r="J97" i="4" s="1"/>
  <c r="E104" i="20" l="1"/>
  <c r="E105" i="20"/>
  <c r="E106" i="20" l="1"/>
  <c r="AP106" i="20" s="1"/>
  <c r="AK109" i="20" s="1"/>
  <c r="T806" i="20" s="1"/>
  <c r="AF806" i="20" s="1"/>
  <c r="BE73" i="3" s="1"/>
  <c r="W855" i="3" l="1"/>
  <c r="E17" i="7" s="1"/>
  <c r="G17" i="7" s="1"/>
  <c r="I17" i="7" s="1"/>
  <c r="K17" i="7" s="1"/>
  <c r="M17" i="7" s="1"/>
  <c r="O17" i="7" s="1"/>
  <c r="Q17" i="7" s="1"/>
  <c r="S17" i="7" s="1"/>
  <c r="U17" i="7" s="1"/>
  <c r="W17" i="7" s="1"/>
  <c r="Y17" i="7" s="1"/>
  <c r="AA17" i="7" s="1"/>
  <c r="AC17" i="7" s="1"/>
  <c r="AE17" i="7" s="1"/>
  <c r="AG17" i="7" s="1"/>
  <c r="W872" i="3" l="1"/>
  <c r="AC883" i="3" l="1"/>
  <c r="AC885" i="3" s="1"/>
  <c r="E20" i="7"/>
  <c r="G20" i="7" s="1"/>
  <c r="E22" i="7" l="1"/>
  <c r="E35" i="7" s="1"/>
  <c r="E37" i="7" s="1"/>
  <c r="I20" i="7"/>
  <c r="G22" i="7"/>
  <c r="G35" i="7" s="1"/>
  <c r="G37" i="7" s="1"/>
  <c r="K20" i="7" l="1"/>
  <c r="I22" i="7"/>
  <c r="I35" i="7" s="1"/>
  <c r="I37" i="7" s="1"/>
  <c r="M20" i="7" l="1"/>
  <c r="K22" i="7"/>
  <c r="K35" i="7" s="1"/>
  <c r="K37" i="7" s="1"/>
  <c r="O20" i="7" l="1"/>
  <c r="M22" i="7"/>
  <c r="M35" i="7" s="1"/>
  <c r="M37" i="7" s="1"/>
  <c r="Q20" i="7" l="1"/>
  <c r="O22" i="7"/>
  <c r="O35" i="7" s="1"/>
  <c r="O37" i="7" s="1"/>
  <c r="S20" i="7" l="1"/>
  <c r="Q22" i="7"/>
  <c r="Q35" i="7" s="1"/>
  <c r="Q37" i="7" s="1"/>
  <c r="U20" i="7" l="1"/>
  <c r="S22" i="7"/>
  <c r="S35" i="7" s="1"/>
  <c r="S37" i="7" s="1"/>
  <c r="W20" i="7" l="1"/>
  <c r="U22" i="7"/>
  <c r="U35" i="7" s="1"/>
  <c r="U37" i="7" s="1"/>
  <c r="Y20" i="7" l="1"/>
  <c r="W22" i="7"/>
  <c r="W35" i="7" s="1"/>
  <c r="W37" i="7" s="1"/>
  <c r="AA20" i="7" l="1"/>
  <c r="Y22" i="7"/>
  <c r="Y35" i="7" s="1"/>
  <c r="Y37" i="7" s="1"/>
  <c r="AC20" i="7" l="1"/>
  <c r="AA22" i="7"/>
  <c r="AA35" i="7" s="1"/>
  <c r="AA37" i="7" s="1"/>
  <c r="AE20" i="7" l="1"/>
  <c r="AC22" i="7"/>
  <c r="AC35" i="7" s="1"/>
  <c r="AC37" i="7" s="1"/>
  <c r="AG20" i="7" l="1"/>
  <c r="AG22" i="7" s="1"/>
  <c r="AG35" i="7" s="1"/>
  <c r="AG37" i="7" s="1"/>
  <c r="AE22" i="7"/>
  <c r="AE35" i="7" s="1"/>
  <c r="AE37" i="7" s="1"/>
  <c r="E40" i="7" l="1"/>
  <c r="Y40" i="7" l="1"/>
  <c r="AE40" i="7"/>
  <c r="AC40" i="7"/>
  <c r="G40" i="7"/>
  <c r="W40" i="7"/>
  <c r="M40" i="7"/>
  <c r="Q40" i="7"/>
  <c r="U40" i="7"/>
  <c r="K40" i="7"/>
  <c r="S40" i="7"/>
  <c r="AA40" i="7"/>
  <c r="AG40" i="7"/>
  <c r="O40" i="7"/>
  <c r="I40" i="7"/>
  <c r="F38" i="4"/>
  <c r="F63" i="4" s="1"/>
  <c r="F97" i="4" s="1"/>
  <c r="F105" i="4" s="1"/>
  <c r="N10" i="23" l="1"/>
  <c r="F108" i="4"/>
  <c r="E41" i="7"/>
  <c r="G38" i="4" l="1"/>
  <c r="G63" i="4" s="1"/>
  <c r="G97" i="4" s="1"/>
  <c r="G105" i="4" s="1"/>
  <c r="AG41" i="7"/>
  <c r="AG43" i="7" s="1"/>
  <c r="G41" i="7"/>
  <c r="G43" i="7" s="1"/>
  <c r="K41" i="7"/>
  <c r="K43" i="7" s="1"/>
  <c r="W41" i="7"/>
  <c r="W43" i="7" s="1"/>
  <c r="I41" i="7"/>
  <c r="I43" i="7" s="1"/>
  <c r="U41" i="7"/>
  <c r="U43" i="7" s="1"/>
  <c r="AE41" i="7"/>
  <c r="AE43" i="7" s="1"/>
  <c r="Y41" i="7"/>
  <c r="Y43" i="7" s="1"/>
  <c r="AA41" i="7"/>
  <c r="AA43" i="7" s="1"/>
  <c r="M41" i="7"/>
  <c r="M43" i="7" s="1"/>
  <c r="O41" i="7"/>
  <c r="O43" i="7" s="1"/>
  <c r="Q41" i="7"/>
  <c r="Q43" i="7" s="1"/>
  <c r="S41" i="7"/>
  <c r="S43" i="7" s="1"/>
  <c r="AC41" i="7"/>
  <c r="AC43" i="7" s="1"/>
  <c r="E43" i="7"/>
  <c r="E58" i="4"/>
  <c r="R58" i="4" s="1"/>
  <c r="B59" i="11"/>
  <c r="B58" i="13"/>
  <c r="B58" i="4"/>
  <c r="C59" i="11"/>
  <c r="D59" i="11" s="1"/>
  <c r="Q49" i="7" l="1"/>
  <c r="Q45" i="7"/>
  <c r="M45" i="7"/>
  <c r="M49" i="7"/>
  <c r="S49" i="7"/>
  <c r="S45" i="7"/>
  <c r="Y45" i="7"/>
  <c r="Y49" i="7"/>
  <c r="G108" i="4"/>
  <c r="U45" i="7"/>
  <c r="U49" i="7"/>
  <c r="O49" i="7"/>
  <c r="O45" i="7"/>
  <c r="G49" i="7"/>
  <c r="G45" i="7"/>
  <c r="C76" i="11"/>
  <c r="B76" i="11"/>
  <c r="B78" i="11" s="1"/>
  <c r="B75" i="13"/>
  <c r="C77" i="4"/>
  <c r="B75" i="4"/>
  <c r="E75" i="4"/>
  <c r="AA45" i="7"/>
  <c r="AA49" i="7"/>
  <c r="AG49" i="7"/>
  <c r="AG45" i="7"/>
  <c r="BE21" i="3"/>
  <c r="I9" i="21"/>
  <c r="AE45" i="7"/>
  <c r="AE49" i="7"/>
  <c r="W45" i="7"/>
  <c r="W49" i="7"/>
  <c r="E49" i="7"/>
  <c r="E45" i="7"/>
  <c r="I49" i="7"/>
  <c r="I45" i="7"/>
  <c r="K49" i="7"/>
  <c r="K45" i="7"/>
  <c r="AC45" i="7"/>
  <c r="AC49" i="7"/>
  <c r="B57" i="11"/>
  <c r="B63" i="11" s="1"/>
  <c r="B56" i="13"/>
  <c r="C57" i="11"/>
  <c r="E56" i="4"/>
  <c r="C62" i="4"/>
  <c r="B56" i="4"/>
  <c r="G60" i="7" l="1"/>
  <c r="G47" i="7"/>
  <c r="G48" i="7"/>
  <c r="AE47" i="7"/>
  <c r="AE60" i="7"/>
  <c r="AE48" i="7"/>
  <c r="B62" i="13"/>
  <c r="B62" i="4"/>
  <c r="R56" i="4"/>
  <c r="R62" i="4" s="1"/>
  <c r="E62" i="4"/>
  <c r="AG60" i="7"/>
  <c r="AG48" i="7"/>
  <c r="AG47" i="7"/>
  <c r="C78" i="11"/>
  <c r="D78" i="11" s="1"/>
  <c r="D76" i="11"/>
  <c r="S47" i="7"/>
  <c r="S60" i="7"/>
  <c r="S48" i="7"/>
  <c r="U47" i="7"/>
  <c r="U60" i="7"/>
  <c r="U48" i="7"/>
  <c r="AA47" i="7"/>
  <c r="AA48" i="7"/>
  <c r="AA60" i="7"/>
  <c r="D57" i="11"/>
  <c r="C63" i="11"/>
  <c r="D63" i="11" s="1"/>
  <c r="Y48" i="7"/>
  <c r="Y47" i="7"/>
  <c r="Y60" i="7"/>
  <c r="R75" i="4"/>
  <c r="R77" i="4" s="1"/>
  <c r="E77" i="4"/>
  <c r="E48" i="7"/>
  <c r="E60" i="7"/>
  <c r="E47" i="7"/>
  <c r="G143" i="21"/>
  <c r="G144" i="21"/>
  <c r="AC60" i="7"/>
  <c r="AC47" i="7"/>
  <c r="AC48" i="7"/>
  <c r="M60" i="7"/>
  <c r="M47" i="7"/>
  <c r="M48" i="7"/>
  <c r="I60" i="7"/>
  <c r="I47" i="7"/>
  <c r="I48" i="7"/>
  <c r="K48" i="7"/>
  <c r="K47" i="7"/>
  <c r="K60" i="7"/>
  <c r="B77" i="4"/>
  <c r="B77" i="13"/>
  <c r="Q48" i="7"/>
  <c r="Q47" i="7"/>
  <c r="Q60" i="7"/>
  <c r="W47" i="7"/>
  <c r="W48" i="7"/>
  <c r="W60" i="7"/>
  <c r="O60" i="7"/>
  <c r="O48" i="7"/>
  <c r="O47" i="7"/>
  <c r="E67" i="7" l="1"/>
  <c r="S67" i="7"/>
  <c r="Q67" i="7"/>
  <c r="K67" i="7"/>
  <c r="AE67" i="7"/>
  <c r="O67" i="7"/>
  <c r="Y67" i="7"/>
  <c r="W67" i="7"/>
  <c r="M67" i="7"/>
  <c r="AC67" i="7"/>
  <c r="AA67" i="7"/>
  <c r="AG67" i="7"/>
  <c r="I67" i="7"/>
  <c r="U67" i="7"/>
  <c r="G67" i="7"/>
  <c r="AO639" i="3"/>
  <c r="J108" i="4"/>
  <c r="K30" i="4"/>
  <c r="B31" i="4"/>
  <c r="E31" i="13"/>
  <c r="C33" i="11"/>
  <c r="E32" i="13"/>
  <c r="C34" i="11"/>
  <c r="E33" i="13"/>
  <c r="E45" i="4"/>
  <c r="E45" i="13"/>
  <c r="B47" i="11"/>
  <c r="E46" i="13"/>
  <c r="B84" i="11"/>
  <c r="B87" i="11"/>
  <c r="S96" i="4"/>
  <c r="E96" i="13" s="1"/>
  <c r="I104" i="4"/>
  <c r="I105" i="4" s="1"/>
  <c r="J104" i="4"/>
  <c r="J105" i="4" s="1"/>
  <c r="B102" i="13"/>
  <c r="E102" i="13"/>
  <c r="E108" i="4"/>
  <c r="E86" i="4" l="1"/>
  <c r="R86" i="4" s="1"/>
  <c r="E102" i="4"/>
  <c r="R102" i="4" s="1"/>
  <c r="E33" i="4"/>
  <c r="R33" i="4" s="1"/>
  <c r="C104" i="4"/>
  <c r="B104" i="13" s="1"/>
  <c r="B99" i="13"/>
  <c r="B45" i="13"/>
  <c r="C87" i="11"/>
  <c r="D87" i="11" s="1"/>
  <c r="B31" i="11"/>
  <c r="B97" i="11"/>
  <c r="AM566" i="3"/>
  <c r="B30" i="13"/>
  <c r="C100" i="11"/>
  <c r="B30" i="4"/>
  <c r="C31" i="11"/>
  <c r="D31" i="11" s="1"/>
  <c r="I108" i="4"/>
  <c r="B46" i="13"/>
  <c r="B83" i="4"/>
  <c r="S54" i="4"/>
  <c r="E54" i="13" s="1"/>
  <c r="B83" i="13"/>
  <c r="B104" i="4"/>
  <c r="B45" i="4"/>
  <c r="C103" i="11"/>
  <c r="E99" i="4"/>
  <c r="E104" i="4" s="1"/>
  <c r="B34" i="11"/>
  <c r="D34" i="11" s="1"/>
  <c r="C96" i="4"/>
  <c r="B96" i="13" s="1"/>
  <c r="C54" i="4"/>
  <c r="B46" i="4"/>
  <c r="S104" i="4"/>
  <c r="BA1058" i="3" s="1"/>
  <c r="B99" i="4"/>
  <c r="C46" i="11"/>
  <c r="S38" i="4"/>
  <c r="AO641" i="3"/>
  <c r="AB48" i="15"/>
  <c r="E62" i="7"/>
  <c r="R45" i="4"/>
  <c r="E54" i="4"/>
  <c r="R30" i="4"/>
  <c r="K38" i="4"/>
  <c r="K63" i="4" s="1"/>
  <c r="C38" i="4"/>
  <c r="B33" i="11"/>
  <c r="D33" i="11" s="1"/>
  <c r="C32" i="11"/>
  <c r="B32" i="11"/>
  <c r="B102" i="4"/>
  <c r="B103" i="11"/>
  <c r="B33" i="4"/>
  <c r="B86" i="4"/>
  <c r="N188" i="23" s="1"/>
  <c r="N195" i="23" s="1"/>
  <c r="B100" i="11"/>
  <c r="C47" i="11"/>
  <c r="E46" i="4"/>
  <c r="R46" i="4" s="1"/>
  <c r="E86" i="13"/>
  <c r="E32" i="4"/>
  <c r="R32" i="4" s="1"/>
  <c r="E99" i="13"/>
  <c r="B33" i="13"/>
  <c r="B32" i="4"/>
  <c r="B32" i="13"/>
  <c r="B46" i="11"/>
  <c r="B55" i="11" s="1"/>
  <c r="E83" i="4"/>
  <c r="B31" i="13"/>
  <c r="E31" i="4"/>
  <c r="E30" i="13"/>
  <c r="B86" i="13"/>
  <c r="C84" i="11"/>
  <c r="C105" i="11" l="1"/>
  <c r="R54" i="4"/>
  <c r="B96" i="4"/>
  <c r="B39" i="11"/>
  <c r="B64" i="11" s="1"/>
  <c r="B98" i="11" s="1"/>
  <c r="S63" i="4"/>
  <c r="D46" i="11"/>
  <c r="E38" i="13"/>
  <c r="E104" i="13"/>
  <c r="R99" i="4"/>
  <c r="R104" i="4" s="1"/>
  <c r="B54" i="4"/>
  <c r="B54" i="13"/>
  <c r="D103" i="11"/>
  <c r="K96" i="4"/>
  <c r="E85" i="4"/>
  <c r="R85" i="4" s="1"/>
  <c r="C55" i="11"/>
  <c r="D55" i="11" s="1"/>
  <c r="D47" i="11"/>
  <c r="D100" i="11"/>
  <c r="B105" i="11"/>
  <c r="D105" i="11" s="1"/>
  <c r="K97" i="4"/>
  <c r="K105" i="4" s="1"/>
  <c r="R83" i="4"/>
  <c r="R96" i="4" s="1"/>
  <c r="C97" i="11"/>
  <c r="D97" i="11" s="1"/>
  <c r="D84" i="11"/>
  <c r="E66" i="7"/>
  <c r="E70" i="7" s="1"/>
  <c r="E72" i="7" s="1"/>
  <c r="D32" i="11"/>
  <c r="E38" i="4"/>
  <c r="E63" i="4" s="1"/>
  <c r="R31" i="4"/>
  <c r="R38" i="4" s="1"/>
  <c r="R63" i="4" s="1"/>
  <c r="G62" i="7"/>
  <c r="C63" i="4"/>
  <c r="B38" i="13"/>
  <c r="B38" i="4"/>
  <c r="I62" i="7"/>
  <c r="E63" i="13"/>
  <c r="S97" i="4"/>
  <c r="C39" i="11"/>
  <c r="E96" i="4" l="1"/>
  <c r="B63" i="4"/>
  <c r="R97" i="4"/>
  <c r="R105" i="4" s="1"/>
  <c r="G66" i="7"/>
  <c r="G70" i="7" s="1"/>
  <c r="G72" i="7" s="1"/>
  <c r="K62" i="7"/>
  <c r="M62" i="7" s="1"/>
  <c r="AZ1046" i="3"/>
  <c r="E97" i="13"/>
  <c r="S105" i="4"/>
  <c r="D39" i="11"/>
  <c r="C64" i="11"/>
  <c r="I66" i="7"/>
  <c r="I70" i="7" s="1"/>
  <c r="I72" i="7" s="1"/>
  <c r="B63" i="13"/>
  <c r="C97" i="4"/>
  <c r="E97" i="4"/>
  <c r="E105" i="4" s="1"/>
  <c r="B106" i="11"/>
  <c r="C98" i="11" l="1"/>
  <c r="D64" i="11"/>
  <c r="C105" i="4"/>
  <c r="B97" i="13"/>
  <c r="B97" i="4"/>
  <c r="M66" i="7"/>
  <c r="M70" i="7" s="1"/>
  <c r="M72" i="7" s="1"/>
  <c r="E105" i="13"/>
  <c r="S107" i="4"/>
  <c r="BA1056" i="3"/>
  <c r="AZ1051" i="3"/>
  <c r="BA1055" i="3" s="1"/>
  <c r="BA1059" i="3" s="1"/>
  <c r="K66" i="7"/>
  <c r="K70" i="7" s="1"/>
  <c r="K72" i="7" s="1"/>
  <c r="O62" i="7"/>
  <c r="AF551" i="20" l="1"/>
  <c r="AF553" i="20" s="1"/>
  <c r="AK559" i="20" s="1"/>
  <c r="T818" i="20" s="1"/>
  <c r="AF818" i="20" s="1"/>
  <c r="BE81" i="3" s="1"/>
  <c r="AA1056" i="3"/>
  <c r="AA1057" i="3" s="1"/>
  <c r="G1058" i="3" s="1"/>
  <c r="AC456" i="3"/>
  <c r="E107" i="13"/>
  <c r="T11" i="15" s="1"/>
  <c r="T23" i="15" s="1"/>
  <c r="O66" i="7"/>
  <c r="O70" i="7" s="1"/>
  <c r="O72" i="7" s="1"/>
  <c r="Q62" i="7"/>
  <c r="S62" i="7" s="1"/>
  <c r="BE101" i="3"/>
  <c r="B105" i="4"/>
  <c r="AC455" i="3"/>
  <c r="AG269" i="20"/>
  <c r="B105" i="13"/>
  <c r="C106" i="11"/>
  <c r="D106" i="11" s="1"/>
  <c r="D98" i="11"/>
  <c r="AD38" i="15" l="1"/>
  <c r="AD40" i="15" s="1"/>
  <c r="T26" i="15"/>
  <c r="T28" i="15" s="1"/>
  <c r="T29" i="15" s="1"/>
  <c r="S66" i="7"/>
  <c r="S70" i="7" s="1"/>
  <c r="S72" i="7" s="1"/>
  <c r="Q66" i="7"/>
  <c r="Q70" i="7" s="1"/>
  <c r="Q72" i="7" s="1"/>
  <c r="U62" i="7"/>
  <c r="AB266" i="20"/>
  <c r="AG268" i="20" s="1"/>
  <c r="AG270" i="20" s="1"/>
  <c r="AK273" i="20" s="1"/>
  <c r="T812" i="20" s="1"/>
  <c r="AF812" i="20" s="1"/>
  <c r="AB47" i="15"/>
  <c r="AB49" i="15" s="1"/>
  <c r="N185" i="23"/>
  <c r="AC454" i="3"/>
  <c r="BE22" i="3"/>
  <c r="AB54" i="15" l="1"/>
  <c r="AB55" i="15" s="1"/>
  <c r="BE77" i="3"/>
  <c r="AF821" i="20"/>
  <c r="BE70" i="3" s="1"/>
  <c r="N186" i="23"/>
  <c r="N196" i="23"/>
  <c r="U66" i="7"/>
  <c r="U70" i="7" s="1"/>
  <c r="U72" i="7" s="1"/>
  <c r="W62" i="7"/>
  <c r="BE44" i="3"/>
  <c r="F457" i="3"/>
  <c r="Y38" i="15"/>
  <c r="Y40" i="15" s="1"/>
  <c r="Y41" i="15" s="1"/>
  <c r="AB56" i="15" s="1"/>
  <c r="W66" i="7" l="1"/>
  <c r="W70" i="7" s="1"/>
  <c r="W72" i="7" s="1"/>
  <c r="Y62" i="7"/>
  <c r="AB57" i="15"/>
  <c r="M26" i="3"/>
  <c r="AB59" i="15" l="1"/>
  <c r="AB77" i="15" s="1"/>
  <c r="AB78" i="15" s="1"/>
  <c r="P204" i="3"/>
  <c r="BE19" i="3"/>
  <c r="Y66" i="7"/>
  <c r="Y70" i="7" s="1"/>
  <c r="Y72" i="7" s="1"/>
  <c r="I10" i="21" l="1"/>
  <c r="I11" i="21" s="1"/>
  <c r="I18" i="21" s="1"/>
  <c r="H4" i="21" s="1"/>
  <c r="H5" i="21" s="1"/>
  <c r="BE83" i="3" s="1"/>
  <c r="AB79" i="15"/>
  <c r="AB81" i="15" s="1"/>
  <c r="J82" i="15" s="1"/>
  <c r="M27" i="3"/>
  <c r="P205" i="3" l="1"/>
  <c r="BE20" i="3"/>
  <c r="AG72" i="7"/>
  <c r="AE70" i="7"/>
  <c r="AC70" i="7"/>
  <c r="AG62" i="7"/>
  <c r="AG66" i="7"/>
  <c r="AG70" i="7"/>
  <c r="AA70" i="7"/>
  <c r="AA66" i="7"/>
  <c r="AA62" i="7"/>
  <c r="AA72" i="7"/>
  <c r="AE66" i="7"/>
  <c r="AE62" i="7"/>
  <c r="AE72" i="7"/>
  <c r="AC66" i="7"/>
  <c r="AC62" i="7"/>
  <c r="AC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<sst xmlns="http://schemas.openxmlformats.org/spreadsheetml/2006/main" count="5023" uniqueCount="2724">
  <si>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</si>
  <si>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</si>
  <si>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</si>
  <si>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</si>
  <si>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</si>
  <si>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</si>
  <si>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</si>
  <si>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</si>
  <si>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</si>
  <si>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</si>
  <si>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</si>
  <si>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</si>
  <si>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</si>
  <si>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</si>
  <si>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</si>
  <si>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</si>
  <si>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</si>
  <si>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</si>
  <si>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</si>
  <si>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</si>
  <si>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</si>
  <si>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</si>
  <si>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</si>
  <si>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</si>
  <si>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</si>
  <si>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</si>
  <si>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</si>
  <si>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</si>
  <si>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</si>
  <si>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</si>
  <si>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</si>
  <si>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</si>
  <si>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</si>
  <si>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</si>
  <si>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</si>
  <si>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</si>
  <si>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</si>
  <si>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</si>
  <si>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</si>
  <si>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</si>
  <si>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</si>
  <si>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</si>
  <si>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</si>
  <si>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</si>
  <si>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</si>
  <si>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</si>
  <si>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</si>
  <si>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</si>
  <si>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</si>
  <si>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</si>
  <si>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</si>
  <si>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</si>
  <si>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</si>
  <si>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</si>
  <si>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</si>
  <si>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</si>
  <si>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</si>
  <si>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</si>
  <si>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</si>
  <si>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</si>
  <si>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</si>
  <si>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</si>
  <si>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</si>
  <si>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</si>
  <si>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</si>
  <si>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</si>
  <si>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</si>
  <si>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</si>
  <si>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</si>
  <si>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</si>
  <si>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</si>
  <si>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</si>
  <si>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</si>
  <si>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</si>
  <si>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</si>
  <si>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</si>
  <si>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</si>
  <si>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</si>
  <si>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</si>
  <si>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</si>
  <si>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</si>
  <si>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</si>
  <si>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</si>
  <si>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</si>
  <si>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</si>
  <si>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</si>
  <si>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</si>
  <si>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</si>
  <si>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</si>
  <si>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</si>
  <si>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</si>
  <si>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</si>
  <si>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</si>
  <si>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</si>
  <si>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</si>
  <si>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</si>
  <si>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</si>
  <si>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</si>
  <si>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</si>
  <si>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</si>
  <si>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</si>
  <si>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</si>
  <si>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</si>
  <si>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</si>
  <si>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</si>
  <si>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</si>
  <si>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</si>
  <si>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</si>
  <si>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</si>
  <si>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</si>
  <si>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</si>
  <si>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</si>
  <si>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</si>
  <si>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</si>
  <si>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</si>
  <si>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</si>
  <si>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</si>
  <si>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</si>
  <si>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</si>
  <si>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</si>
  <si>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</si>
  <si>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</si>
  <si>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</si>
  <si>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</si>
  <si>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</si>
  <si>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</si>
  <si>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</si>
  <si>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</si>
  <si>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</si>
  <si>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</si>
  <si>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</si>
  <si>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</si>
  <si>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</si>
  <si>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</si>
  <si>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</si>
  <si>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</si>
  <si>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</si>
  <si>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</si>
  <si>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</si>
  <si>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</si>
  <si>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</si>
  <si>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</si>
  <si>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</si>
  <si>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</si>
  <si>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</si>
  <si>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</si>
  <si>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</si>
  <si>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</si>
  <si>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</si>
  <si>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</si>
  <si>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</si>
  <si>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</si>
  <si>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</si>
  <si>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</si>
  <si>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</si>
  <si>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</si>
  <si>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</si>
  <si>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</si>
  <si>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</si>
  <si>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</si>
  <si>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</si>
  <si>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</si>
  <si>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</si>
  <si>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</si>
  <si>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</si>
  <si>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</si>
  <si>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</si>
  <si>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</si>
  <si>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</si>
  <si>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</si>
  <si>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</si>
  <si>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</si>
  <si>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</si>
  <si>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</si>
  <si>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</si>
  <si>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</si>
  <si>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</si>
  <si>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</si>
  <si>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</si>
  <si>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</si>
  <si>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</si>
  <si>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</si>
  <si>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</si>
  <si>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</si>
  <si>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</si>
  <si>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</si>
  <si>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</si>
  <si>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</si>
  <si>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</si>
  <si>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</si>
  <si>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</si>
  <si>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</si>
  <si>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</si>
  <si>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</si>
  <si>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</si>
  <si>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</si>
  <si>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</si>
  <si>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</si>
  <si>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</si>
  <si>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</si>
  <si>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</si>
  <si>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</si>
  <si>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</si>
  <si>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</si>
  <si>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</si>
  <si>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</si>
  <si>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</si>
  <si>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</si>
  <si>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</si>
  <si>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</si>
  <si>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</si>
  <si>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</si>
  <si>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</si>
  <si>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</si>
  <si>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</si>
  <si>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</si>
  <si>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</si>
  <si>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</si>
  <si>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</si>
  <si>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</si>
  <si>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</si>
  <si>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</si>
  <si>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</si>
  <si>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</si>
  <si>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</si>
  <si>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</si>
  <si>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</si>
  <si>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</si>
  <si>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</si>
  <si>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</si>
  <si>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</si>
  <si>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</si>
  <si>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</si>
  <si>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</si>
  <si>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</si>
  <si>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</si>
  <si>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</si>
  <si>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</si>
  <si>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</si>
  <si>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</si>
  <si>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</si>
  <si>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</si>
  <si>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</si>
  <si>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</si>
  <si>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</si>
  <si>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</si>
  <si>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</si>
  <si>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</si>
  <si>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</si>
  <si>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</si>
  <si>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</si>
  <si>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</si>
  <si>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</si>
  <si>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</si>
  <si>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</si>
  <si>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</si>
  <si>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</si>
  <si>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</si>
  <si>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</si>
  <si>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</si>
  <si>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</si>
  <si>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</si>
  <si>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</si>
  <si>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</si>
  <si>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</si>
  <si>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</si>
  <si>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</si>
  <si>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</si>
  <si>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</si>
  <si>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</si>
  <si>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</si>
  <si>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</si>
  <si>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</si>
  <si>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</si>
  <si>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</si>
  <si>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</si>
  <si>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</si>
  <si>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</si>
  <si>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</si>
  <si>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</si>
  <si>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</si>
  <si>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</si>
  <si>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</si>
  <si>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</si>
  <si>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</si>
  <si>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</si>
  <si>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</si>
  <si>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</si>
  <si>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</si>
  <si>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</si>
  <si>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</si>
  <si>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</si>
  <si>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</si>
  <si>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</si>
  <si>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</si>
  <si>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</si>
  <si>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</si>
  <si>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</si>
  <si>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</si>
  <si>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</si>
  <si>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</si>
  <si>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</si>
  <si>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</si>
  <si>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</si>
  <si>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</si>
  <si>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</si>
  <si>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</si>
  <si>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</si>
  <si>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</si>
  <si>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</si>
  <si>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</si>
  <si>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</si>
  <si>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</si>
  <si>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</si>
  <si>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</si>
  <si>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</si>
  <si>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</si>
  <si>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</si>
  <si>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</si>
  <si>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</si>
  <si>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</si>
  <si>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</si>
  <si>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</si>
  <si>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</si>
  <si>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</si>
  <si>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</si>
  <si>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</si>
  <si>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</si>
  <si>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</si>
  <si>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</si>
  <si>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</si>
  <si>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</si>
  <si>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</si>
  <si>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</si>
  <si>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</si>
  <si>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</si>
  <si>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</si>
  <si>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</si>
  <si>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</si>
  <si>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</si>
  <si>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</si>
  <si>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</si>
  <si>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</si>
  <si>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</si>
  <si>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</si>
  <si>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</si>
  <si>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</si>
  <si>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</si>
  <si>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</si>
  <si>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</si>
  <si>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</si>
  <si>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</si>
  <si>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</si>
  <si>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</si>
  <si>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</si>
  <si>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</si>
  <si>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</si>
  <si>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</si>
  <si>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</si>
  <si>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</si>
  <si>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</si>
  <si>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</si>
  <si>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</si>
  <si>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</si>
  <si>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</si>
  <si>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</si>
  <si>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</si>
  <si>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</si>
  <si>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</si>
  <si>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</si>
  <si>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</si>
  <si>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</si>
  <si>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</si>
  <si>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</si>
  <si>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</si>
  <si>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</si>
  <si>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</si>
  <si>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</si>
  <si>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</si>
  <si>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</si>
  <si>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</si>
  <si>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</si>
  <si>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</si>
  <si>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</si>
  <si>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</si>
  <si>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</si>
  <si>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</si>
  <si>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</si>
  <si>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</si>
  <si>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</si>
  <si>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</si>
  <si>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</si>
  <si>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</si>
  <si>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</si>
  <si>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</si>
  <si>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</si>
  <si>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</si>
  <si>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</si>
  <si>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</si>
  <si>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</si>
  <si>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</si>
  <si>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</si>
  <si>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</si>
  <si>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</si>
  <si>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</si>
  <si>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</si>
  <si>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</si>
  <si>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</si>
  <si>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</si>
  <si>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</si>
  <si>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</si>
  <si>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</si>
  <si>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</si>
  <si>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</si>
  <si>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</si>
  <si>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</si>
  <si>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</si>
  <si>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</si>
  <si>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</si>
  <si>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</si>
  <si>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</si>
  <si>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</si>
  <si>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</si>
  <si>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</si>
  <si>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</si>
  <si>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</si>
  <si>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</si>
  <si>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</si>
  <si>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</si>
  <si>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</si>
  <si>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</si>
  <si>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</si>
  <si>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</si>
  <si>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</si>
  <si>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</si>
  <si>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</si>
  <si>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</si>
  <si>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</si>
  <si>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</si>
  <si>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</si>
  <si>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</si>
  <si>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</si>
  <si>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</si>
  <si>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</si>
  <si>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</si>
  <si>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</si>
  <si>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</si>
  <si>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</si>
  <si>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</si>
  <si>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</si>
  <si>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</si>
  <si>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</si>
  <si>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</si>
  <si>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</si>
  <si>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</si>
  <si>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</si>
  <si>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</si>
  <si>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</si>
  <si>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</si>
  <si>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</si>
  <si>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</si>
  <si>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</si>
  <si>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</si>
  <si>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</si>
  <si>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</si>
  <si>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</si>
  <si>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</si>
  <si>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</si>
  <si>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</si>
  <si>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</si>
  <si>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</si>
  <si>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</si>
  <si>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</si>
  <si>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</si>
  <si>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</si>
  <si>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</si>
  <si>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</si>
  <si>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</si>
  <si>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</si>
  <si>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</si>
  <si>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</si>
  <si>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</si>
  <si>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</si>
  <si>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</si>
  <si>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</si>
  <si>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</si>
  <si>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</si>
  <si>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</si>
  <si>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</si>
  <si>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</si>
  <si>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</si>
  <si>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</si>
  <si>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</si>
  <si>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</si>
  <si>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</si>
  <si>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</si>
  <si>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</si>
  <si>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</si>
  <si>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</si>
  <si>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</si>
  <si>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</si>
  <si>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</si>
  <si>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</si>
  <si>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</si>
  <si>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</si>
  <si>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</si>
  <si>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</si>
  <si>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</si>
  <si>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</si>
  <si>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</si>
  <si>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</si>
  <si>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</si>
  <si>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</si>
  <si>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</si>
  <si>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</si>
  <si>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</si>
  <si>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</si>
  <si>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</si>
  <si>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</si>
  <si>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</si>
  <si>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</si>
  <si>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</si>
  <si>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</si>
  <si>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</si>
  <si>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</si>
  <si>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</si>
  <si>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</si>
  <si>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</si>
  <si>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</si>
  <si>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</si>
  <si>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</si>
  <si>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</si>
  <si>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</si>
  <si>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</si>
  <si>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</si>
  <si>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</si>
  <si>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</si>
  <si>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</si>
  <si>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</si>
  <si>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</si>
  <si>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</si>
  <si>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</si>
  <si>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</si>
  <si>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</si>
  <si>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</si>
  <si>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</si>
  <si>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</si>
  <si>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</si>
  <si>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</si>
  <si>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</si>
  <si>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</si>
  <si>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</si>
  <si>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</si>
  <si>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</si>
  <si>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</si>
  <si>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</si>
  <si>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</si>
  <si>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</si>
  <si>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</si>
  <si>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</si>
  <si>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</si>
  <si>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</si>
  <si>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</si>
  <si>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</si>
  <si>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</si>
  <si>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</si>
  <si>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</si>
  <si>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</si>
  <si>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</si>
  <si>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</si>
  <si>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</si>
  <si>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</si>
  <si>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</si>
  <si>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</si>
  <si>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</si>
  <si>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</si>
  <si>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</si>
  <si>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</si>
  <si>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</si>
  <si>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</si>
  <si>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</si>
  <si>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</si>
  <si>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</si>
  <si>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</si>
  <si>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</si>
  <si>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</si>
  <si>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</si>
  <si>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</si>
  <si>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</si>
  <si>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</si>
  <si>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</si>
  <si>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</si>
  <si>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</si>
  <si>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</si>
  <si>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</si>
  <si>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</si>
  <si>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</si>
  <si>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</si>
  <si>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</si>
  <si>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</si>
  <si>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</si>
  <si>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</si>
  <si>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</si>
  <si>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</si>
  <si>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</si>
  <si>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</si>
  <si>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</si>
  <si>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</si>
  <si>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</si>
  <si>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</si>
  <si>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</si>
  <si>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</si>
  <si>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</si>
  <si>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</si>
  <si>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</si>
  <si>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</si>
  <si>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</si>
  <si>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</si>
  <si>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</si>
  <si>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</si>
  <si>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</si>
  <si>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</si>
  <si>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</si>
  <si>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</si>
  <si>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</si>
  <si>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</si>
  <si>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</si>
  <si>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</si>
  <si>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</si>
  <si>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</si>
  <si>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</si>
  <si>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</si>
  <si>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</si>
  <si>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</si>
  <si>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</si>
  <si>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</si>
  <si>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</si>
  <si>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</si>
  <si>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</si>
  <si>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</si>
  <si>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</si>
  <si>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</si>
  <si>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</si>
  <si>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</si>
  <si>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</si>
  <si>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</si>
  <si>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</si>
  <si>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</si>
  <si>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</si>
  <si>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</si>
  <si>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</si>
  <si>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</si>
  <si>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</si>
  <si>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</si>
  <si>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</si>
  <si>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</si>
  <si>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</si>
  <si>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</si>
  <si>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</si>
  <si>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</si>
  <si>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</si>
  <si>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</si>
  <si>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</si>
  <si>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</si>
  <si>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</si>
  <si>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</si>
  <si>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</si>
  <si>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</si>
  <si>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</si>
  <si>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</si>
  <si>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</si>
  <si>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</si>
  <si>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</si>
  <si>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</si>
  <si>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</si>
  <si>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</si>
  <si>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</si>
  <si>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</si>
  <si>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</si>
  <si>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</si>
  <si>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</si>
  <si>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</si>
  <si>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</si>
  <si>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</si>
  <si>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</si>
  <si>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</si>
  <si>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</si>
  <si>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</si>
  <si>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</si>
  <si>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</si>
  <si>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</si>
  <si>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</si>
  <si>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</si>
  <si>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</si>
  <si>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</si>
  <si>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</si>
  <si>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</si>
  <si>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</si>
  <si>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</si>
  <si>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</si>
  <si>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</si>
  <si>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</si>
  <si>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</si>
  <si>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</si>
  <si>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</si>
  <si>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</si>
  <si>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</si>
  <si>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</si>
  <si>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</si>
  <si>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</si>
  <si>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</si>
  <si>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</si>
  <si>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</si>
  <si>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</si>
  <si>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</si>
  <si>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</si>
  <si>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</si>
  <si>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</si>
  <si>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</si>
  <si>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</si>
  <si>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</si>
  <si>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</si>
  <si>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</si>
  <si>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</si>
  <si>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</si>
  <si>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</si>
  <si>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</si>
  <si>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</si>
  <si>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</si>
  <si>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</si>
  <si>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</si>
  <si>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</si>
  <si>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</si>
  <si>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</si>
  <si>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</si>
  <si>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</si>
  <si>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</si>
  <si>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</si>
  <si>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</si>
  <si>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</si>
  <si>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</si>
  <si>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</si>
  <si>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</si>
  <si>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</si>
  <si>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</si>
  <si>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</si>
  <si>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</si>
  <si>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</si>
  <si>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</si>
  <si>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</si>
  <si>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</si>
  <si>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</si>
  <si>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</si>
  <si>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</si>
  <si>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</si>
  <si>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</si>
  <si>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</si>
  <si>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</si>
  <si>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</si>
  <si>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</si>
  <si>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</si>
  <si>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</si>
  <si>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</si>
  <si>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</si>
  <si>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</si>
  <si>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</si>
  <si>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</si>
  <si>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</si>
  <si>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</si>
  <si>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</si>
  <si>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</si>
  <si>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</si>
  <si>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</si>
  <si>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</si>
  <si>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</si>
  <si>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</si>
  <si>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</si>
  <si>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</si>
  <si>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</si>
  <si>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</si>
  <si>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</si>
  <si>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</si>
  <si>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</si>
  <si>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</si>
  <si>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</si>
  <si>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</si>
  <si>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</si>
  <si>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</si>
  <si>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</si>
  <si>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</si>
  <si>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</si>
  <si>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</si>
  <si>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</si>
  <si>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</si>
  <si>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</si>
  <si>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</si>
  <si>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</si>
  <si>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</si>
  <si>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</si>
  <si>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</si>
  <si>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</si>
  <si>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</si>
  <si>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</si>
  <si>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</si>
  <si>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</si>
  <si>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</si>
  <si>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</si>
  <si>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</si>
  <si>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</si>
  <si>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</si>
  <si>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</si>
  <si>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</si>
  <si>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</si>
  <si>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</si>
  <si>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</si>
  <si>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</si>
  <si>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</si>
  <si>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</si>
  <si>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</si>
  <si>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</si>
  <si>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</si>
  <si>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</si>
  <si>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</si>
  <si>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</si>
  <si>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</si>
  <si>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</si>
  <si>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</si>
  <si>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</si>
  <si>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</si>
  <si>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</si>
  <si>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</si>
  <si>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</si>
  <si>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</si>
  <si>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</si>
  <si>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</si>
  <si>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</si>
  <si>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</si>
  <si>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</si>
  <si>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</si>
  <si>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</si>
  <si>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</si>
  <si>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</si>
  <si>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</si>
  <si>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</si>
  <si>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</si>
  <si>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</si>
  <si>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</si>
  <si>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</si>
  <si>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</si>
  <si>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</si>
  <si>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</si>
  <si>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</si>
  <si>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</si>
  <si>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</si>
  <si>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</si>
  <si>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</si>
  <si>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</si>
  <si>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</si>
  <si>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</si>
  <si>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</si>
  <si>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</si>
  <si>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</si>
  <si>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</si>
  <si>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</si>
  <si>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</si>
  <si>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</si>
  <si>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</si>
  <si>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</si>
  <si>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</si>
  <si>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</si>
  <si>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</si>
  <si>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</si>
  <si>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</si>
  <si>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</si>
  <si>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</si>
  <si>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</si>
  <si>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</si>
  <si>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</si>
  <si>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</si>
  <si>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</si>
  <si>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</si>
  <si>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</si>
  <si>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</si>
  <si>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</si>
  <si>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</si>
  <si>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</si>
  <si>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</si>
  <si>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</si>
  <si>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</si>
  <si>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</si>
  <si>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</si>
  <si>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</si>
  <si>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</si>
  <si>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</si>
  <si>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</si>
  <si>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</si>
  <si>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</si>
  <si>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</si>
  <si>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</si>
  <si>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</si>
  <si>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</si>
  <si>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</si>
  <si>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</si>
  <si>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</si>
  <si>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</si>
  <si>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</si>
  <si>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</si>
  <si>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</si>
  <si>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</si>
  <si>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</si>
  <si>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</si>
  <si>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</si>
  <si>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</si>
  <si>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</si>
  <si>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</si>
  <si>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</si>
  <si>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</si>
  <si>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</si>
  <si>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</si>
  <si>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</si>
  <si>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</si>
  <si>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</si>
  <si>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</si>
  <si>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</si>
  <si>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</si>
  <si>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</si>
  <si>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</si>
  <si>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</si>
  <si>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</si>
  <si>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</si>
  <si>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</si>
  <si>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</si>
  <si>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</si>
  <si>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</si>
  <si>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</si>
  <si>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</si>
  <si>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</si>
  <si>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</si>
  <si>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</si>
  <si>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</si>
  <si>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</si>
  <si>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</si>
  <si>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</si>
  <si>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</si>
  <si>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</si>
  <si>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</si>
  <si>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</si>
  <si>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</si>
  <si>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</si>
  <si>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</si>
  <si>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</si>
  <si>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</si>
  <si>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</si>
  <si>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</si>
  <si>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</si>
  <si>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</si>
  <si>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</si>
  <si>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</si>
  <si>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</si>
  <si>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</si>
  <si>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</si>
  <si>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</si>
  <si>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</si>
  <si>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</si>
  <si>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</si>
  <si>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</si>
  <si>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</si>
  <si>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</si>
  <si>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</si>
  <si>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</si>
  <si>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</si>
  <si>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</si>
  <si>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</si>
  <si>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</si>
  <si>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</si>
  <si>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</si>
  <si>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</si>
  <si>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</si>
  <si>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</si>
  <si>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</si>
  <si>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</si>
  <si>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</si>
  <si>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</si>
  <si>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</si>
  <si>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</si>
  <si>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</si>
  <si>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</si>
  <si>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</si>
  <si>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</si>
  <si>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</si>
  <si>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</si>
  <si>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</si>
  <si>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</si>
  <si>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</si>
  <si>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</si>
  <si>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</si>
  <si>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</si>
  <si>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</si>
  <si>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</si>
  <si>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</si>
  <si>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</si>
  <si>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</si>
  <si>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</si>
  <si>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</si>
  <si>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</si>
  <si>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</si>
  <si>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</si>
  <si>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</si>
  <si>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</si>
  <si>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</si>
  <si>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</si>
  <si>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</si>
  <si>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</si>
  <si>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</si>
  <si>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</si>
  <si>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</si>
  <si>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</si>
  <si>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</si>
  <si>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</si>
  <si>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</si>
  <si>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</si>
  <si>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</si>
  <si>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</si>
  <si>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</si>
  <si>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</si>
  <si>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</si>
  <si>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</si>
  <si>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</si>
  <si>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</si>
  <si>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</si>
  <si>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</si>
  <si>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</si>
  <si>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</si>
  <si>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</si>
  <si>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</si>
  <si>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</si>
  <si>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</si>
  <si>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</si>
  <si>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</si>
  <si>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</si>
  <si>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</si>
  <si>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</si>
  <si>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</si>
  <si>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</si>
  <si>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</si>
  <si>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</si>
  <si>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</si>
  <si>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</si>
  <si>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</si>
  <si>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</si>
  <si>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</si>
  <si>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</si>
  <si>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</si>
  <si>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</si>
  <si>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</si>
  <si>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</si>
  <si>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</si>
  <si>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</si>
  <si>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</si>
  <si>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</si>
  <si>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</si>
  <si>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</si>
  <si>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</si>
  <si>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</si>
  <si>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</si>
  <si>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</si>
  <si>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</si>
  <si>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</si>
  <si>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</si>
  <si>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</si>
  <si>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</si>
  <si>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</si>
  <si>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</si>
  <si>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</si>
  <si>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</si>
  <si>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</si>
  <si>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</si>
  <si>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</si>
  <si>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</si>
  <si>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</si>
  <si>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</si>
  <si>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</si>
  <si>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</si>
  <si>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</si>
  <si>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</si>
  <si>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</si>
  <si>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</si>
  <si>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</si>
  <si>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</si>
  <si>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</si>
  <si>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</si>
  <si>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</si>
  <si>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</si>
  <si>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</si>
  <si>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</si>
  <si>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</si>
  <si>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</si>
  <si>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</si>
  <si>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</si>
  <si>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</si>
  <si>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</si>
  <si>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</si>
  <si>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</si>
  <si>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</si>
  <si>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</si>
  <si>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</si>
  <si>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</si>
  <si>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</si>
  <si>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</si>
  <si>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</si>
  <si>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</si>
  <si>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</si>
  <si>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</si>
  <si>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</si>
  <si>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</si>
  <si>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</si>
  <si>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</si>
  <si>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</si>
  <si>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</si>
  <si>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</si>
  <si>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</si>
  <si>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</si>
  <si>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</si>
  <si>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</si>
  <si>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</si>
  <si>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</si>
  <si>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</si>
  <si>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</si>
  <si>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</si>
  <si>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</si>
  <si>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</si>
  <si>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</si>
  <si>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</si>
  <si>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</si>
  <si>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</si>
  <si>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</si>
  <si>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</si>
  <si>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</si>
  <si>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</si>
  <si>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</si>
  <si>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</si>
  <si>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</si>
  <si>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</si>
  <si>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</si>
  <si>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</si>
  <si>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</si>
  <si>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</si>
  <si>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</si>
  <si>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</si>
  <si>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</si>
  <si>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</si>
  <si>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</si>
  <si>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</si>
  <si>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</si>
  <si>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</si>
  <si>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</si>
  <si>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</si>
  <si>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</si>
  <si>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</si>
  <si>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</si>
  <si>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</si>
  <si>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</si>
  <si>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</si>
  <si>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</si>
  <si>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</si>
  <si>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</si>
  <si>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</si>
  <si>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</si>
  <si>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</si>
  <si>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</si>
  <si>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</si>
  <si>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</si>
  <si>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</si>
  <si>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</si>
  <si>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</si>
  <si>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</si>
  <si>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</si>
  <si>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</si>
  <si>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</si>
  <si>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</si>
  <si>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</si>
  <si>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</si>
  <si>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</si>
  <si>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</si>
  <si>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</si>
  <si>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</si>
  <si>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</si>
  <si>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</si>
  <si>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</si>
  <si>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</si>
  <si>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</si>
  <si>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</si>
  <si>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</si>
  <si>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</si>
  <si>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</si>
  <si>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</si>
  <si>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</si>
  <si>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</si>
  <si>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</si>
  <si>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</si>
  <si>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</si>
  <si>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</si>
  <si>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</si>
  <si>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</si>
  <si>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</si>
  <si>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</si>
  <si>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</si>
  <si>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</si>
  <si>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</si>
  <si>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</si>
  <si>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</si>
  <si>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</si>
  <si>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</si>
  <si>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</si>
  <si>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</si>
  <si>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</si>
  <si>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</si>
  <si>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</si>
  <si>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</si>
  <si>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</si>
  <si>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</si>
  <si>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</si>
  <si>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</si>
  <si>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</si>
  <si>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</si>
  <si>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</si>
  <si>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</si>
  <si>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</si>
  <si>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</si>
  <si>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</si>
  <si>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</si>
  <si>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</si>
  <si>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</si>
  <si>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</si>
  <si>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</si>
  <si>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</si>
  <si>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</si>
  <si>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</si>
  <si>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</si>
  <si>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</si>
  <si>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</si>
  <si>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</si>
  <si>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</si>
  <si>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</si>
  <si>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</si>
  <si>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</si>
  <si>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</si>
  <si>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</si>
  <si>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</si>
  <si>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</si>
  <si>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</si>
  <si>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</si>
  <si>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</si>
  <si>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</si>
  <si>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</si>
  <si>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</si>
  <si>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</si>
  <si>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</si>
  <si>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</si>
  <si>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</si>
  <si>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</si>
  <si>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</si>
  <si>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</si>
  <si>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</si>
  <si>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</si>
  <si>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</si>
  <si>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</si>
  <si>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</si>
  <si>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</si>
  <si>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</si>
  <si>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</si>
  <si>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</si>
  <si>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</si>
  <si>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</si>
  <si>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</si>
  <si>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</si>
  <si>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</si>
  <si>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</si>
  <si>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</si>
  <si>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</si>
  <si>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</si>
  <si>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</si>
  <si>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</si>
  <si>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</si>
  <si>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</si>
  <si>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</si>
  <si>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</si>
  <si>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</si>
  <si>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</si>
  <si>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</si>
  <si>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</si>
  <si>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</si>
  <si>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</si>
  <si>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</si>
  <si>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</si>
  <si>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</si>
  <si>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</si>
  <si>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</si>
  <si>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</si>
  <si>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</si>
  <si>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</si>
  <si>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</si>
  <si>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</si>
  <si>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</si>
  <si>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</si>
  <si>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</si>
  <si>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</si>
  <si>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</si>
  <si>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</si>
  <si>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</si>
  <si>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</si>
  <si>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</si>
  <si>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</si>
  <si>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</si>
  <si>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</si>
  <si>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</si>
  <si>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</si>
  <si>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</si>
  <si>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</si>
  <si>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</si>
  <si>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</si>
  <si>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</si>
  <si>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</si>
  <si>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</si>
  <si>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</si>
  <si>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</si>
  <si>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</si>
  <si>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</si>
  <si>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</si>
  <si>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</si>
  <si>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</si>
  <si>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</si>
  <si>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</si>
  <si>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</si>
  <si>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</si>
  <si>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</si>
  <si>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</si>
  <si>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</si>
  <si>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</si>
  <si>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</si>
  <si>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</si>
  <si>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</si>
  <si>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</si>
  <si>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</si>
  <si>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</si>
  <si>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</si>
  <si>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</si>
  <si>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</si>
  <si>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</si>
  <si>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</si>
  <si>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</si>
  <si>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</si>
  <si>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</si>
  <si>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</si>
  <si>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</si>
  <si>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</si>
  <si>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</si>
  <si>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</si>
  <si>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</si>
  <si>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</si>
  <si>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</si>
  <si>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</si>
  <si>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</si>
  <si>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</si>
  <si>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</si>
  <si>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</si>
  <si>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</si>
  <si>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</si>
  <si>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</si>
  <si>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</si>
  <si>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</si>
  <si>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</si>
  <si>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</si>
  <si>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</si>
  <si>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</si>
  <si>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</si>
  <si>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</si>
  <si>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</si>
  <si>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</si>
  <si>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</si>
  <si>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</si>
  <si>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</si>
  <si>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</si>
  <si>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</si>
  <si>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</si>
  <si>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</si>
  <si>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</si>
  <si>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</si>
  <si>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</si>
  <si>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</si>
  <si>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</si>
  <si>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</si>
  <si>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</si>
  <si>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</si>
  <si>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</si>
  <si>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</si>
  <si>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</si>
  <si>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</si>
  <si>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</si>
  <si>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</si>
  <si>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</si>
  <si>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</si>
  <si>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</si>
  <si>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</si>
  <si>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</si>
  <si>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</si>
  <si>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</si>
  <si>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</si>
  <si>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</si>
  <si>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</si>
  <si>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</si>
  <si>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</si>
  <si>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</si>
  <si>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</si>
  <si>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</si>
  <si>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</si>
  <si>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</si>
  <si>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</si>
  <si>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</si>
  <si>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</si>
  <si>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</si>
  <si>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</si>
  <si>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</si>
  <si>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</si>
  <si>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</si>
  <si>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</si>
  <si>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</si>
  <si>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</si>
  <si>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</si>
  <si>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</si>
  <si>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</si>
  <si>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</si>
  <si>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</si>
  <si>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</si>
  <si>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</si>
  <si>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</si>
  <si>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</si>
  <si>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</si>
  <si>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</si>
  <si>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</si>
  <si>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</si>
  <si>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</si>
  <si>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</si>
  <si>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</si>
  <si>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</si>
  <si>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</si>
  <si>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</si>
  <si>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</si>
  <si>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</si>
  <si>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</si>
  <si>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</si>
  <si>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</si>
  <si>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</si>
  <si>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</si>
  <si>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</si>
  <si>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</si>
  <si>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</si>
  <si>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</si>
  <si>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</si>
  <si>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</si>
  <si>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</si>
  <si>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</si>
  <si>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</si>
  <si>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</si>
  <si>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</si>
  <si>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</si>
  <si>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</si>
  <si>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</si>
  <si>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</si>
  <si>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</si>
  <si>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</si>
  <si>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</si>
  <si>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</si>
  <si>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</si>
  <si>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</si>
  <si>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</si>
  <si>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</si>
  <si>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</si>
  <si>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</si>
  <si>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</si>
  <si>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</si>
  <si>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</si>
  <si>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</si>
  <si>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</si>
  <si>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</si>
  <si>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</si>
  <si>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</si>
  <si>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</si>
  <si>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</si>
  <si>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</si>
  <si>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</si>
  <si>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</si>
  <si>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</si>
  <si>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</si>
  <si>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</si>
  <si>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</si>
  <si>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</si>
  <si>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</si>
  <si>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</si>
  <si>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</si>
  <si>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</si>
  <si>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</si>
  <si>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</si>
  <si>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</si>
  <si>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</si>
  <si>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</si>
  <si>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</si>
  <si>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</si>
  <si>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</si>
  <si>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</si>
  <si>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</si>
  <si>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</si>
  <si>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</si>
  <si>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</si>
  <si>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</si>
  <si>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</si>
  <si>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</si>
  <si>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</si>
  <si>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</si>
  <si>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</si>
  <si>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</si>
  <si>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</si>
  <si>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</si>
  <si>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</si>
  <si>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</si>
  <si>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</si>
  <si>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</si>
  <si>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</si>
  <si>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</si>
  <si>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</si>
  <si>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</si>
  <si>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</si>
  <si>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</si>
  <si>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</si>
  <si>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</si>
  <si>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</si>
  <si>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</si>
  <si>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</si>
  <si>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</si>
  <si>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</si>
  <si>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</si>
  <si>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</si>
  <si>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</si>
  <si>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</si>
  <si>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</si>
  <si>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</si>
  <si>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</si>
  <si>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</si>
  <si>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</si>
  <si>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</si>
  <si>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</si>
  <si>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</si>
  <si>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</si>
  <si>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</si>
  <si>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</si>
  <si>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</si>
  <si>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</si>
  <si>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</si>
  <si>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</si>
  <si>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</si>
  <si>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</si>
  <si>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</si>
  <si>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</si>
  <si>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</si>
  <si>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</si>
  <si>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</si>
  <si>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</si>
  <si>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</si>
  <si>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</si>
  <si>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</si>
  <si>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</si>
  <si>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</si>
  <si>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</si>
  <si>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</si>
  <si>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</si>
  <si>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</si>
  <si>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</si>
  <si>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</si>
  <si>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</si>
  <si>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</si>
  <si>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</si>
  <si>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</si>
  <si>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</si>
  <si>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</si>
  <si>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</si>
  <si>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</si>
  <si>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</si>
  <si>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</si>
  <si>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</si>
  <si>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</si>
  <si>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</si>
  <si>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</si>
  <si>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</si>
  <si>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</si>
  <si>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</si>
  <si>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</si>
  <si>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</si>
  <si>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</si>
  <si>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</si>
  <si>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</si>
  <si>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</si>
  <si>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</si>
  <si>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</si>
  <si>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</si>
  <si>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</si>
  <si>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</si>
  <si>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</si>
  <si>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</si>
  <si>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</si>
  <si>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</si>
  <si>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</si>
  <si>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</si>
  <si>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</si>
  <si>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</si>
  <si>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</si>
  <si>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</si>
  <si>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</si>
  <si>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</si>
  <si>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</si>
  <si>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</si>
  <si>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</si>
  <si>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</si>
  <si>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</si>
  <si>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</si>
  <si>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</si>
  <si>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</si>
  <si>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</si>
  <si>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</si>
  <si>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</si>
  <si>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</si>
  <si>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</si>
  <si>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</si>
  <si>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</si>
  <si>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</si>
  <si>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</si>
  <si>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</si>
  <si>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</si>
  <si>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</si>
  <si>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</si>
  <si>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</si>
  <si>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</si>
  <si>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</si>
  <si>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</si>
  <si>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</si>
  <si>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</si>
  <si>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</si>
  <si>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</si>
  <si>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</si>
  <si>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</si>
  <si>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</si>
  <si>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</si>
  <si>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</si>
  <si>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</si>
  <si>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</si>
  <si>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</si>
  <si>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</si>
  <si>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</si>
  <si>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</si>
  <si>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</si>
  <si>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</si>
  <si>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</si>
  <si>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</si>
  <si>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</si>
  <si>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</si>
  <si>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</si>
  <si>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</si>
  <si>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</si>
  <si>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</si>
  <si>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</si>
  <si>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</si>
  <si>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</si>
  <si>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</si>
  <si>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</si>
  <si>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</si>
  <si>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</si>
  <si>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</si>
  <si>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</si>
  <si>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</si>
  <si>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</si>
  <si>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</si>
  <si>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</si>
  <si>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</si>
  <si>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</si>
  <si>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</si>
  <si>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</si>
  <si>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</si>
  <si>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</si>
  <si>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</si>
  <si>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</si>
  <si>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</si>
  <si>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</si>
  <si>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</si>
  <si>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</si>
  <si>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</si>
  <si>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</si>
  <si>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</si>
  <si>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</si>
  <si>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</si>
  <si>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</si>
  <si>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</si>
  <si>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</si>
  <si>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</si>
  <si>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</si>
  <si>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</si>
  <si>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</si>
  <si>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</si>
  <si>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</si>
  <si>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</si>
  <si>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</si>
  <si>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</si>
  <si>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</si>
  <si>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</si>
  <si>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</si>
  <si>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</si>
  <si>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</si>
  <si>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</si>
  <si>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</si>
  <si>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</si>
  <si>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</si>
  <si>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</si>
  <si>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</si>
  <si>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</si>
  <si>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</si>
  <si>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</si>
  <si>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</si>
  <si>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</si>
  <si>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</si>
  <si>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</si>
  <si>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</si>
  <si>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</si>
  <si>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</si>
  <si>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</si>
  <si>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</si>
  <si>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</si>
  <si>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</si>
  <si>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</si>
  <si>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</si>
  <si>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</si>
  <si>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</si>
  <si>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</si>
  <si>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</si>
  <si>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</si>
  <si>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</si>
  <si>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</si>
  <si>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</si>
  <si>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</si>
  <si>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</si>
  <si>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</si>
  <si>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</si>
  <si>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</si>
  <si>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</si>
  <si>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</si>
  <si>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</si>
  <si>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</si>
  <si>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</si>
  <si>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</si>
  <si>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</si>
  <si>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</si>
  <si>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</si>
  <si>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</si>
  <si>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</si>
  <si>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</si>
  <si>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</si>
  <si>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</si>
  <si>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</si>
  <si>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</si>
  <si>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</si>
  <si>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</si>
  <si>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</si>
  <si>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</si>
  <si>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</si>
  <si>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</si>
  <si>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</si>
  <si>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</si>
  <si>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</si>
  <si>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</si>
  <si>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</si>
  <si>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</si>
  <si>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</si>
  <si>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</si>
  <si>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</si>
  <si>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</si>
  <si>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</si>
  <si>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</si>
  <si>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</si>
  <si>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</si>
  <si>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</si>
  <si>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</si>
  <si>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</si>
  <si>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</si>
  <si>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</si>
  <si>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</si>
  <si>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</si>
  <si>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</si>
  <si>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</si>
  <si>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</si>
  <si>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</si>
  <si>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</si>
  <si>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</si>
  <si>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</si>
  <si>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</si>
  <si>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</si>
  <si>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</si>
  <si>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</si>
  <si>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</si>
  <si>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</si>
  <si>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</si>
  <si>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</si>
  <si>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</si>
  <si>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</si>
  <si>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</si>
  <si>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</si>
  <si>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</si>
  <si>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</si>
  <si>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</si>
  <si>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</si>
  <si>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</si>
  <si>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</si>
  <si>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</si>
  <si>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</si>
  <si>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</si>
  <si>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</si>
  <si>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</si>
  <si>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</si>
  <si>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</si>
  <si>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</si>
  <si>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</si>
  <si>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</si>
  <si>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</si>
  <si>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</si>
  <si>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</si>
  <si>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</si>
  <si>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</si>
  <si>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</si>
  <si>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</si>
  <si>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</si>
  <si>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</si>
  <si>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</si>
  <si>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</si>
  <si>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</si>
  <si>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</si>
  <si>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</si>
  <si>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</si>
  <si>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</si>
  <si>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</si>
  <si>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</si>
  <si>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</si>
  <si>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</si>
  <si>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</si>
  <si>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</si>
  <si>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</si>
  <si>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</si>
  <si>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</si>
  <si>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</si>
  <si>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</si>
  <si>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</si>
  <si>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</si>
  <si>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</si>
  <si>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</si>
  <si>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</si>
  <si>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</si>
  <si>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</si>
  <si>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</si>
  <si>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</si>
  <si>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</si>
  <si>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</si>
  <si>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</si>
  <si>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</si>
  <si>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</si>
  <si>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</si>
  <si>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</si>
  <si>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</si>
  <si>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</si>
  <si>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</si>
  <si>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</si>
  <si>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</si>
  <si>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</si>
  <si>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</si>
  <si>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</si>
  <si>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</si>
  <si>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</si>
  <si>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</si>
  <si>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</si>
  <si>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</si>
  <si>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</si>
  <si>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</si>
  <si>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</si>
  <si>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</si>
  <si>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</si>
  <si>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</si>
  <si>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</si>
  <si>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</si>
  <si>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</si>
  <si>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</si>
  <si>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</si>
  <si>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</si>
  <si>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</si>
  <si>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</si>
  <si>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</si>
  <si>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</si>
  <si>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</si>
  <si>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</si>
  <si>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</si>
  <si>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</si>
  <si>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</si>
  <si>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</si>
  <si>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</si>
  <si>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</si>
  <si>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</si>
  <si>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</si>
  <si>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</si>
  <si>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</si>
  <si>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</si>
  <si>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</si>
  <si>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</si>
  <si>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</si>
  <si>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</si>
  <si>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</si>
  <si>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</si>
  <si>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</si>
  <si>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</si>
  <si>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</si>
  <si>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</si>
  <si>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</si>
  <si>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</si>
  <si>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</si>
  <si>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</si>
  <si>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</si>
  <si>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</si>
  <si>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</si>
  <si>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</si>
  <si>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</si>
  <si>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</si>
  <si>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</si>
  <si>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</si>
  <si>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</si>
  <si>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</si>
  <si>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</si>
  <si>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</si>
  <si>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</si>
  <si>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</si>
  <si>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</si>
  <si>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</si>
  <si>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</si>
  <si>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</si>
  <si>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</si>
  <si>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</si>
  <si>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</si>
  <si>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</si>
  <si>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</si>
  <si>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</si>
  <si>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</si>
  <si>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</si>
  <si>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</si>
  <si>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</si>
  <si>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</si>
  <si>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</si>
  <si>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</si>
  <si>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</si>
  <si>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</si>
  <si>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</si>
  <si>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</si>
  <si>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</si>
  <si>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</si>
  <si>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</si>
  <si>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</si>
  <si>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</si>
  <si>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</si>
  <si>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</si>
  <si>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</si>
  <si>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</si>
  <si>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</si>
  <si>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</si>
  <si>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</si>
  <si>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</si>
  <si>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</si>
  <si>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</si>
  <si>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</si>
  <si>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</si>
  <si>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</si>
  <si>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</si>
  <si>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</si>
  <si>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</si>
  <si>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</si>
  <si>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</si>
  <si>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</si>
  <si>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</si>
  <si>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</si>
  <si>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</si>
  <si>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</si>
  <si>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</si>
  <si>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</si>
  <si>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</si>
  <si>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</si>
  <si>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</si>
  <si>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</si>
  <si>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</si>
  <si>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</si>
  <si>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</si>
  <si>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</si>
  <si>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</si>
  <si>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</si>
  <si>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</si>
  <si>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</si>
  <si>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</si>
  <si>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</si>
  <si>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</si>
  <si>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</si>
  <si>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</si>
  <si>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</si>
  <si>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</si>
  <si>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</si>
  <si>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</si>
  <si>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</si>
  <si>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</si>
  <si>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</si>
  <si>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</si>
  <si>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</si>
  <si>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</si>
  <si>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</si>
  <si>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</si>
  <si>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</si>
  <si>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</si>
  <si>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</si>
  <si>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</si>
  <si>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</si>
  <si>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</si>
  <si>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</si>
  <si>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</si>
  <si>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</si>
  <si>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</si>
  <si>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</si>
  <si>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</si>
  <si>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</si>
  <si>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</si>
  <si>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</si>
  <si>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</si>
  <si>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</si>
  <si>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</si>
  <si>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</si>
  <si>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</si>
  <si>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</si>
  <si>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</si>
  <si>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</si>
  <si>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</si>
  <si>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</si>
  <si>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</si>
  <si>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</si>
  <si>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</si>
  <si>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</si>
  <si>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</si>
  <si>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</si>
  <si>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</si>
  <si>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</si>
  <si>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</si>
  <si>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</si>
  <si>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</si>
  <si>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</si>
  <si>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</si>
  <si>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</si>
  <si>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</si>
  <si>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</si>
  <si>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</si>
  <si>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</si>
  <si>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</si>
  <si>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</si>
  <si>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</si>
  <si>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</si>
  <si>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</si>
  <si>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</si>
  <si>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</si>
  <si>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</si>
  <si>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</si>
  <si>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</si>
  <si>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</si>
  <si>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</si>
  <si>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</si>
  <si>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</si>
  <si>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</si>
  <si>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</si>
  <si>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</si>
  <si>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</si>
  <si>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</si>
  <si>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</si>
  <si>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</si>
  <si>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</si>
  <si>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</si>
  <si>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</si>
  <si>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</si>
  <si>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</si>
  <si>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</si>
  <si>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</si>
  <si>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</si>
  <si>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</si>
  <si>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</si>
  <si>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</si>
  <si>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</si>
  <si>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</si>
  <si>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</si>
  <si>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</si>
  <si>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</si>
  <si>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</si>
  <si>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</si>
  <si>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</si>
  <si>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</si>
  <si>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</si>
  <si>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</si>
  <si>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</si>
  <si>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</si>
  <si>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</si>
  <si>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</si>
  <si>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</si>
  <si>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</si>
  <si>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</si>
  <si>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</si>
  <si>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</si>
  <si>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</si>
  <si>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</si>
  <si>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</si>
  <si>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</si>
  <si>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</si>
  <si>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</si>
  <si>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</si>
  <si>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</si>
  <si>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</si>
  <si>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</si>
  <si>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</si>
  <si>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</si>
  <si>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</si>
  <si>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</si>
  <si>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</si>
  <si>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</si>
  <si>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</si>
  <si>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</si>
  <si>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</si>
  <si>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</si>
  <si>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</si>
  <si>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</si>
  <si>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</si>
  <si>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</si>
  <si>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</si>
  <si>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</si>
  <si>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</si>
  <si>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</si>
  <si>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</si>
  <si>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</si>
  <si>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</si>
  <si>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</si>
  <si>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</si>
  <si>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</si>
  <si>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</si>
  <si>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</si>
  <si>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</si>
  <si>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</si>
  <si>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</si>
  <si>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</si>
  <si>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</si>
  <si>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</si>
  <si>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</si>
  <si>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</si>
  <si>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</si>
  <si>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</si>
  <si>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</si>
  <si>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</si>
  <si>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</si>
  <si>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</si>
  <si>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</si>
  <si>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</si>
  <si>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</si>
  <si>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</si>
  <si>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</si>
  <si>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</si>
  <si>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</si>
  <si>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</si>
  <si>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</si>
  <si>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</si>
  <si>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</si>
  <si>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</si>
  <si>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</si>
  <si>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</si>
  <si>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</si>
  <si>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</si>
  <si>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</si>
  <si>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</si>
  <si>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</si>
  <si>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</si>
  <si>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</si>
  <si>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</si>
  <si>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</si>
  <si>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</si>
  <si>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</si>
  <si>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</si>
  <si>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</si>
  <si>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</si>
  <si>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</si>
  <si>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</si>
  <si>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</si>
  <si>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</si>
  <si>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</si>
  <si>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</si>
  <si>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</si>
  <si>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</si>
  <si>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</si>
  <si>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</si>
  <si>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</si>
  <si>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</si>
  <si>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</si>
  <si>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</si>
  <si>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</si>
  <si>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</si>
  <si>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</si>
  <si>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</si>
  <si>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</si>
  <si>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</si>
  <si>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</si>
  <si>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</si>
  <si>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</si>
  <si>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</si>
  <si>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</si>
  <si>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</si>
  <si>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</si>
  <si>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</si>
  <si>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</si>
  <si>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</si>
  <si>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</si>
  <si>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</si>
  <si>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</si>
  <si>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</si>
  <si>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</si>
  <si>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</si>
  <si>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</si>
  <si>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</si>
  <si>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</si>
  <si>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</si>
  <si>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</si>
  <si>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</si>
  <si>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</si>
  <si>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</si>
  <si>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</si>
  <si>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</si>
  <si>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</si>
  <si>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</si>
  <si>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</si>
  <si>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</si>
  <si>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</si>
  <si>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</si>
  <si>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</si>
  <si>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</si>
  <si>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</si>
  <si>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</si>
  <si>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</si>
  <si>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</si>
  <si>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</si>
  <si>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</si>
  <si>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</si>
  <si>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</si>
  <si>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</si>
  <si>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</si>
  <si>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</si>
  <si>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</si>
  <si>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</si>
  <si>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</si>
  <si>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</si>
  <si>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</si>
  <si>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</si>
  <si>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</si>
  <si>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</si>
  <si>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</si>
  <si>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</si>
  <si>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</si>
  <si>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</si>
  <si>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</si>
  <si>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</si>
  <si>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</si>
  <si>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</si>
  <si>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</si>
  <si>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</si>
  <si>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</si>
  <si>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</si>
  <si>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</si>
  <si>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</si>
  <si>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</si>
  <si>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</si>
  <si>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</si>
  <si>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</si>
  <si>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</si>
  <si>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</si>
  <si>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</si>
  <si>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</si>
  <si>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</si>
  <si>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</si>
  <si>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</si>
  <si>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</si>
  <si>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</si>
  <si>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</si>
  <si>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</si>
  <si>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</si>
  <si>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</si>
  <si>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</si>
  <si>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</si>
  <si>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</si>
  <si>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</si>
  <si>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</si>
  <si>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</si>
  <si>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</si>
  <si>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</si>
  <si>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</si>
  <si>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</si>
  <si>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</si>
  <si>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</si>
  <si>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</si>
  <si>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</si>
  <si>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</si>
  <si>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</si>
  <si>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</si>
  <si>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</si>
  <si>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</si>
  <si>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</si>
  <si>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</si>
  <si>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</si>
  <si>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</si>
  <si>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</si>
  <si>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</si>
  <si>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</si>
  <si>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</si>
  <si>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</si>
  <si>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</si>
  <si>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</si>
  <si>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</si>
  <si>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</si>
  <si>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</si>
  <si>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</si>
  <si>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</si>
  <si>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</si>
  <si>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</si>
  <si>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</si>
  <si>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</si>
  <si>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</si>
  <si>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</si>
  <si>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</si>
  <si>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</si>
  <si>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</si>
  <si>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</si>
  <si>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</si>
  <si>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</si>
  <si>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</si>
  <si>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</si>
  <si>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</si>
  <si>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</si>
  <si>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</si>
  <si>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</si>
  <si>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</si>
  <si>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</si>
  <si>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</si>
  <si>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</si>
  <si>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</si>
  <si>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</si>
  <si>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</si>
  <si>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</si>
  <si>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</si>
  <si>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</si>
  <si>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</si>
  <si>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</si>
  <si>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</si>
  <si>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</si>
  <si>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</si>
  <si>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</si>
  <si>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</si>
  <si>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</si>
  <si>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</si>
  <si>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</si>
  <si>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</si>
  <si>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</si>
  <si>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</si>
  <si>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</si>
  <si>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</si>
  <si>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</si>
  <si>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</si>
  <si>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</si>
  <si>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</si>
  <si>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</si>
  <si>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</si>
  <si>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</si>
  <si>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</si>
  <si>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</si>
  <si>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</si>
  <si>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</si>
  <si>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</si>
  <si>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</si>
  <si>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</si>
  <si>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</si>
  <si>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</si>
  <si>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</si>
  <si>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</si>
  <si>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</si>
  <si>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</si>
  <si>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</si>
  <si>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</si>
  <si>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</si>
  <si>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</si>
  <si>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</si>
  <si>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</si>
  <si>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</si>
  <si>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</si>
  <si>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</si>
  <si>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</si>
  <si>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</si>
  <si>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</si>
  <si>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</si>
  <si>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</si>
  <si>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</si>
  <si>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</si>
  <si>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</si>
  <si>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</si>
  <si>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</si>
  <si>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</si>
  <si>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</si>
  <si>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</si>
  <si>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</si>
  <si>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</si>
  <si>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</si>
  <si>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</si>
  <si>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</si>
  <si>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</si>
  <si>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</si>
  <si>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</si>
  <si>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</si>
  <si>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</si>
  <si>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</si>
  <si>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</si>
  <si>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</si>
  <si>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</si>
  <si>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</si>
  <si>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</si>
  <si>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</si>
  <si>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</si>
  <si>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</si>
  <si>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</si>
  <si>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</si>
  <si>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</si>
  <si>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</si>
  <si>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</si>
  <si>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</si>
  <si>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</si>
  <si>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</si>
  <si>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</si>
  <si>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</si>
  <si>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</si>
  <si>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</si>
  <si>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</si>
  <si>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</si>
  <si>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</si>
  <si>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</si>
  <si>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</si>
  <si>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</si>
  <si>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</si>
  <si>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</si>
  <si>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</si>
  <si>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</si>
  <si>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</si>
  <si>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</si>
  <si>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</si>
  <si>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</si>
  <si>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</si>
  <si>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</si>
  <si>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</si>
  <si>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</si>
  <si>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</si>
  <si>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</si>
  <si>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</si>
  <si>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</si>
  <si>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</si>
  <si>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</si>
  <si>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</si>
  <si>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</si>
  <si>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</si>
  <si>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</si>
  <si>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</si>
  <si>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</si>
  <si>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</si>
  <si>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</si>
  <si>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</si>
  <si>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</si>
  <si>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</si>
  <si>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</si>
  <si>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</si>
  <si>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</si>
  <si>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</si>
  <si>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</si>
  <si>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</si>
  <si>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</si>
  <si>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</si>
  <si>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</si>
  <si>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</si>
  <si>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</si>
  <si>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</si>
  <si>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</si>
  <si>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</si>
  <si>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</si>
  <si>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</si>
  <si>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</si>
  <si>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</si>
  <si>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</si>
  <si>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</si>
  <si>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</si>
  <si>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</si>
  <si>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</si>
  <si>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</si>
  <si>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</si>
  <si>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</si>
  <si>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</si>
  <si>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</si>
  <si>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</si>
  <si>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</si>
  <si>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</si>
  <si>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</si>
  <si>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</si>
  <si>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</si>
  <si>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</si>
  <si>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</si>
  <si>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</si>
  <si>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</si>
  <si>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</si>
  <si>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</si>
  <si>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</si>
  <si>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</si>
  <si>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</si>
  <si>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</si>
  <si>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</si>
  <si>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</si>
  <si>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</si>
  <si>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</si>
  <si>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</si>
  <si>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</si>
  <si>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</si>
  <si>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</si>
  <si>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</si>
  <si>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</si>
  <si>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</si>
  <si>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</si>
  <si>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</si>
  <si>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</si>
  <si>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</si>
  <si>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</si>
  <si>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</si>
  <si>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</si>
  <si>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</si>
  <si>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</si>
  <si>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</si>
  <si>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</si>
  <si>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</si>
  <si>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</si>
  <si>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</si>
  <si>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</si>
  <si>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</si>
  <si>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</si>
  <si>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</si>
  <si>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</si>
  <si>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</si>
  <si>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</si>
  <si>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</si>
  <si>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</si>
  <si>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</si>
  <si>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</si>
  <si>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</si>
  <si>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</si>
  <si>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</si>
  <si>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</si>
  <si>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</si>
  <si>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</si>
  <si>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</si>
  <si>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</si>
  <si>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</si>
  <si>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</si>
  <si>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</si>
  <si>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</si>
  <si>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</si>
  <si>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</si>
  <si>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</si>
  <si>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</si>
  <si>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</si>
  <si>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</si>
  <si>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</si>
  <si>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</si>
  <si>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</si>
  <si>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</si>
  <si>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</si>
  <si>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</si>
  <si>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</si>
  <si>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</si>
  <si>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</si>
  <si>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</si>
  <si>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</si>
  <si>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</si>
  <si>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</si>
  <si>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</si>
  <si>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</si>
  <si>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</si>
  <si>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</si>
  <si>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</si>
  <si>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</si>
  <si>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</si>
  <si>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</si>
  <si>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</si>
  <si>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</si>
  <si>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</si>
  <si>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</si>
  <si>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</si>
  <si>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</si>
  <si>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</si>
  <si>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</si>
  <si>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</si>
  <si>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Lancaster</t>
  </si>
  <si>
    <t>City of Lancaster</t>
  </si>
  <si>
    <t>Elizabeth Brubaker</t>
  </si>
  <si>
    <t>Director</t>
  </si>
  <si>
    <t>44933 Fern Ave.</t>
  </si>
  <si>
    <t>ebrubaker@colra.org</t>
  </si>
  <si>
    <t>SW Corner of Avenue J and East 25th Street</t>
  </si>
  <si>
    <t>3150009042, 043, 044 &amp; 045</t>
  </si>
  <si>
    <t>401 Wilshire Blvd, 11th Floor</t>
  </si>
  <si>
    <t>Santa Monica</t>
  </si>
  <si>
    <t>CA</t>
  </si>
  <si>
    <t>Brandon Hodge</t>
  </si>
  <si>
    <t>bhodge@lincolnavenue.com</t>
  </si>
  <si>
    <t>Lincoln Avenue Capital LLC</t>
  </si>
  <si>
    <t>Developer</t>
  </si>
  <si>
    <t>Santa Monica, CA 90401</t>
  </si>
  <si>
    <t>Pacific Housing, Inc.</t>
  </si>
  <si>
    <t>2115 J Street, Suite 201</t>
  </si>
  <si>
    <t>Mat Eland</t>
  </si>
  <si>
    <t>meland@pacifichousing.org</t>
  </si>
  <si>
    <t>Managing GP</t>
  </si>
  <si>
    <t>Administrative GP</t>
  </si>
  <si>
    <t>401 Wilshire, 11th Floor</t>
  </si>
  <si>
    <t>National Equity Fund, Inc</t>
  </si>
  <si>
    <t>10 S. Riverside Plaza, Suite 1700</t>
  </si>
  <si>
    <t>Chicago, IL 60606</t>
  </si>
  <si>
    <t>Jason Aldridge</t>
  </si>
  <si>
    <t>jaldridge@nefinc.org</t>
  </si>
  <si>
    <t>Novogradac &amp; Company LLP</t>
  </si>
  <si>
    <t>6700 Anticoch Rd, #450</t>
  </si>
  <si>
    <t>Merriam, KS 66204</t>
  </si>
  <si>
    <t>Sara Nachbar</t>
  </si>
  <si>
    <t>Sara.Nachbar@novoco.com</t>
  </si>
  <si>
    <t>California Municipal Finance Authority</t>
  </si>
  <si>
    <t>2111 Palomar Airport Rd, Suite 320</t>
  </si>
  <si>
    <t>Carlsbad, CA 92011</t>
  </si>
  <si>
    <t>Anthony Stubbs</t>
  </si>
  <si>
    <t>astubbs@cmfa-ca.com</t>
  </si>
  <si>
    <t>FPI Management, Inc.</t>
  </si>
  <si>
    <t>800 Iron Point Road</t>
  </si>
  <si>
    <t>Folsom, CA 95630</t>
  </si>
  <si>
    <t>George Garcia</t>
  </si>
  <si>
    <t>george.garcia@fpimgt.com</t>
  </si>
  <si>
    <t>EisnerAmper LLP</t>
  </si>
  <si>
    <t>11340 Lakefield Drive Suite 150</t>
  </si>
  <si>
    <t>Johns Creek, GA 300097</t>
  </si>
  <si>
    <t>Jeremy Densmore</t>
  </si>
  <si>
    <t>jeremy.densmore@eisneramper.com</t>
  </si>
  <si>
    <t>Lancaster Family Homes LP</t>
  </si>
  <si>
    <t>Lancaster Family AGP LLC</t>
  </si>
  <si>
    <t>Paula P. Warren</t>
  </si>
  <si>
    <t>Individual Resident of California</t>
  </si>
  <si>
    <t xml:space="preserve">2660 S Dolphin Street, </t>
  </si>
  <si>
    <t>San Pedro, CA 90731</t>
  </si>
  <si>
    <t>Secured by Fee Interest</t>
  </si>
  <si>
    <t>Single Family Home</t>
  </si>
  <si>
    <t>Same as existing; no rezoning needed or proposed.</t>
  </si>
  <si>
    <t>R-7000 allows up to 35 ft</t>
  </si>
  <si>
    <t>Citibank, N.A.</t>
  </si>
  <si>
    <t>Fixed</t>
  </si>
  <si>
    <t>GP Capital Contribution</t>
  </si>
  <si>
    <t>National Equity Fund</t>
  </si>
  <si>
    <t>Deferred Costs</t>
  </si>
  <si>
    <t>Construction Loan Tax Exempt</t>
  </si>
  <si>
    <t>Construction Loan - Recycled Bonds</t>
  </si>
  <si>
    <t>325 E Hillcrest Dr, Ste 160</t>
  </si>
  <si>
    <t>Thousand Oaks, CA 91360</t>
  </si>
  <si>
    <t>Mike Hemmens</t>
  </si>
  <si>
    <t>santa Monica, CA 90401</t>
  </si>
  <si>
    <t>10 S. Riverside Plaza</t>
  </si>
  <si>
    <t>LIHTC Equity</t>
  </si>
  <si>
    <t>Costs Deferred Until Conversion</t>
  </si>
  <si>
    <t>Cashflow From Operations</t>
  </si>
  <si>
    <t>GP Note</t>
  </si>
  <si>
    <t>First Mortgage - Tax Exempt</t>
  </si>
  <si>
    <t>First Mortgage Taxable</t>
  </si>
  <si>
    <t>401 Wilshire Blvd, Floor 11</t>
  </si>
  <si>
    <t>Cashflow</t>
  </si>
  <si>
    <t>Internet, Renter's Insurance, Late Fees, Credit Checks, etc</t>
  </si>
  <si>
    <t>Air Conditioning</t>
  </si>
  <si>
    <t>General Office Costs</t>
  </si>
  <si>
    <t>Issuer Fees</t>
  </si>
  <si>
    <t>Tax Exempt Recycled Bonds</t>
  </si>
  <si>
    <t>Lancaster Family Homes</t>
  </si>
  <si>
    <t>IIG</t>
  </si>
  <si>
    <t>Recycled Bonds</t>
  </si>
  <si>
    <t>Other: Specify</t>
  </si>
  <si>
    <t>Not Applicable</t>
  </si>
  <si>
    <t>Bassenian Lagoni</t>
  </si>
  <si>
    <t>Dave Pockett</t>
  </si>
  <si>
    <t>(949) 553-9100</t>
  </si>
  <si>
    <t>2031 Orchard Drive, Suite 100</t>
  </si>
  <si>
    <t>Newport Beach, CA 92660</t>
  </si>
  <si>
    <t>dpockett@bassenianlagoni.com</t>
  </si>
  <si>
    <t>Cohen Liuzzo PLLC</t>
  </si>
  <si>
    <t>124 N 3rd St, 1</t>
  </si>
  <si>
    <t>Brooklyn, NY 11249</t>
  </si>
  <si>
    <t>Eleor Cohen</t>
  </si>
  <si>
    <t xml:space="preserve">(347) 886-4118 </t>
  </si>
  <si>
    <t>ecohen@cohenliuzzo.com</t>
  </si>
  <si>
    <t>TBD</t>
  </si>
  <si>
    <t>Johns Creek, GA 30097</t>
  </si>
  <si>
    <t>(470) 273-6610</t>
  </si>
  <si>
    <t>R-7000</t>
  </si>
  <si>
    <t>Tax-Exempt Recycled Bonds</t>
  </si>
  <si>
    <t>Los Angeles County Development Authority</t>
  </si>
  <si>
    <t>Employee Benefits</t>
  </si>
  <si>
    <t>Other: Bond Costs</t>
  </si>
  <si>
    <t>Pacific Housing, Inc</t>
  </si>
  <si>
    <t>Provided</t>
  </si>
  <si>
    <t>1 space per 1BR, 1.5 per 2BR, 1.5 per 3BR, 2.5 per 4BR</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</si>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</sst>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 borderId="6"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37" workbookViewId="0">
      <selection activeCell="X363" sqref="X36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2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5" customHeight="1">
      <c r="A40" s="4"/>
      <c r="B40"/>
      <c r="C40" s="2"/>
      <c r="D40" s="4"/>
      <c r="E40" s="4" t="s">
        <v>653</v>
      </c>
      <c r="F40" s="1260" t="s">
        <v>1164</v>
      </c>
    </row>
    <row r="41" spans="1:38" s="1260"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2041</v>
      </c>
      <c r="F138" s="2"/>
      <c r="G138" s="2"/>
      <c r="H138" s="2"/>
    </row>
    <row r="139" spans="4:37">
      <c r="E139" t="s">
        <v>112</v>
      </c>
      <c r="F139" t="s">
        <v>52</v>
      </c>
    </row>
    <row r="140" spans="4:37">
      <c r="E140" t="s">
        <v>113</v>
      </c>
      <c r="F140" t="s">
        <v>466</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1258</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85" zoomScaleNormal="85" workbookViewId="0">
      <selection activeCell="B2" sqref="B2"/>
    </sheetView>
  </sheetViews>
  <sheetFormatPr defaultColWidth="9.26953125" defaultRowHeight="14"/>
  <cols>
    <col min="1" max="1" width="2.36328125" style="1044" customWidth="1"/>
    <col min="2" max="9" width="14.7265625" style="1044" customWidth="1"/>
    <col min="10" max="10" width="2.26953125" style="1044" customWidth="1"/>
    <col min="11" max="11" width="11.7265625" style="1045" customWidth="1"/>
    <col min="12" max="12" width="10.7265625" style="1044" customWidth="1"/>
    <col min="13" max="13" width="10.36328125" style="1044" customWidth="1"/>
    <col min="14" max="14" width="10.7265625" style="1044" customWidth="1"/>
    <col min="15" max="18" width="9.26953125" style="1044"/>
    <col min="19" max="19" width="9.36328125" style="1044" bestFit="1" customWidth="1"/>
    <col min="20" max="16384" width="9.26953125" style="1044"/>
  </cols>
  <sheetData>
    <row r="1" spans="1:13" ht="30" customHeight="1">
      <c r="A1" s="2673" t="s">
        <v>1585</v>
      </c>
      <c r="B1" s="2673"/>
      <c r="C1" s="2673"/>
      <c r="D1" s="2673"/>
      <c r="E1" s="2673"/>
      <c r="F1" s="2673"/>
      <c r="G1" s="2673"/>
      <c r="H1" s="2673"/>
      <c r="I1" s="2673"/>
      <c r="J1" s="2673"/>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65885390</v>
      </c>
      <c r="I3" s="1105"/>
    </row>
    <row r="4" spans="1:13" s="1051" customFormat="1" ht="20.149999999999999" customHeight="1">
      <c r="B4" s="1094"/>
      <c r="D4" s="1108"/>
      <c r="F4" s="1092" t="s">
        <v>1991</v>
      </c>
      <c r="G4" s="1091" t="s">
        <v>1990</v>
      </c>
      <c r="H4" s="1093">
        <f>I18</f>
        <v>29394893.790849674</v>
      </c>
      <c r="I4" s="1095"/>
      <c r="K4" s="1055"/>
    </row>
    <row r="5" spans="1:13" s="1051" customFormat="1" ht="20.149999999999999" customHeight="1" thickBot="1">
      <c r="B5" s="1096"/>
      <c r="C5" s="1097"/>
      <c r="D5" s="1109"/>
      <c r="E5" s="1098"/>
      <c r="F5" s="1109" t="s">
        <v>1941</v>
      </c>
      <c r="G5" s="1110"/>
      <c r="H5" s="1106">
        <f>IFERROR(H3/H4,0)</f>
        <v>2.2413889456035196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1939</v>
      </c>
      <c r="C8" s="2677"/>
      <c r="D8" s="2677"/>
      <c r="E8" s="2678"/>
      <c r="G8" s="2653" t="s">
        <v>1940</v>
      </c>
      <c r="H8" s="2654"/>
      <c r="I8" s="2655"/>
      <c r="K8" s="1057"/>
    </row>
    <row r="9" spans="1:13" ht="15" customHeight="1">
      <c r="A9" s="1046"/>
      <c r="B9" s="2674" t="s">
        <v>1973</v>
      </c>
      <c r="C9" s="2674"/>
      <c r="D9" s="2674"/>
      <c r="E9" s="1059">
        <f>G33</f>
        <v>14087500</v>
      </c>
      <c r="G9" s="2666" t="s">
        <v>1971</v>
      </c>
      <c r="H9" s="2666"/>
      <c r="I9" s="1060">
        <f>SUMIF(Application!M554:M565,"Loan, Tax-Exempt",Application!AM554:AM565)</f>
        <v>31300000</v>
      </c>
      <c r="K9" s="1061"/>
      <c r="M9" s="1062"/>
    </row>
    <row r="10" spans="1:13" ht="15" customHeight="1" thickBot="1">
      <c r="A10" s="1046"/>
      <c r="B10" s="2674" t="s">
        <v>1974</v>
      </c>
      <c r="C10" s="2674"/>
      <c r="D10" s="2674"/>
      <c r="E10" s="1060">
        <f>G47</f>
        <v>28516140.000000004</v>
      </c>
      <c r="G10" s="2680" t="s">
        <v>1942</v>
      </c>
      <c r="H10" s="2680"/>
      <c r="I10" s="1140">
        <f>'Basis &amp; Credits'!AB78</f>
        <v>0</v>
      </c>
      <c r="M10" s="1062"/>
    </row>
    <row r="11" spans="1:13" ht="15" customHeight="1">
      <c r="A11" s="1046"/>
      <c r="B11" s="2667" t="s">
        <v>2262</v>
      </c>
      <c r="C11" s="2668"/>
      <c r="D11" s="2669"/>
      <c r="E11" s="1060">
        <f>SUM(E12,E13)</f>
        <v>460000</v>
      </c>
      <c r="G11" s="2665" t="s">
        <v>1982</v>
      </c>
      <c r="H11" s="2665"/>
      <c r="I11" s="1139">
        <f>I9+I10</f>
        <v>31300000</v>
      </c>
      <c r="M11" s="1062"/>
    </row>
    <row r="12" spans="1:13" ht="15" customHeight="1">
      <c r="A12" s="1063"/>
      <c r="B12" s="2675" t="s">
        <v>2264</v>
      </c>
      <c r="C12" s="2675"/>
      <c r="D12" s="2675"/>
      <c r="E12" s="1165">
        <f>G56</f>
        <v>0</v>
      </c>
      <c r="M12" s="1062"/>
    </row>
    <row r="13" spans="1:13" ht="15" customHeight="1">
      <c r="A13" s="1049"/>
      <c r="B13" s="2675" t="s">
        <v>2265</v>
      </c>
      <c r="C13" s="2675"/>
      <c r="D13" s="2675"/>
      <c r="E13" s="1165">
        <f>G65</f>
        <v>460000</v>
      </c>
      <c r="G13" s="2653" t="s">
        <v>2005</v>
      </c>
      <c r="H13" s="2654"/>
      <c r="I13" s="2655"/>
      <c r="M13" s="1062"/>
    </row>
    <row r="14" spans="1:13" ht="15" customHeight="1">
      <c r="A14" s="1049"/>
      <c r="B14" s="2667" t="s">
        <v>2263</v>
      </c>
      <c r="C14" s="2668"/>
      <c r="D14" s="2669"/>
      <c r="E14" s="1167">
        <f>MAX(E15,E16)+E17</f>
        <v>22821750</v>
      </c>
      <c r="G14" s="2666" t="s">
        <v>139</v>
      </c>
      <c r="H14" s="2666"/>
      <c r="I14" s="1064">
        <f>15%*(AND(G120="Yes",G122&lt;&gt;""))</f>
        <v>0</v>
      </c>
      <c r="M14" s="1062"/>
    </row>
    <row r="15" spans="1:13" ht="15" customHeight="1">
      <c r="A15" s="1049"/>
      <c r="B15" s="2650" t="s">
        <v>2269</v>
      </c>
      <c r="C15" s="2651"/>
      <c r="D15" s="2652"/>
      <c r="E15" s="1165">
        <f>G80</f>
        <v>0</v>
      </c>
      <c r="G15" s="1137" t="s">
        <v>1983</v>
      </c>
      <c r="H15" s="1137"/>
      <c r="I15" s="1064">
        <f>IF(Application!AJ1032&gt;0,10%,IF(Application!AJ1036&gt;0,5%,0))</f>
        <v>0</v>
      </c>
      <c r="M15" s="1062"/>
    </row>
    <row r="16" spans="1:13" ht="15" customHeight="1">
      <c r="A16" s="1049"/>
      <c r="B16" s="2650" t="s">
        <v>2268</v>
      </c>
      <c r="C16" s="2651"/>
      <c r="D16" s="2652"/>
      <c r="E16" s="1165">
        <f>G90</f>
        <v>5635000</v>
      </c>
      <c r="G16" s="2666" t="s">
        <v>1984</v>
      </c>
      <c r="H16" s="2666"/>
      <c r="I16" s="1064">
        <f>G132</f>
        <v>6.0866013071895424E-2</v>
      </c>
    </row>
    <row r="17" spans="1:21" ht="15" customHeight="1" thickBot="1">
      <c r="A17" s="1049"/>
      <c r="B17" s="2650" t="s">
        <v>2267</v>
      </c>
      <c r="C17" s="2651"/>
      <c r="D17" s="2652"/>
      <c r="E17" s="1165">
        <f>G115</f>
        <v>17186750</v>
      </c>
      <c r="G17" s="2666" t="s">
        <v>2277</v>
      </c>
      <c r="H17" s="2666"/>
      <c r="I17" s="1064">
        <f>IF(AND(G139="Yes",OR(G136,G137)),IF(G143&gt;15%,15%,G143),0)</f>
        <v>0</v>
      </c>
    </row>
    <row r="18" spans="1:21" ht="15" customHeight="1">
      <c r="A18" s="1046"/>
      <c r="B18" s="2679" t="s">
        <v>1938</v>
      </c>
      <c r="C18" s="2679"/>
      <c r="D18" s="2679"/>
      <c r="E18" s="1111">
        <f>SUM(E9:E11,E14)</f>
        <v>65885390</v>
      </c>
      <c r="G18" s="1138" t="s">
        <v>1972</v>
      </c>
      <c r="H18" s="1138"/>
      <c r="I18" s="1112">
        <f>I11-((I11*I14)+(I11*I15)+(I11*I16)+(I11*I17))</f>
        <v>29394893.790849674</v>
      </c>
      <c r="M18" s="1065">
        <f>SUM(Cdlac[Quantity])</f>
        <v>213</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0.6</v>
      </c>
      <c r="O20" s="1071">
        <f>IF(Cdlac[[#This Row],[Quantity]]&gt;0,IF(Cdlac[[#This Row],[Federal]],30%,IF(AND(OR(NOT($G$38),$G$38=""),$G$43),40%,Cdlac[[#This Row],[iAMI]])),"")</f>
        <v>0.6</v>
      </c>
      <c r="P20" s="1065" cm="1">
        <f t="array" ref="P20">IF(Cdlac[[#This Row],[Quantity]]&gt;0,INDEX(TcacRents,$P$18,Cdlac[[#This Row],[Bedrooms]]+1)*Cdlac[[#This Row],[AMI]],"")</f>
        <v>1704</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377</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17</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661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7" t="s">
        <v>1986</v>
      </c>
      <c r="D22" s="2657" t="s">
        <v>1987</v>
      </c>
      <c r="E22" s="2657" t="s">
        <v>1988</v>
      </c>
      <c r="F22" s="2657" t="s">
        <v>2608</v>
      </c>
      <c r="G22" s="2657" t="s">
        <v>1985</v>
      </c>
      <c r="H22" s="1070"/>
      <c r="I22" s="1069"/>
      <c r="L22" s="1044">
        <f>IFERROR(MIN(4,MATCH(Application!B720,UnitSizes,0)-1),"")</f>
        <v>1</v>
      </c>
      <c r="M22" s="1065">
        <f>Application!G720</f>
        <v>23</v>
      </c>
      <c r="N22" s="1071">
        <f>Application!AC720</f>
        <v>0.3</v>
      </c>
      <c r="O22" s="1071">
        <f>IF(Cdlac[[#This Row],[Quantity]]&gt;0,IF(Cdlac[[#This Row],[Federal]],30%,IF(AND(OR(NOT($G$38),$G$38=""),$G$43),40%,Cdlac[[#This Row],[iAMI]])),"")</f>
        <v>0.3</v>
      </c>
      <c r="P22" s="1065" cm="1">
        <f t="array" ref="P22">IF(Cdlac[[#This Row],[Quantity]]&gt;0,INDEX(TcacRents,$P$18,Cdlac[[#This Row],[Bedrooms]]+1)*Cdlac[[#This Row],[AMI]],"")</f>
        <v>852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1229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8"/>
      <c r="D23" s="2658"/>
      <c r="E23" s="2658"/>
      <c r="F23" s="2658"/>
      <c r="G23" s="2658"/>
      <c r="H23" s="1070"/>
      <c r="I23" s="1069"/>
      <c r="L23" s="1044">
        <f>IFERROR(MIN(4,MATCH(Application!B721,UnitSizes,0)-1),"")</f>
        <v>2</v>
      </c>
      <c r="M23" s="1065">
        <f>Application!G721</f>
        <v>33</v>
      </c>
      <c r="N23" s="1071">
        <f>Application!AC721</f>
        <v>0.6</v>
      </c>
      <c r="O23" s="1071">
        <f>IF(Cdlac[[#This Row],[Quantity]]&gt;0,IF(Cdlac[[#This Row],[Federal]],30%,IF(AND(OR(NOT($G$38),$G$38=""),$G$43),40%,Cdlac[[#This Row],[iAMI]])),"")</f>
        <v>0.6</v>
      </c>
      <c r="P23" s="1065" cm="1">
        <f t="array" ref="P23">IF(Cdlac[[#This Row],[Quantity]]&gt;0,INDEX(TcacRents,$P$18,Cdlac[[#This Row],[Bedrooms]]+1)*Cdlac[[#This Row],[AMI]],"")</f>
        <v>2043.6</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581.40000000000009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5</v>
      </c>
      <c r="N24" s="1071">
        <f>Application!AC722</f>
        <v>0.5</v>
      </c>
      <c r="O24" s="1071">
        <f>IF(Cdlac[[#This Row],[Quantity]]&gt;0,IF(Cdlac[[#This Row],[Federal]],30%,IF(AND(OR(NOT($G$38),$G$38=""),$G$43),40%,Cdlac[[#This Row],[iAMI]])),"")</f>
        <v>0.5</v>
      </c>
      <c r="P24" s="1065" cm="1">
        <f t="array" ref="P24">IF(Cdlac[[#This Row],[Quantity]]&gt;0,INDEX(TcacRents,$P$18,Cdlac[[#This Row],[Bedrooms]]+1)*Cdlac[[#This Row],[AMI]],"")</f>
        <v>1703</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922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43</v>
      </c>
      <c r="F25" s="1072">
        <f>E25</f>
        <v>43</v>
      </c>
      <c r="G25" s="1072">
        <f>D25*F25</f>
        <v>43</v>
      </c>
      <c r="L25" s="1044">
        <f>IFERROR(MIN(4,MATCH(Application!B723,UnitSizes,0)-1),"")</f>
        <v>2</v>
      </c>
      <c r="M25" s="1065">
        <f>Application!G723</f>
        <v>5</v>
      </c>
      <c r="N25" s="1071">
        <f>Application!AC723</f>
        <v>0.7</v>
      </c>
      <c r="O25" s="1071">
        <f>IF(Cdlac[[#This Row],[Quantity]]&gt;0,IF(Cdlac[[#This Row],[Federal]],30%,IF(AND(OR(NOT($G$38),$G$38=""),$G$43),40%,Cdlac[[#This Row],[iAMI]])),"")</f>
        <v>0.7</v>
      </c>
      <c r="P25" s="1065" cm="1">
        <f t="array" ref="P25">IF(Cdlac[[#This Row],[Quantity]]&gt;0,INDEX(TcacRents,$P$18,Cdlac[[#This Row],[Bedrooms]]+1)*Cdlac[[#This Row],[AMI]],"")</f>
        <v>2384.1999999999998</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240.80000000000018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43</v>
      </c>
      <c r="F26" s="1075">
        <f>SUM(E26:E28)-SUM(F27:F28)</f>
        <v>86</v>
      </c>
      <c r="G26" s="1072">
        <f>D26*F26</f>
        <v>107.5</v>
      </c>
      <c r="H26" s="1074"/>
      <c r="I26" s="1074"/>
      <c r="L26" s="1044">
        <f>IFERROR(MIN(4,MATCH(Application!B724,UnitSizes,0)-1),"")</f>
        <v>3</v>
      </c>
      <c r="M26" s="1065">
        <f>Application!G724</f>
        <v>8</v>
      </c>
      <c r="N26" s="1071">
        <f>Application!AC724</f>
        <v>0.6</v>
      </c>
      <c r="O26" s="1071">
        <f>IF(Cdlac[[#This Row],[Quantity]]&gt;0,IF(Cdlac[[#This Row],[Federal]],30%,IF(AND(OR(NOT($G$38),$G$38=""),$G$43),40%,Cdlac[[#This Row],[iAMI]])),"")</f>
        <v>0.6</v>
      </c>
      <c r="P26" s="1065" cm="1">
        <f t="array" ref="P26">IF(Cdlac[[#This Row],[Quantity]]&gt;0,INDEX(TcacRents,$P$18,Cdlac[[#This Row],[Bedrooms]]+1)*Cdlac[[#This Row],[AMI]],"")</f>
        <v>2362.7999999999997</v>
      </c>
      <c r="Q26" s="1164"/>
      <c r="R26" s="1065" cm="1">
        <f t="array" ref="R26">IF(Cdlac[[#This Row],[Quantity]]&gt;0,INDEX(HudFmrs,$P$18,Cdlac[[#This Row],[Bedrooms]]+1),"")</f>
        <v>3335</v>
      </c>
      <c r="S26" s="1065">
        <f>IF(Cdlac[[#This Row],[Quantity]]&gt;0,MAX(0,Cdlac[[#This Row],[Fair Market Rent]]-IF(AND($G$37,$G$38,$G$38&lt;&gt;"",NOT(Cdlac[[#This Row],[Federal]]),Cdlac[[#This Row],[Preservation Rent]]&lt;&gt;""),Cdlac[[#This Row],[Preservation Rent]],Cdlac[[#This Row],[Restricted Rent]])),"")</f>
        <v>972.20000000000027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84</v>
      </c>
      <c r="F27" s="1075">
        <f>MIN(E27,ROUNDDOWN(E29*30%,0))</f>
        <v>63</v>
      </c>
      <c r="G27" s="1072">
        <f>D27*F27</f>
        <v>94.5</v>
      </c>
      <c r="H27" s="1074"/>
      <c r="I27" s="1074"/>
      <c r="L27" s="1044">
        <f>IFERROR(MIN(4,MATCH(Application!B725,UnitSizes,0)-1),"")</f>
        <v>3</v>
      </c>
      <c r="M27" s="1065">
        <f>Application!G725</f>
        <v>5</v>
      </c>
      <c r="N27" s="1071">
        <f>Application!AC725</f>
        <v>0.5</v>
      </c>
      <c r="O27" s="1071">
        <f>IF(Cdlac[[#This Row],[Quantity]]&gt;0,IF(Cdlac[[#This Row],[Federal]],30%,IF(AND(OR(NOT($G$38),$G$38=""),$G$43),40%,Cdlac[[#This Row],[iAMI]])),"")</f>
        <v>0.5</v>
      </c>
      <c r="P27" s="1065" cm="1">
        <f t="array" ref="P27">IF(Cdlac[[#This Row],[Quantity]]&gt;0,INDEX(TcacRents,$P$18,Cdlac[[#This Row],[Bedrooms]]+1)*Cdlac[[#This Row],[AMI]],"")</f>
        <v>1969</v>
      </c>
      <c r="Q27" s="1164"/>
      <c r="R27" s="1065" cm="1">
        <f t="array" ref="R27">IF(Cdlac[[#This Row],[Quantity]]&gt;0,INDEX(HudFmrs,$P$18,Cdlac[[#This Row],[Bedrooms]]+1),"")</f>
        <v>3335</v>
      </c>
      <c r="S27" s="1065">
        <f>IF(Cdlac[[#This Row],[Quantity]]&gt;0,MAX(0,Cdlac[[#This Row],[Fair Market Rent]]-IF(AND($G$37,$G$38,$G$38&lt;&gt;"",NOT(Cdlac[[#This Row],[Federal]]),Cdlac[[#This Row],[Preservation Rent]]&lt;&gt;""),Cdlac[[#This Row],[Preservation Rent]],Cdlac[[#This Row],[Restricted Rent]])),"")</f>
        <v>1366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43</v>
      </c>
      <c r="F28" s="1086">
        <f>MIN(E28,ROUNDDOWN(E29*10%,0))</f>
        <v>21</v>
      </c>
      <c r="G28" s="1088">
        <f>D28*F28</f>
        <v>36.75</v>
      </c>
      <c r="H28" s="1074"/>
      <c r="I28" s="1074"/>
      <c r="L28" s="1044">
        <f>IFERROR(MIN(4,MATCH(Application!B726,UnitSizes,0)-1),"")</f>
        <v>3</v>
      </c>
      <c r="M28" s="1065">
        <f>Application!G726</f>
        <v>30</v>
      </c>
      <c r="N28" s="1071">
        <f>Application!AC726</f>
        <v>0.7</v>
      </c>
      <c r="O28" s="1071">
        <f>IF(Cdlac[[#This Row],[Quantity]]&gt;0,IF(Cdlac[[#This Row],[Federal]],30%,IF(AND(OR(NOT($G$38),$G$38=""),$G$43),40%,Cdlac[[#This Row],[iAMI]])),"")</f>
        <v>0.7</v>
      </c>
      <c r="P28" s="1065" cm="1">
        <f t="array" ref="P28">IF(Cdlac[[#This Row],[Quantity]]&gt;0,INDEX(TcacRents,$P$18,Cdlac[[#This Row],[Bedrooms]]+1)*Cdlac[[#This Row],[AMI]],"")</f>
        <v>2756.6</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578.40000000000009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9" t="s">
        <v>1586</v>
      </c>
      <c r="D29" s="2660"/>
      <c r="E29" s="1089">
        <f>SUM(E24:E28)</f>
        <v>213</v>
      </c>
      <c r="F29" s="1089">
        <f>SUM(F24:F28)</f>
        <v>213</v>
      </c>
      <c r="G29" s="1090">
        <f>SUMPRODUCT(D24:D28,F24:F28)</f>
        <v>281.75</v>
      </c>
      <c r="H29" s="1074"/>
      <c r="I29" s="1074"/>
      <c r="L29" s="1044">
        <f>IFERROR(MIN(4,MATCH(Application!B727,UnitSizes,0)-1),"")</f>
        <v>3</v>
      </c>
      <c r="M29" s="1065">
        <f>Application!G727</f>
        <v>7</v>
      </c>
      <c r="N29" s="1071">
        <f>Application!AC727</f>
        <v>0.6</v>
      </c>
      <c r="O29" s="1071">
        <f>IF(Cdlac[[#This Row],[Quantity]]&gt;0,IF(Cdlac[[#This Row],[Federal]],30%,IF(AND(OR(NOT($G$38),$G$38=""),$G$43),40%,Cdlac[[#This Row],[iAMI]])),"")</f>
        <v>0.6</v>
      </c>
      <c r="P29" s="1065" cm="1">
        <f t="array" ref="P29">IF(Cdlac[[#This Row],[Quantity]]&gt;0,INDEX(TcacRents,$P$18,Cdlac[[#This Row],[Bedrooms]]+1)*Cdlac[[#This Row],[AMI]],"")</f>
        <v>2362.7999999999997</v>
      </c>
      <c r="Q29" s="1164"/>
      <c r="R29" s="1065" cm="1">
        <f t="array" ref="R29">IF(Cdlac[[#This Row],[Quantity]]&gt;0,INDEX(HudFmrs,$P$18,Cdlac[[#This Row],[Bedrooms]]+1),"")</f>
        <v>3335</v>
      </c>
      <c r="S29" s="1065">
        <f>IF(Cdlac[[#This Row],[Quantity]]&gt;0,MAX(0,Cdlac[[#This Row],[Fair Market Rent]]-IF(AND($G$37,$G$38,$G$38&lt;&gt;"",NOT(Cdlac[[#This Row],[Federal]]),Cdlac[[#This Row],[Preservation Rent]]&lt;&gt;""),Cdlac[[#This Row],[Preservation Rent]],Cdlac[[#This Row],[Restricted Rent]])),"")</f>
        <v>972.20000000000027</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4</v>
      </c>
      <c r="N30" s="1071">
        <f>Application!AC728</f>
        <v>0.5</v>
      </c>
      <c r="O30" s="1071">
        <f>IF(Cdlac[[#This Row],[Quantity]]&gt;0,IF(Cdlac[[#This Row],[Federal]],30%,IF(AND(OR(NOT($G$38),$G$38=""),$G$43),40%,Cdlac[[#This Row],[iAMI]])),"")</f>
        <v>0.5</v>
      </c>
      <c r="P30" s="1065" cm="1">
        <f t="array" ref="P30">IF(Cdlac[[#This Row],[Quantity]]&gt;0,INDEX(TcacRents,$P$18,Cdlac[[#This Row],[Bedrooms]]+1)*Cdlac[[#This Row],[AMI]],"")</f>
        <v>1969</v>
      </c>
      <c r="Q30" s="1164"/>
      <c r="R30" s="1065" cm="1">
        <f t="array" ref="R30">IF(Cdlac[[#This Row],[Quantity]]&gt;0,INDEX(HudFmrs,$P$18,Cdlac[[#This Row],[Bedrooms]]+1),"")</f>
        <v>3335</v>
      </c>
      <c r="S30" s="1065">
        <f>IF(Cdlac[[#This Row],[Quantity]]&gt;0,MAX(0,Cdlac[[#This Row],[Fair Market Rent]]-IF(AND($G$37,$G$38,$G$38&lt;&gt;"",NOT(Cdlac[[#This Row],[Federal]]),Cdlac[[#This Row],[Preservation Rent]]&lt;&gt;""),Cdlac[[#This Row],[Preservation Rent]],Cdlac[[#This Row],[Restricted Rent]])),"")</f>
        <v>1366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281.75</v>
      </c>
      <c r="H31" s="1074"/>
      <c r="I31" s="1074"/>
      <c r="L31" s="1044">
        <f>IFERROR(MIN(4,MATCH(Application!B729,UnitSizes,0)-1),"")</f>
        <v>3</v>
      </c>
      <c r="M31" s="1065">
        <f>Application!G729</f>
        <v>30</v>
      </c>
      <c r="N31" s="1071">
        <f>Application!AC729</f>
        <v>0.7</v>
      </c>
      <c r="O31" s="1071">
        <f>IF(Cdlac[[#This Row],[Quantity]]&gt;0,IF(Cdlac[[#This Row],[Federal]],30%,IF(AND(OR(NOT($G$38),$G$38=""),$G$43),40%,Cdlac[[#This Row],[iAMI]])),"")</f>
        <v>0.7</v>
      </c>
      <c r="P31" s="1065" cm="1">
        <f t="array" ref="P31">IF(Cdlac[[#This Row],[Quantity]]&gt;0,INDEX(TcacRents,$P$18,Cdlac[[#This Row],[Bedrooms]]+1)*Cdlac[[#This Row],[AMI]],"")</f>
        <v>2756.6</v>
      </c>
      <c r="Q31" s="1164"/>
      <c r="R31" s="1065" cm="1">
        <f t="array" ref="R31">IF(Cdlac[[#This Row],[Quantity]]&gt;0,INDEX(HudFmrs,$P$18,Cdlac[[#This Row],[Bedrooms]]+1),"")</f>
        <v>3335</v>
      </c>
      <c r="S31" s="1065">
        <f>IF(Cdlac[[#This Row],[Quantity]]&gt;0,MAX(0,Cdlac[[#This Row],[Fair Market Rent]]-IF(AND($G$37,$G$38,$G$38&lt;&gt;"",NOT(Cdlac[[#This Row],[Federal]]),Cdlac[[#This Row],[Preservation Rent]]&lt;&gt;""),Cdlac[[#This Row],[Preservation Rent]],Cdlac[[#This Row],[Restricted Rent]])),"")</f>
        <v>578.40000000000009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4</v>
      </c>
      <c r="M32" s="1065">
        <f>Application!G730</f>
        <v>5</v>
      </c>
      <c r="N32" s="1071">
        <f>Application!AC730</f>
        <v>0.5</v>
      </c>
      <c r="O32" s="1071">
        <f>IF(Cdlac[[#This Row],[Quantity]]&gt;0,IF(Cdlac[[#This Row],[Federal]],30%,IF(AND(OR(NOT($G$38),$G$38=""),$G$43),40%,Cdlac[[#This Row],[iAMI]])),"")</f>
        <v>0.5</v>
      </c>
      <c r="P32" s="1065" cm="1">
        <f t="array" ref="P32">IF(Cdlac[[#This Row],[Quantity]]&gt;0,INDEX(TcacRents,$P$18,Cdlac[[#This Row],[Bedrooms]]+1)*Cdlac[[#This Row],[AMI]],"")</f>
        <v>2196</v>
      </c>
      <c r="Q32" s="1164"/>
      <c r="R32" s="1065" cm="1">
        <f t="array" ref="R32">IF(Cdlac[[#This Row],[Quantity]]&gt;0,INDEX(HudFmrs,$P$18,Cdlac[[#This Row],[Bedrooms]]+1),"")</f>
        <v>3698</v>
      </c>
      <c r="S32" s="1065">
        <f>IF(Cdlac[[#This Row],[Quantity]]&gt;0,MAX(0,Cdlac[[#This Row],[Fair Market Rent]]-IF(AND($G$37,$G$38,$G$38&lt;&gt;"",NOT(Cdlac[[#This Row],[Federal]]),Cdlac[[#This Row],[Preservation Rent]]&lt;&gt;""),Cdlac[[#This Row],[Preservation Rent]],Cdlac[[#This Row],[Restricted Rent]])),"")</f>
        <v>1502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14087500</v>
      </c>
      <c r="H33" s="1074"/>
      <c r="I33" s="1074"/>
      <c r="L33" s="1044">
        <f>IFERROR(MIN(4,MATCH(Application!B731,UnitSizes,0)-1),"")</f>
        <v>4</v>
      </c>
      <c r="M33" s="1065">
        <f>Application!G731</f>
        <v>38</v>
      </c>
      <c r="N33" s="1071">
        <f>Application!AC731</f>
        <v>0.7</v>
      </c>
      <c r="O33" s="1071">
        <f>IF(Cdlac[[#This Row],[Quantity]]&gt;0,IF(Cdlac[[#This Row],[Federal]],30%,IF(AND(OR(NOT($G$38),$G$38=""),$G$43),40%,Cdlac[[#This Row],[iAMI]])),"")</f>
        <v>0.7</v>
      </c>
      <c r="P33" s="1065" cm="1">
        <f t="array" ref="P33">IF(Cdlac[[#This Row],[Quantity]]&gt;0,INDEX(TcacRents,$P$18,Cdlac[[#This Row],[Bedrooms]]+1)*Cdlac[[#This Row],[AMI]],"")</f>
        <v>3074.3999999999996</v>
      </c>
      <c r="Q33" s="1164"/>
      <c r="R33" s="1065" cm="1">
        <f t="array" ref="R33">IF(Cdlac[[#This Row],[Quantity]]&gt;0,INDEX(HudFmrs,$P$18,Cdlac[[#This Row],[Bedrooms]]+1),"")</f>
        <v>3698</v>
      </c>
      <c r="S33" s="1065">
        <f>IF(Cdlac[[#This Row],[Quantity]]&gt;0,MAX(0,Cdlac[[#This Row],[Fair Market Rent]]-IF(AND($G$37,$G$38,$G$38&lt;&gt;"",NOT(Cdlac[[#This Row],[Federal]]),Cdlac[[#This Row],[Preservation Rent]]&lt;&gt;""),Cdlac[[#This Row],[Preservation Rent]],Cdlac[[#This Row],[Restricted Rent]])),"")</f>
        <v>623.60000000000036</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0.59906103286384971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158423.00000000003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28516140.000000004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106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23</v>
      </c>
    </row>
    <row r="61" spans="2:21" ht="15" customHeight="1">
      <c r="E61" s="1117" t="s">
        <v>1994</v>
      </c>
      <c r="G61" s="1079">
        <f>ROUNDDOWN(E29*50%,0)</f>
        <v>106</v>
      </c>
    </row>
    <row r="62" spans="2:21" ht="15" customHeight="1">
      <c r="E62" s="1117"/>
      <c r="G62" s="1079"/>
    </row>
    <row r="63" spans="2:21" ht="15" customHeight="1">
      <c r="E63" s="1117" t="s">
        <v>1954</v>
      </c>
      <c r="G63" s="1114">
        <f>MIN(G60:G61)</f>
        <v>23</v>
      </c>
    </row>
    <row r="64" spans="2:21" ht="15" customHeight="1">
      <c r="E64" s="1117" t="s">
        <v>1944</v>
      </c>
      <c r="F64" s="1113" t="s">
        <v>1992</v>
      </c>
      <c r="G64" s="1124">
        <v>20000</v>
      </c>
    </row>
    <row r="65" spans="2:14" ht="15" customHeight="1">
      <c r="E65" s="1118" t="s">
        <v>1976</v>
      </c>
      <c r="F65" s="1046"/>
      <c r="G65" s="1123">
        <f>G63*G64</f>
        <v>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row>
    <row r="72" spans="2:14" ht="15" customHeight="1">
      <c r="C72" s="1077" t="s">
        <v>1968</v>
      </c>
      <c r="G72" s="1044" t="str">
        <f>Application!T193</f>
        <v>Low Resource</v>
      </c>
      <c r="L72" s="2670" t="s">
        <v>1969</v>
      </c>
      <c r="M72" s="2671"/>
      <c r="N72" s="1131">
        <v>30000</v>
      </c>
    </row>
    <row r="73" spans="2:14" ht="15" customHeight="1">
      <c r="C73" s="2672" t="s">
        <v>2261</v>
      </c>
      <c r="D73" s="2672"/>
      <c r="E73" s="2672"/>
      <c r="F73" s="2672"/>
      <c r="G73" s="1043"/>
      <c r="L73" s="2681" t="s">
        <v>1937</v>
      </c>
      <c r="M73" s="2682"/>
      <c r="N73" s="1132">
        <v>20000</v>
      </c>
    </row>
    <row r="74" spans="2:14" ht="15" customHeight="1" thickBot="1">
      <c r="C74" s="2672"/>
      <c r="D74" s="2672"/>
      <c r="E74" s="2672"/>
      <c r="F74" s="2672"/>
      <c r="L74" s="2683" t="s">
        <v>1970</v>
      </c>
      <c r="M74" s="2684"/>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281.75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545</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281.75</v>
      </c>
    </row>
    <row r="89" spans="2:9" ht="15" customHeight="1">
      <c r="E89" s="1084" t="s">
        <v>1944</v>
      </c>
      <c r="F89" s="1113" t="s">
        <v>1992</v>
      </c>
      <c r="G89" s="1050">
        <v>20000</v>
      </c>
    </row>
    <row r="90" spans="2:9" ht="15" customHeight="1">
      <c r="E90" s="1118" t="s">
        <v>2270</v>
      </c>
      <c r="F90" s="1046"/>
      <c r="G90" s="1123">
        <f>G86*G89*G88</f>
        <v>5635000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6</v>
      </c>
    </row>
    <row r="95" spans="2:9" ht="15" customHeight="1">
      <c r="E95" s="1084" t="s">
        <v>1944</v>
      </c>
      <c r="F95" s="1113" t="s">
        <v>1992</v>
      </c>
      <c r="G95" s="1076">
        <v>4000</v>
      </c>
    </row>
    <row r="96" spans="2:9" ht="15" customHeight="1" thickBot="1">
      <c r="E96" s="1084" t="s">
        <v>1996</v>
      </c>
      <c r="F96" s="1113" t="s">
        <v>1992</v>
      </c>
      <c r="G96" s="1126">
        <f>G29</f>
        <v>281.75</v>
      </c>
    </row>
    <row r="97" spans="2:14" ht="15" customHeight="1">
      <c r="E97" s="1118" t="s">
        <v>1961</v>
      </c>
      <c r="F97" s="1046"/>
      <c r="G97" s="1123">
        <f>G94*G95*G96</f>
        <v>6762000</v>
      </c>
      <c r="L97" s="1127" t="str">
        <f>'Points System'!H638</f>
        <v>N/A</v>
      </c>
      <c r="M97" s="2689" t="s">
        <v>1405</v>
      </c>
      <c r="N97" s="2690"/>
    </row>
    <row r="98" spans="2:14" ht="15" customHeight="1">
      <c r="C98" s="1077"/>
      <c r="G98" s="1114"/>
      <c r="L98" s="1128" t="str">
        <f>'Points System'!H650</f>
        <v>N/A</v>
      </c>
      <c r="M98" s="2685" t="s">
        <v>1956</v>
      </c>
      <c r="N98" s="2686"/>
    </row>
    <row r="99" spans="2:14" ht="15" customHeight="1">
      <c r="E99" s="1084" t="s">
        <v>1997</v>
      </c>
      <c r="G99" s="1126">
        <f>COUNTIFS(L97:L104,"(i)")</f>
        <v>3</v>
      </c>
      <c r="L99" s="1128" t="str">
        <f>'Points System'!H685</f>
        <v>(i)</v>
      </c>
      <c r="M99" s="2685" t="s">
        <v>1957</v>
      </c>
      <c r="N99" s="2686"/>
    </row>
    <row r="100" spans="2:14" ht="15" customHeight="1">
      <c r="E100" s="1084" t="s">
        <v>1944</v>
      </c>
      <c r="F100" s="1113" t="s">
        <v>1992</v>
      </c>
      <c r="G100" s="1124">
        <v>4000</v>
      </c>
      <c r="L100" s="1128" t="str">
        <f>IF(OR('Points System'!H709="(ii)",'Points System'!H709="(i)"),"(i)","N/A")</f>
        <v>(i)</v>
      </c>
      <c r="M100" s="2685" t="s">
        <v>1958</v>
      </c>
      <c r="N100" s="2686"/>
    </row>
    <row r="101" spans="2:14" ht="15" customHeight="1">
      <c r="E101" s="1118" t="s">
        <v>1962</v>
      </c>
      <c r="F101" s="1046"/>
      <c r="G101" s="1123">
        <f>G96*G99*G100</f>
        <v>3381000</v>
      </c>
      <c r="L101" s="1129" t="str">
        <f>'Points System'!H723</f>
        <v>N/A</v>
      </c>
      <c r="M101" s="2685" t="s">
        <v>1431</v>
      </c>
      <c r="N101" s="2686"/>
    </row>
    <row r="102" spans="2:14" ht="15" customHeight="1">
      <c r="L102" s="1128" t="str">
        <f>'Points System'!H735</f>
        <v>N/A</v>
      </c>
      <c r="M102" s="2685" t="s">
        <v>1959</v>
      </c>
      <c r="N102" s="2686"/>
    </row>
    <row r="103" spans="2:14" ht="15" customHeight="1">
      <c r="C103" s="1080" t="s">
        <v>1964</v>
      </c>
      <c r="L103" s="1128" t="str">
        <f>'Points System'!H751</f>
        <v>N/A</v>
      </c>
      <c r="M103" s="2685" t="s">
        <v>1960</v>
      </c>
      <c r="N103" s="2686"/>
    </row>
    <row r="104" spans="2:14" ht="15" customHeight="1" thickBot="1">
      <c r="C104" s="1077" t="s">
        <v>1965</v>
      </c>
      <c r="G104" s="1043"/>
      <c r="L104" s="1130" t="str">
        <f>'Points System'!H763</f>
        <v>(i)</v>
      </c>
      <c r="M104" s="2687" t="s">
        <v>1434</v>
      </c>
      <c r="N104" s="2688"/>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281.75</v>
      </c>
    </row>
    <row r="112" spans="2:14" ht="15" customHeight="1">
      <c r="E112" s="1084" t="s">
        <v>1944</v>
      </c>
      <c r="F112" s="1113" t="s">
        <v>1992</v>
      </c>
      <c r="G112" s="1124">
        <v>25000</v>
      </c>
    </row>
    <row r="113" spans="2:9" ht="15" customHeight="1">
      <c r="E113" s="1118" t="s">
        <v>1963</v>
      </c>
      <c r="F113" s="1046"/>
      <c r="G113" s="1123">
        <f>G109*G112*G96</f>
        <v>7043750</v>
      </c>
    </row>
    <row r="114" spans="2:9" ht="15" customHeight="1">
      <c r="C114" s="1077"/>
      <c r="E114" s="1077"/>
    </row>
    <row r="115" spans="2:9" ht="15" customHeight="1">
      <c r="E115" s="1118" t="s">
        <v>2271</v>
      </c>
      <c r="G115" s="1123">
        <f>G113+G101+G97</f>
        <v>17186750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2226</v>
      </c>
      <c r="D119" s="2661"/>
      <c r="E119" s="2661"/>
      <c r="F119" s="2661"/>
    </row>
    <row r="120" spans="2:9" ht="15" customHeight="1">
      <c r="C120" s="2661"/>
      <c r="D120" s="2661"/>
      <c r="E120" s="2661"/>
      <c r="F120" s="2661"/>
      <c r="G120" s="1043"/>
    </row>
    <row r="121" spans="2:9" ht="15" customHeight="1"/>
    <row r="122" spans="2:9" ht="15" customHeight="1">
      <c r="C122" s="1044" t="s">
        <v>2228</v>
      </c>
      <c r="G122" s="2663"/>
      <c r="H122" s="2663"/>
    </row>
    <row r="123" spans="2:9" ht="15" customHeight="1">
      <c r="G123" s="2663"/>
      <c r="H123" s="2663"/>
    </row>
    <row r="124" spans="2:9" ht="15" customHeight="1">
      <c r="G124" s="2664"/>
      <c r="H124" s="2664"/>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6" t="s">
        <v>2274</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4695000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2695312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26953125" style="304"/>
  </cols>
  <sheetData>
    <row r="1" spans="1:12">
      <c r="A1" s="2691" t="s">
        <v>909</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4.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3</v>
      </c>
      <c r="C4" s="1162"/>
      <c r="D4" s="428">
        <f>Application!O718</f>
        <v>1555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17</v>
      </c>
      <c r="C5" s="1162"/>
      <c r="D5" s="428">
        <f>Application!O719</f>
        <v>1271</v>
      </c>
      <c r="E5" s="429"/>
      <c r="F5" s="1083"/>
      <c r="G5" s="428">
        <f t="shared" ref="G5:G38" si="2">F5*B5</f>
        <v>0</v>
      </c>
      <c r="H5" s="429"/>
      <c r="I5" s="428" t="str">
        <f t="shared" si="0"/>
        <v/>
      </c>
      <c r="J5" s="428" t="str">
        <f t="shared" si="1"/>
        <v/>
      </c>
      <c r="K5" s="204"/>
      <c r="L5" s="305"/>
    </row>
    <row r="6" spans="1:12">
      <c r="A6" s="428" t="str">
        <f>Application!B720</f>
        <v>1 Bedroom</v>
      </c>
      <c r="B6" s="1082">
        <f>Application!G720</f>
        <v>23</v>
      </c>
      <c r="C6" s="1162"/>
      <c r="D6" s="428">
        <f>Application!O720</f>
        <v>703</v>
      </c>
      <c r="E6" s="429"/>
      <c r="F6" s="1083"/>
      <c r="G6" s="428">
        <f t="shared" si="2"/>
        <v>0</v>
      </c>
      <c r="H6" s="429"/>
      <c r="I6" s="428" t="str">
        <f t="shared" si="0"/>
        <v/>
      </c>
      <c r="J6" s="428" t="str">
        <f t="shared" si="1"/>
        <v/>
      </c>
      <c r="K6" s="204"/>
      <c r="L6" s="305"/>
    </row>
    <row r="7" spans="1:12">
      <c r="A7" s="428" t="str">
        <f>Application!B721</f>
        <v>2 Bedrooms</v>
      </c>
      <c r="B7" s="1082">
        <f>Application!G721</f>
        <v>33</v>
      </c>
      <c r="C7" s="1162"/>
      <c r="D7" s="428">
        <f>Application!O721</f>
        <v>1854</v>
      </c>
      <c r="E7" s="429"/>
      <c r="F7" s="1083"/>
      <c r="G7" s="428">
        <f t="shared" si="2"/>
        <v>0</v>
      </c>
      <c r="H7" s="429"/>
      <c r="I7" s="428" t="str">
        <f t="shared" si="0"/>
        <v/>
      </c>
      <c r="J7" s="428" t="str">
        <f t="shared" si="1"/>
        <v/>
      </c>
      <c r="K7" s="204"/>
      <c r="L7" s="305"/>
    </row>
    <row r="8" spans="1:12">
      <c r="A8" s="428" t="str">
        <f>Application!B722</f>
        <v>2 Bedrooms</v>
      </c>
      <c r="B8" s="1082">
        <f>Application!G722</f>
        <v>5</v>
      </c>
      <c r="C8" s="1162"/>
      <c r="D8" s="428">
        <f>Application!O722</f>
        <v>1513</v>
      </c>
      <c r="E8" s="429"/>
      <c r="F8" s="1083"/>
      <c r="G8" s="428">
        <f t="shared" si="2"/>
        <v>0</v>
      </c>
      <c r="H8" s="429"/>
      <c r="I8" s="428" t="str">
        <f t="shared" si="0"/>
        <v/>
      </c>
      <c r="J8" s="428" t="str">
        <f t="shared" si="1"/>
        <v/>
      </c>
      <c r="K8" s="204"/>
      <c r="L8" s="305"/>
    </row>
    <row r="9" spans="1:12">
      <c r="A9" s="428" t="str">
        <f>Application!B723</f>
        <v>2 Bedrooms</v>
      </c>
      <c r="B9" s="1082">
        <f>Application!G723</f>
        <v>5</v>
      </c>
      <c r="C9" s="1162"/>
      <c r="D9" s="428">
        <f>Application!O723</f>
        <v>2195</v>
      </c>
      <c r="E9" s="429"/>
      <c r="F9" s="1083"/>
      <c r="G9" s="428">
        <f t="shared" si="2"/>
        <v>0</v>
      </c>
      <c r="H9" s="429"/>
      <c r="I9" s="428" t="str">
        <f t="shared" si="0"/>
        <v/>
      </c>
      <c r="J9" s="428" t="str">
        <f t="shared" si="1"/>
        <v/>
      </c>
      <c r="K9" s="204"/>
      <c r="L9" s="305"/>
    </row>
    <row r="10" spans="1:12">
      <c r="A10" s="428" t="str">
        <f>Application!B724</f>
        <v>3 Bedrooms</v>
      </c>
      <c r="B10" s="1082">
        <f>Application!G724</f>
        <v>8</v>
      </c>
      <c r="C10" s="1162"/>
      <c r="D10" s="428">
        <f>Application!O724</f>
        <v>2127</v>
      </c>
      <c r="E10" s="429"/>
      <c r="F10" s="1083"/>
      <c r="G10" s="428">
        <f t="shared" si="2"/>
        <v>0</v>
      </c>
      <c r="H10" s="429"/>
      <c r="I10" s="428" t="str">
        <f t="shared" si="0"/>
        <v/>
      </c>
      <c r="J10" s="428" t="str">
        <f t="shared" si="1"/>
        <v/>
      </c>
      <c r="K10" s="204"/>
      <c r="L10" s="305"/>
    </row>
    <row r="11" spans="1:12">
      <c r="A11" s="428" t="str">
        <f>Application!B725</f>
        <v>3 Bedrooms</v>
      </c>
      <c r="B11" s="1082">
        <f>Application!G725</f>
        <v>5</v>
      </c>
      <c r="C11" s="1162"/>
      <c r="D11" s="428">
        <f>Application!O725</f>
        <v>1733</v>
      </c>
      <c r="E11" s="429"/>
      <c r="F11" s="1083"/>
      <c r="G11" s="428">
        <f t="shared" si="2"/>
        <v>0</v>
      </c>
      <c r="H11" s="429"/>
      <c r="I11" s="428" t="str">
        <f t="shared" si="0"/>
        <v/>
      </c>
      <c r="J11" s="428" t="str">
        <f t="shared" si="1"/>
        <v/>
      </c>
      <c r="K11" s="204"/>
      <c r="L11" s="305"/>
    </row>
    <row r="12" spans="1:12">
      <c r="A12" s="428" t="str">
        <f>Application!B726</f>
        <v>3 Bedrooms</v>
      </c>
      <c r="B12" s="1082">
        <f>Application!G726</f>
        <v>30</v>
      </c>
      <c r="C12" s="1162"/>
      <c r="D12" s="428">
        <f>Application!O726</f>
        <v>2521</v>
      </c>
      <c r="E12" s="429"/>
      <c r="F12" s="1083"/>
      <c r="G12" s="428">
        <f t="shared" si="2"/>
        <v>0</v>
      </c>
      <c r="H12" s="429"/>
      <c r="I12" s="428" t="str">
        <f t="shared" si="0"/>
        <v/>
      </c>
      <c r="J12" s="428" t="str">
        <f t="shared" si="1"/>
        <v/>
      </c>
      <c r="K12" s="204"/>
      <c r="L12" s="305"/>
    </row>
    <row r="13" spans="1:12">
      <c r="A13" s="428" t="str">
        <f>Application!B727</f>
        <v>3 Bedrooms</v>
      </c>
      <c r="B13" s="1082">
        <f>Application!G727</f>
        <v>7</v>
      </c>
      <c r="C13" s="1162"/>
      <c r="D13" s="428">
        <f>Application!O727</f>
        <v>2127</v>
      </c>
      <c r="E13" s="429"/>
      <c r="F13" s="1083"/>
      <c r="G13" s="428">
        <f t="shared" si="2"/>
        <v>0</v>
      </c>
      <c r="H13" s="429"/>
      <c r="I13" s="428" t="str">
        <f t="shared" si="0"/>
        <v/>
      </c>
      <c r="J13" s="428" t="str">
        <f t="shared" si="1"/>
        <v/>
      </c>
      <c r="K13" s="204"/>
      <c r="L13" s="305"/>
    </row>
    <row r="14" spans="1:12">
      <c r="A14" s="428" t="str">
        <f>Application!B728</f>
        <v>3 Bedrooms</v>
      </c>
      <c r="B14" s="1082">
        <f>Application!G728</f>
        <v>4</v>
      </c>
      <c r="C14" s="1162"/>
      <c r="D14" s="428">
        <f>Application!O728</f>
        <v>1733</v>
      </c>
      <c r="E14" s="429"/>
      <c r="F14" s="1083"/>
      <c r="G14" s="428">
        <f t="shared" si="2"/>
        <v>0</v>
      </c>
      <c r="H14" s="429"/>
      <c r="I14" s="428" t="str">
        <f t="shared" si="0"/>
        <v/>
      </c>
      <c r="J14" s="428" t="str">
        <f t="shared" si="1"/>
        <v/>
      </c>
      <c r="K14" s="204"/>
      <c r="L14" s="305"/>
    </row>
    <row r="15" spans="1:12">
      <c r="A15" s="428" t="str">
        <f>Application!B729</f>
        <v>3 Bedrooms</v>
      </c>
      <c r="B15" s="1082">
        <f>Application!G729</f>
        <v>30</v>
      </c>
      <c r="C15" s="1162"/>
      <c r="D15" s="428">
        <f>Application!O729</f>
        <v>2521</v>
      </c>
      <c r="E15" s="429"/>
      <c r="F15" s="1083"/>
      <c r="G15" s="428">
        <f t="shared" si="2"/>
        <v>0</v>
      </c>
      <c r="H15" s="429"/>
      <c r="I15" s="428" t="str">
        <f t="shared" si="0"/>
        <v/>
      </c>
      <c r="J15" s="428" t="str">
        <f t="shared" si="1"/>
        <v/>
      </c>
      <c r="K15" s="204"/>
      <c r="L15" s="305"/>
    </row>
    <row r="16" spans="1:12">
      <c r="A16" s="428" t="str">
        <f>Application!B730</f>
        <v>4 Bedrooms</v>
      </c>
      <c r="B16" s="1082">
        <f>Application!G730</f>
        <v>5</v>
      </c>
      <c r="C16" s="1162"/>
      <c r="D16" s="428">
        <f>Application!O730</f>
        <v>1899</v>
      </c>
      <c r="E16" s="429"/>
      <c r="F16" s="1083"/>
      <c r="G16" s="428">
        <f t="shared" si="2"/>
        <v>0</v>
      </c>
      <c r="H16" s="429"/>
      <c r="I16" s="428" t="str">
        <f t="shared" si="0"/>
        <v/>
      </c>
      <c r="J16" s="428" t="str">
        <f t="shared" si="1"/>
        <v/>
      </c>
      <c r="K16" s="204"/>
      <c r="L16" s="305"/>
    </row>
    <row r="17" spans="1:12">
      <c r="A17" s="428" t="str">
        <f>Application!B731</f>
        <v>4 Bedrooms</v>
      </c>
      <c r="B17" s="1082">
        <f>Application!G731</f>
        <v>38</v>
      </c>
      <c r="C17" s="1162"/>
      <c r="D17" s="428">
        <f>Application!O731</f>
        <v>2777</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435946</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92" t="s">
        <v>2495</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2257</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6" workbookViewId="0"/>
  </sheetViews>
  <sheetFormatPr defaultColWidth="0" defaultRowHeight="12.5" zeroHeight="1"/>
  <cols>
    <col min="1" max="1" width="3.7265625" customWidth="1"/>
    <col min="2" max="2" width="30.54296875" customWidth="1"/>
    <col min="3" max="3" width="9.2695312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5231352</v>
      </c>
      <c r="G4" s="219">
        <f>E4*$C$4</f>
        <v>5362135.8</v>
      </c>
      <c r="I4" s="219">
        <f>G4*$C$4</f>
        <v>5496189.1949999994</v>
      </c>
      <c r="K4" s="219">
        <f>I4*$C$4</f>
        <v>5633593.9248749986</v>
      </c>
      <c r="M4" s="219">
        <f>K4*$C$4</f>
        <v>5774433.7729968727</v>
      </c>
      <c r="O4" s="219">
        <f>M4*$C$4</f>
        <v>5918794.6173217939</v>
      </c>
      <c r="Q4" s="219">
        <f>O4*$C$4</f>
        <v>6066764.4827548387</v>
      </c>
      <c r="S4" s="219">
        <f>Q4*$C$4</f>
        <v>6218433.5948237088</v>
      </c>
      <c r="U4" s="219">
        <f>S4*$C$4</f>
        <v>6373894.4346943013</v>
      </c>
      <c r="W4" s="219">
        <f>U4*$C$4</f>
        <v>6533241.7955616582</v>
      </c>
      <c r="Y4" s="219">
        <f>W4*$C$4</f>
        <v>6696572.8404506994</v>
      </c>
      <c r="AA4" s="219">
        <f>Y4*$C$4</f>
        <v>6863987.1614619661</v>
      </c>
      <c r="AC4" s="219">
        <f>AA4*$C$4</f>
        <v>7035586.8404985145</v>
      </c>
      <c r="AE4" s="219">
        <f>AC4*$C$4</f>
        <v>7211476.5115109766</v>
      </c>
      <c r="AG4" s="219">
        <f>AE4*$C$4</f>
        <v>7391763.4242987502</v>
      </c>
    </row>
    <row r="5" spans="1:34" s="210" customFormat="1" ht="14">
      <c r="B5" s="210" t="s">
        <v>838</v>
      </c>
      <c r="C5" s="238">
        <f>IF(Application!$D$211="Special Needs",(((0.1*Application!$T$212)+(0.05*(1-Application!$T$212)))),0.05)</f>
        <v>0.05</v>
      </c>
      <c r="E5" s="221">
        <f>-E4*$C$5</f>
        <v>-261567.6</v>
      </c>
      <c r="F5" s="221"/>
      <c r="G5" s="221">
        <f>-G4*$C$5</f>
        <v>-268106.78999999998</v>
      </c>
      <c r="H5" s="221"/>
      <c r="I5" s="221">
        <f>-I4*$C$5</f>
        <v>-274809.45974999998</v>
      </c>
      <c r="J5" s="221"/>
      <c r="K5" s="221">
        <f>-K4*$C$5</f>
        <v>-281679.69624374993</v>
      </c>
      <c r="L5" s="221"/>
      <c r="M5" s="221">
        <f>-M4*$C$5</f>
        <v>-288721.68864984362</v>
      </c>
      <c r="N5" s="221"/>
      <c r="O5" s="221">
        <f>-O4*$C$5</f>
        <v>-295939.7308660897</v>
      </c>
      <c r="P5" s="221"/>
      <c r="Q5" s="221">
        <f>-Q4*$C$5</f>
        <v>-303338.22413774196</v>
      </c>
      <c r="R5" s="221"/>
      <c r="S5" s="221">
        <f>-S4*$C$5</f>
        <v>-310921.67974118545</v>
      </c>
      <c r="T5" s="221"/>
      <c r="U5" s="221">
        <f>-U4*$C$5</f>
        <v>-318694.7217347151</v>
      </c>
      <c r="V5" s="221"/>
      <c r="W5" s="221">
        <f>-W4*$C$5</f>
        <v>-326662.08977808291</v>
      </c>
      <c r="X5" s="221"/>
      <c r="Y5" s="221">
        <f>-Y4*$C$5</f>
        <v>-334828.64202253497</v>
      </c>
      <c r="Z5" s="221"/>
      <c r="AA5" s="221">
        <f>-AA4*$C$5</f>
        <v>-343199.35807309835</v>
      </c>
      <c r="AB5" s="221"/>
      <c r="AC5" s="221">
        <f>-AC4*$C$5</f>
        <v>-351779.34202492575</v>
      </c>
      <c r="AD5" s="221"/>
      <c r="AE5" s="221">
        <f>-AE4*$C$5</f>
        <v>-360573.82557554886</v>
      </c>
      <c r="AF5" s="221"/>
      <c r="AG5" s="221">
        <f>-AG4*$C$5</f>
        <v>-369588.17121493752</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329968.42105263157</v>
      </c>
      <c r="F8" s="222"/>
      <c r="G8" s="222">
        <f>E8*$C$8</f>
        <v>338217.63157894736</v>
      </c>
      <c r="H8" s="222"/>
      <c r="I8" s="222">
        <f>G8*$C$8</f>
        <v>346673.07236842101</v>
      </c>
      <c r="J8" s="222"/>
      <c r="K8" s="222">
        <f>I8*$C$8</f>
        <v>355339.89917763148</v>
      </c>
      <c r="L8" s="222"/>
      <c r="M8" s="222">
        <f>K8*$C$8</f>
        <v>364223.39665707224</v>
      </c>
      <c r="N8" s="222"/>
      <c r="O8" s="222">
        <f>M8*$C$8</f>
        <v>373328.98157349904</v>
      </c>
      <c r="P8" s="222"/>
      <c r="Q8" s="222">
        <f>O8*$C$8</f>
        <v>382662.20611283649</v>
      </c>
      <c r="R8" s="222"/>
      <c r="S8" s="222">
        <f>Q8*$C$8</f>
        <v>392228.76126565738</v>
      </c>
      <c r="T8" s="222"/>
      <c r="U8" s="222">
        <f>S8*$C$8</f>
        <v>402034.48029729875</v>
      </c>
      <c r="V8" s="222"/>
      <c r="W8" s="222">
        <f>U8*$C$8</f>
        <v>412085.3423047312</v>
      </c>
      <c r="X8" s="222"/>
      <c r="Y8" s="222">
        <f>W8*$C$8</f>
        <v>422387.47586234944</v>
      </c>
      <c r="Z8" s="222"/>
      <c r="AA8" s="222">
        <f>Y8*$C$8</f>
        <v>432947.16275890812</v>
      </c>
      <c r="AB8" s="222"/>
      <c r="AC8" s="222">
        <f>AA8*$C$8</f>
        <v>443770.84182788077</v>
      </c>
      <c r="AD8" s="222"/>
      <c r="AE8" s="222">
        <f>AC8*$C$8</f>
        <v>454865.11287357775</v>
      </c>
      <c r="AF8" s="222"/>
      <c r="AG8" s="222">
        <f>AE8*$C$8</f>
        <v>466236.74069541716</v>
      </c>
    </row>
    <row r="9" spans="1:34" s="210" customFormat="1" ht="14">
      <c r="B9" s="210" t="s">
        <v>838</v>
      </c>
      <c r="C9" s="238">
        <f>IF(Application!$D$211="Special Needs",(((0.1*Application!$T$212)+(0.05*(1-Application!$T$212)))),0.05)</f>
        <v>0.05</v>
      </c>
      <c r="E9" s="221">
        <f>-E8*$C$9</f>
        <v>-16498.42105263158</v>
      </c>
      <c r="F9" s="221"/>
      <c r="G9" s="221">
        <f>-G8*$C$9</f>
        <v>-16910.88157894737</v>
      </c>
      <c r="H9" s="221"/>
      <c r="I9" s="221">
        <f>-I8*$C$9</f>
        <v>-17333.653618421053</v>
      </c>
      <c r="J9" s="221"/>
      <c r="K9" s="221">
        <f>-K8*$C$9</f>
        <v>-17766.994958881576</v>
      </c>
      <c r="L9" s="221"/>
      <c r="M9" s="221">
        <f>-M8*$C$9</f>
        <v>-18211.169832853611</v>
      </c>
      <c r="N9" s="221"/>
      <c r="O9" s="221">
        <f>-O8*$C$9</f>
        <v>-18666.449078674952</v>
      </c>
      <c r="P9" s="221"/>
      <c r="Q9" s="221">
        <f>-Q8*$C$9</f>
        <v>-19133.110305641825</v>
      </c>
      <c r="R9" s="221"/>
      <c r="S9" s="221">
        <f>-S8*$C$9</f>
        <v>-19611.438063282869</v>
      </c>
      <c r="T9" s="221"/>
      <c r="U9" s="221">
        <f>-U8*$C$9</f>
        <v>-20101.72401486494</v>
      </c>
      <c r="V9" s="221"/>
      <c r="W9" s="221">
        <f>-W8*$C$9</f>
        <v>-20604.267115236562</v>
      </c>
      <c r="X9" s="221"/>
      <c r="Y9" s="221">
        <f>-Y8*$C$9</f>
        <v>-21119.373793117473</v>
      </c>
      <c r="Z9" s="221"/>
      <c r="AA9" s="221">
        <f>-AA8*$C$9</f>
        <v>-21647.358137945408</v>
      </c>
      <c r="AB9" s="221"/>
      <c r="AC9" s="221">
        <f>-AC8*$C$9</f>
        <v>-22188.54209139404</v>
      </c>
      <c r="AD9" s="221"/>
      <c r="AE9" s="221">
        <f>-AE8*$C$9</f>
        <v>-22743.255643678887</v>
      </c>
      <c r="AF9" s="221"/>
      <c r="AG9" s="221">
        <f>-AG8*$C$9</f>
        <v>-23311.837034770859</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5283254.4000000004</v>
      </c>
      <c r="G11" s="223">
        <f>SUM(G4:G10)</f>
        <v>5415335.7599999998</v>
      </c>
      <c r="I11" s="223">
        <f>SUM(I4:I10)</f>
        <v>5550719.1539999982</v>
      </c>
      <c r="K11" s="223">
        <f>SUM(K4:K10)</f>
        <v>5689487.1328499988</v>
      </c>
      <c r="M11" s="223">
        <f>SUM(M4:M10)</f>
        <v>5831724.3111712476</v>
      </c>
      <c r="O11" s="223">
        <f>SUM(O4:O10)</f>
        <v>5977517.4189505279</v>
      </c>
      <c r="Q11" s="223">
        <f>SUM(Q4:Q10)</f>
        <v>6126955.3544242913</v>
      </c>
      <c r="S11" s="223">
        <f>SUM(S4:S10)</f>
        <v>6280129.2382848989</v>
      </c>
      <c r="U11" s="223">
        <f>SUM(U4:U10)</f>
        <v>6437132.4692420205</v>
      </c>
      <c r="W11" s="223">
        <f>SUM(W4:W10)</f>
        <v>6598060.7809730703</v>
      </c>
      <c r="Y11" s="223">
        <f>SUM(Y4:Y10)</f>
        <v>6763012.3004973959</v>
      </c>
      <c r="AA11" s="223">
        <f>SUM(AA4:AA10)</f>
        <v>6932087.6080098301</v>
      </c>
      <c r="AC11" s="223">
        <f>SUM(AC4:AC10)</f>
        <v>7105389.7982100751</v>
      </c>
      <c r="AE11" s="223">
        <f>SUM(AE4:AE10)</f>
        <v>7283024.5431653261</v>
      </c>
      <c r="AG11" s="223">
        <f>SUM(AG4:AG10)</f>
        <v>7465100.1567444587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69875</v>
      </c>
      <c r="G15" s="219">
        <f>E15*$C$14</f>
        <v>72320.625</v>
      </c>
      <c r="I15" s="219">
        <f>G15*$C$14</f>
        <v>74851.846874999988</v>
      </c>
      <c r="K15" s="219">
        <f>I15*$C$14</f>
        <v>77471.661515624975</v>
      </c>
      <c r="M15" s="219">
        <f>K15*$C$14</f>
        <v>80183.16966867185</v>
      </c>
      <c r="O15" s="219">
        <f>M15*$C$14</f>
        <v>82989.580607075361</v>
      </c>
      <c r="Q15" s="219">
        <f>O15*$C$14</f>
        <v>85894.215928322985</v>
      </c>
      <c r="S15" s="219">
        <f>Q15*$C$14</f>
        <v>88900.513485814285</v>
      </c>
      <c r="U15" s="219">
        <f>S15*$C$14</f>
        <v>92012.031457817779</v>
      </c>
      <c r="W15" s="219">
        <f>U15*$C$14</f>
        <v>95232.452558841396</v>
      </c>
      <c r="Y15" s="219">
        <f>W15*$C$14</f>
        <v>98565.58839840084</v>
      </c>
      <c r="AA15" s="219">
        <f>Y15*$C$14</f>
        <v>102015.38399234485</v>
      </c>
      <c r="AC15" s="219">
        <f>AA15*$C$14</f>
        <v>105585.92243207691</v>
      </c>
      <c r="AE15" s="219">
        <f>AC15*$C$14</f>
        <v>109281.4297171996</v>
      </c>
      <c r="AG15" s="219">
        <f>AE15*$C$14</f>
        <v>113106.27975730157</v>
      </c>
    </row>
    <row r="16" spans="1:34" s="210" customFormat="1" ht="14">
      <c r="A16" s="210" t="s">
        <v>344</v>
      </c>
      <c r="C16" s="233"/>
      <c r="E16" s="222">
        <f>Application!W849</f>
        <v>171705.76800000001</v>
      </c>
      <c r="F16" s="222"/>
      <c r="G16" s="222">
        <f t="shared" ref="G16:AG21" si="0">E16*$C$14</f>
        <v>177715.46987999999</v>
      </c>
      <c r="H16" s="222"/>
      <c r="I16" s="222">
        <f t="shared" si="0"/>
        <v>183935.51132579998</v>
      </c>
      <c r="J16" s="222"/>
      <c r="K16" s="222">
        <f t="shared" si="0"/>
        <v>190373.25422220296</v>
      </c>
      <c r="L16" s="222"/>
      <c r="M16" s="222">
        <f t="shared" si="0"/>
        <v>197036.31811998005</v>
      </c>
      <c r="N16" s="222"/>
      <c r="O16" s="222">
        <f t="shared" si="0"/>
        <v>203932.58925417933</v>
      </c>
      <c r="P16" s="222"/>
      <c r="Q16" s="222">
        <f t="shared" si="0"/>
        <v>211070.2298780756</v>
      </c>
      <c r="R16" s="222"/>
      <c r="S16" s="222">
        <f t="shared" si="0"/>
        <v>218457.68792380823</v>
      </c>
      <c r="T16" s="222"/>
      <c r="U16" s="222">
        <f t="shared" si="0"/>
        <v>226103.70700114151</v>
      </c>
      <c r="V16" s="222"/>
      <c r="W16" s="222">
        <f t="shared" si="0"/>
        <v>234017.33674618145</v>
      </c>
      <c r="X16" s="222"/>
      <c r="Y16" s="222">
        <f t="shared" si="0"/>
        <v>242207.9435322978</v>
      </c>
      <c r="Z16" s="222"/>
      <c r="AA16" s="222">
        <f t="shared" si="0"/>
        <v>250685.2215559282</v>
      </c>
      <c r="AB16" s="222"/>
      <c r="AC16" s="222">
        <f t="shared" si="0"/>
        <v>259459.20431038568</v>
      </c>
      <c r="AD16" s="222"/>
      <c r="AE16" s="222">
        <f t="shared" si="0"/>
        <v>268540.27646124916</v>
      </c>
      <c r="AF16" s="222"/>
      <c r="AG16" s="222">
        <f t="shared" si="0"/>
        <v>277939.18613739288</v>
      </c>
    </row>
    <row r="17" spans="1:33" s="210" customFormat="1" ht="14">
      <c r="A17" s="210" t="s">
        <v>561</v>
      </c>
      <c r="C17" s="233"/>
      <c r="E17" s="222">
        <f>Application!W855</f>
        <v>215000</v>
      </c>
      <c r="F17" s="222"/>
      <c r="G17" s="222">
        <f t="shared" si="0"/>
        <v>222524.99999999997</v>
      </c>
      <c r="H17" s="222"/>
      <c r="I17" s="222">
        <f t="shared" si="0"/>
        <v>230313.37499999994</v>
      </c>
      <c r="J17" s="222"/>
      <c r="K17" s="222">
        <f t="shared" si="0"/>
        <v>238374.34312499993</v>
      </c>
      <c r="L17" s="222"/>
      <c r="M17" s="222">
        <f t="shared" si="0"/>
        <v>246717.4451343749</v>
      </c>
      <c r="N17" s="222"/>
      <c r="O17" s="222">
        <f t="shared" si="0"/>
        <v>255352.55571407799</v>
      </c>
      <c r="P17" s="222"/>
      <c r="Q17" s="222">
        <f t="shared" si="0"/>
        <v>264289.89516407071</v>
      </c>
      <c r="R17" s="222"/>
      <c r="S17" s="222">
        <f t="shared" si="0"/>
        <v>273540.04149481317</v>
      </c>
      <c r="T17" s="222"/>
      <c r="U17" s="222">
        <f t="shared" si="0"/>
        <v>283113.94294713158</v>
      </c>
      <c r="V17" s="222"/>
      <c r="W17" s="222">
        <f t="shared" si="0"/>
        <v>293022.93095028115</v>
      </c>
      <c r="X17" s="222"/>
      <c r="Y17" s="222">
        <f t="shared" si="0"/>
        <v>303278.73353354097</v>
      </c>
      <c r="Z17" s="222"/>
      <c r="AA17" s="222">
        <f t="shared" si="0"/>
        <v>313893.48920721491</v>
      </c>
      <c r="AB17" s="222"/>
      <c r="AC17" s="222">
        <f t="shared" si="0"/>
        <v>324879.76132946741</v>
      </c>
      <c r="AD17" s="222"/>
      <c r="AE17" s="222">
        <f t="shared" si="0"/>
        <v>336250.55297599873</v>
      </c>
      <c r="AF17" s="222"/>
      <c r="AG17" s="222">
        <f t="shared" si="0"/>
        <v>348019.32233015867</v>
      </c>
    </row>
    <row r="18" spans="1:33" s="210" customFormat="1" ht="14">
      <c r="A18" s="210" t="s">
        <v>842</v>
      </c>
      <c r="C18" s="233"/>
      <c r="E18" s="222">
        <f>Application!W862</f>
        <v>430000</v>
      </c>
      <c r="F18" s="222"/>
      <c r="G18" s="222">
        <f t="shared" si="0"/>
        <v>445049.99999999994</v>
      </c>
      <c r="H18" s="222"/>
      <c r="I18" s="222">
        <f t="shared" si="0"/>
        <v>460626.74999999988</v>
      </c>
      <c r="J18" s="222"/>
      <c r="K18" s="222">
        <f t="shared" si="0"/>
        <v>476748.68624999985</v>
      </c>
      <c r="L18" s="222"/>
      <c r="M18" s="222">
        <f t="shared" si="0"/>
        <v>493434.89026874979</v>
      </c>
      <c r="N18" s="222"/>
      <c r="O18" s="222">
        <f t="shared" si="0"/>
        <v>510705.11142815597</v>
      </c>
      <c r="P18" s="222"/>
      <c r="Q18" s="222">
        <f t="shared" si="0"/>
        <v>528579.79032814142</v>
      </c>
      <c r="R18" s="222"/>
      <c r="S18" s="222">
        <f t="shared" si="0"/>
        <v>547080.08298962633</v>
      </c>
      <c r="T18" s="222"/>
      <c r="U18" s="222">
        <f t="shared" si="0"/>
        <v>566227.88589426316</v>
      </c>
      <c r="V18" s="222"/>
      <c r="W18" s="222">
        <f t="shared" si="0"/>
        <v>586045.8619005623</v>
      </c>
      <c r="X18" s="222"/>
      <c r="Y18" s="222">
        <f t="shared" si="0"/>
        <v>606557.46706708195</v>
      </c>
      <c r="Z18" s="222"/>
      <c r="AA18" s="222">
        <f t="shared" si="0"/>
        <v>627786.97841442982</v>
      </c>
      <c r="AB18" s="222"/>
      <c r="AC18" s="222">
        <f t="shared" si="0"/>
        <v>649759.52265893482</v>
      </c>
      <c r="AD18" s="222"/>
      <c r="AE18" s="222">
        <f t="shared" si="0"/>
        <v>672501.10595199745</v>
      </c>
      <c r="AF18" s="222"/>
      <c r="AG18" s="222">
        <f t="shared" si="0"/>
        <v>696038.64466031734</v>
      </c>
    </row>
    <row r="19" spans="1:33" s="210" customFormat="1" ht="14">
      <c r="A19" s="210" t="s">
        <v>155</v>
      </c>
      <c r="C19" s="233"/>
      <c r="E19" s="222">
        <f>Application!W863</f>
        <v>181675</v>
      </c>
      <c r="F19" s="222"/>
      <c r="G19" s="222">
        <f t="shared" si="0"/>
        <v>188033.625</v>
      </c>
      <c r="H19" s="222"/>
      <c r="I19" s="222">
        <f t="shared" si="0"/>
        <v>194614.80187499998</v>
      </c>
      <c r="J19" s="222"/>
      <c r="K19" s="222">
        <f t="shared" si="0"/>
        <v>201426.31994062496</v>
      </c>
      <c r="L19" s="222"/>
      <c r="M19" s="222">
        <f t="shared" si="0"/>
        <v>208476.24113854681</v>
      </c>
      <c r="N19" s="222"/>
      <c r="O19" s="222">
        <f t="shared" si="0"/>
        <v>215772.90957839595</v>
      </c>
      <c r="P19" s="222"/>
      <c r="Q19" s="222">
        <f t="shared" si="0"/>
        <v>223324.9614136398</v>
      </c>
      <c r="R19" s="222"/>
      <c r="S19" s="222">
        <f t="shared" si="0"/>
        <v>231141.33506311718</v>
      </c>
      <c r="T19" s="222"/>
      <c r="U19" s="222">
        <f t="shared" si="0"/>
        <v>239231.28179032626</v>
      </c>
      <c r="V19" s="222"/>
      <c r="W19" s="222">
        <f t="shared" si="0"/>
        <v>247604.37665298767</v>
      </c>
      <c r="X19" s="222"/>
      <c r="Y19" s="222">
        <f t="shared" si="0"/>
        <v>256270.52983584223</v>
      </c>
      <c r="Z19" s="222"/>
      <c r="AA19" s="222">
        <f t="shared" si="0"/>
        <v>265239.99838009669</v>
      </c>
      <c r="AB19" s="222"/>
      <c r="AC19" s="222">
        <f t="shared" si="0"/>
        <v>274523.39832340006</v>
      </c>
      <c r="AD19" s="222"/>
      <c r="AE19" s="222">
        <f t="shared" si="0"/>
        <v>284131.71726471902</v>
      </c>
      <c r="AF19" s="222"/>
      <c r="AG19" s="222">
        <f t="shared" si="0"/>
        <v>294076.32736898417</v>
      </c>
    </row>
    <row r="20" spans="1:33" s="210" customFormat="1" ht="14">
      <c r="A20" s="210" t="s">
        <v>390</v>
      </c>
      <c r="C20" s="233"/>
      <c r="E20" s="222">
        <f>Application!W872</f>
        <v>224675</v>
      </c>
      <c r="F20" s="222"/>
      <c r="G20" s="222">
        <f t="shared" si="0"/>
        <v>232538.62499999997</v>
      </c>
      <c r="H20" s="222"/>
      <c r="I20" s="222">
        <f t="shared" si="0"/>
        <v>240677.47687499996</v>
      </c>
      <c r="J20" s="222"/>
      <c r="K20" s="222">
        <f t="shared" si="0"/>
        <v>249101.18856562494</v>
      </c>
      <c r="L20" s="222"/>
      <c r="M20" s="222">
        <f t="shared" si="0"/>
        <v>257819.73016542179</v>
      </c>
      <c r="N20" s="222"/>
      <c r="O20" s="222">
        <f t="shared" si="0"/>
        <v>266843.42072121153</v>
      </c>
      <c r="P20" s="222"/>
      <c r="Q20" s="222">
        <f t="shared" si="0"/>
        <v>276182.94044645393</v>
      </c>
      <c r="R20" s="222"/>
      <c r="S20" s="222">
        <f t="shared" si="0"/>
        <v>285849.34336207982</v>
      </c>
      <c r="T20" s="222"/>
      <c r="U20" s="222">
        <f t="shared" si="0"/>
        <v>295854.07037975261</v>
      </c>
      <c r="V20" s="222"/>
      <c r="W20" s="222">
        <f t="shared" si="0"/>
        <v>306208.9628430439</v>
      </c>
      <c r="X20" s="222"/>
      <c r="Y20" s="222">
        <f t="shared" si="0"/>
        <v>316926.27654255042</v>
      </c>
      <c r="Z20" s="222"/>
      <c r="AA20" s="222">
        <f t="shared" si="0"/>
        <v>328018.69622153963</v>
      </c>
      <c r="AB20" s="222"/>
      <c r="AC20" s="222">
        <f t="shared" si="0"/>
        <v>339499.35058929352</v>
      </c>
      <c r="AD20" s="222"/>
      <c r="AE20" s="222">
        <f t="shared" si="0"/>
        <v>351381.82785991876</v>
      </c>
      <c r="AF20" s="222"/>
      <c r="AG20" s="222">
        <f t="shared" si="0"/>
        <v>363680.1918350159</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1292930.7680000002</v>
      </c>
      <c r="G22" s="223">
        <f>SUM(G15:G21)</f>
        <v>1338183.34488</v>
      </c>
      <c r="I22" s="223">
        <f>SUM(I15:I21)</f>
        <v>1385019.7619507997</v>
      </c>
      <c r="K22" s="223">
        <f>SUM(K15:K21)</f>
        <v>1433495.4536190776</v>
      </c>
      <c r="M22" s="223">
        <f>SUM(M15:M21)</f>
        <v>1483667.7944957451</v>
      </c>
      <c r="O22" s="223">
        <f>SUM(O15:O21)</f>
        <v>1535596.167303096</v>
      </c>
      <c r="Q22" s="223">
        <f>SUM(Q15:Q21)</f>
        <v>1589342.0331587044</v>
      </c>
      <c r="S22" s="223">
        <f>SUM(S15:S21)</f>
        <v>1644969.004319259</v>
      </c>
      <c r="U22" s="223">
        <f>SUM(U15:U21)</f>
        <v>1702542.9194704331</v>
      </c>
      <c r="W22" s="223">
        <f>SUM(W15:W21)</f>
        <v>1762131.921651898</v>
      </c>
      <c r="Y22" s="223">
        <f>SUM(Y15:Y21)</f>
        <v>1823806.5389097144</v>
      </c>
      <c r="AA22" s="223">
        <f>SUM(AA15:AA21)</f>
        <v>1887639.7677715542</v>
      </c>
      <c r="AC22" s="223">
        <f>SUM(AC15:AC21)</f>
        <v>1953707.1596435583</v>
      </c>
      <c r="AE22" s="223">
        <f>SUM(AE15:AE21)</f>
        <v>2022086.9102310827</v>
      </c>
      <c r="AG22" s="223">
        <f>SUM(AG15:AG21)</f>
        <v>2092859.9520891705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26500</v>
      </c>
      <c r="F27" s="222"/>
      <c r="G27" s="222">
        <f>E27*$C$27</f>
        <v>27427.499999999996</v>
      </c>
      <c r="H27" s="222"/>
      <c r="I27" s="222">
        <f>G27*$C$27</f>
        <v>28387.462499999994</v>
      </c>
      <c r="J27" s="222"/>
      <c r="K27" s="222">
        <f>I27*$C$27</f>
        <v>29381.02368749999</v>
      </c>
      <c r="L27" s="222"/>
      <c r="M27" s="222">
        <f>K27*$C$27</f>
        <v>30409.359516562487</v>
      </c>
      <c r="N27" s="222"/>
      <c r="O27" s="222">
        <f>M27*$C$27</f>
        <v>31473.687099642171</v>
      </c>
      <c r="P27" s="222"/>
      <c r="Q27" s="222">
        <f>O27*$C$27</f>
        <v>32575.266148129645</v>
      </c>
      <c r="R27" s="222"/>
      <c r="S27" s="222">
        <f>Q27*$C$27</f>
        <v>33715.400463314181</v>
      </c>
      <c r="T27" s="222"/>
      <c r="U27" s="222">
        <f>S27*$C$27</f>
        <v>34895.439479530178</v>
      </c>
      <c r="V27" s="222"/>
      <c r="W27" s="222">
        <f>U27*$C$27</f>
        <v>36116.779861313735</v>
      </c>
      <c r="X27" s="222"/>
      <c r="Y27" s="222">
        <f>W27*$C$27</f>
        <v>37380.86715645971</v>
      </c>
      <c r="Z27" s="222"/>
      <c r="AA27" s="222">
        <f>Y27*$C$27</f>
        <v>38689.197506935794</v>
      </c>
      <c r="AB27" s="222"/>
      <c r="AC27" s="222">
        <f>AA27*$C$27</f>
        <v>40043.319419678541</v>
      </c>
      <c r="AD27" s="222"/>
      <c r="AE27" s="222">
        <f>AC27*$C$27</f>
        <v>41444.835599367289</v>
      </c>
      <c r="AF27" s="222"/>
      <c r="AG27" s="222">
        <f>AE27*$C$27</f>
        <v>42895.40484534514</v>
      </c>
    </row>
    <row r="28" spans="1:33" s="210" customFormat="1" ht="14">
      <c r="A28" s="210" t="s">
        <v>846</v>
      </c>
      <c r="C28" s="237"/>
      <c r="E28" s="222">
        <f>Application!AC889</f>
        <v>64500</v>
      </c>
      <c r="F28" s="222"/>
      <c r="G28" s="222">
        <f>$E$28</f>
        <v>64500</v>
      </c>
      <c r="H28" s="222"/>
      <c r="I28" s="222">
        <f>$E$28</f>
        <v>64500</v>
      </c>
      <c r="J28" s="222"/>
      <c r="K28" s="222">
        <f>$E$28</f>
        <v>64500</v>
      </c>
      <c r="L28" s="222"/>
      <c r="M28" s="222">
        <f>$E$28</f>
        <v>64500</v>
      </c>
      <c r="N28" s="222"/>
      <c r="O28" s="222">
        <f>$E$28</f>
        <v>64500</v>
      </c>
      <c r="P28" s="222"/>
      <c r="Q28" s="222">
        <f>$E$28</f>
        <v>64500</v>
      </c>
      <c r="R28" s="222"/>
      <c r="S28" s="222">
        <f>$E$28</f>
        <v>64500</v>
      </c>
      <c r="T28" s="222"/>
      <c r="U28" s="222">
        <f>$E$28</f>
        <v>64500</v>
      </c>
      <c r="V28" s="222"/>
      <c r="W28" s="222">
        <f>$E$28</f>
        <v>64500</v>
      </c>
      <c r="X28" s="222"/>
      <c r="Y28" s="222">
        <f>$E$28</f>
        <v>64500</v>
      </c>
      <c r="Z28" s="222"/>
      <c r="AA28" s="222">
        <f>$E$28</f>
        <v>64500</v>
      </c>
      <c r="AB28" s="222"/>
      <c r="AC28" s="222">
        <f>$E$28</f>
        <v>64500</v>
      </c>
      <c r="AD28" s="222"/>
      <c r="AE28" s="222">
        <f>$E$28</f>
        <v>64500</v>
      </c>
      <c r="AF28" s="222"/>
      <c r="AG28" s="222">
        <f>$E$28</f>
        <v>64500</v>
      </c>
    </row>
    <row r="29" spans="1:33" s="210" customFormat="1" ht="14">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Issuer Fees</v>
      </c>
      <c r="C32" s="316">
        <v>1.0349999999999999</v>
      </c>
      <c r="E32" s="222">
        <f>Application!AC894</f>
        <v>20900</v>
      </c>
      <c r="F32" s="222"/>
      <c r="G32" s="222">
        <f>E32*$C$32</f>
        <v>21631.5</v>
      </c>
      <c r="H32" s="222"/>
      <c r="I32" s="222">
        <f>G32*$C$32</f>
        <v>22388.602499999997</v>
      </c>
      <c r="J32" s="222"/>
      <c r="K32" s="222">
        <f>I32*$C$32</f>
        <v>23172.203587499997</v>
      </c>
      <c r="L32" s="222"/>
      <c r="M32" s="222">
        <f>K32*$C$32</f>
        <v>23983.230713062494</v>
      </c>
      <c r="N32" s="222"/>
      <c r="O32" s="222">
        <f>M32*$C$32</f>
        <v>24822.643788019679</v>
      </c>
      <c r="P32" s="222"/>
      <c r="Q32" s="222">
        <f>O32*$C$32</f>
        <v>25691.436320600365</v>
      </c>
      <c r="R32" s="222"/>
      <c r="S32" s="222">
        <f>Q32*$C$32</f>
        <v>26590.636591821378</v>
      </c>
      <c r="T32" s="222"/>
      <c r="U32" s="222">
        <f>S32*$C$32</f>
        <v>27521.308872535123</v>
      </c>
      <c r="V32" s="222"/>
      <c r="W32" s="222">
        <f>U32*$C$32</f>
        <v>28484.554683073849</v>
      </c>
      <c r="X32" s="222"/>
      <c r="Y32" s="222">
        <f>W32*$C$32</f>
        <v>29481.514096981431</v>
      </c>
      <c r="Z32" s="222"/>
      <c r="AA32" s="222">
        <f>Y32*$C$32</f>
        <v>30513.367090375777</v>
      </c>
      <c r="AB32" s="222"/>
      <c r="AC32" s="222">
        <f>AA32*$C$32</f>
        <v>31581.334938538927</v>
      </c>
      <c r="AD32" s="222"/>
      <c r="AE32" s="222">
        <f>AC32*$C$32</f>
        <v>32686.681661387785</v>
      </c>
      <c r="AF32" s="222"/>
      <c r="AG32" s="222">
        <f>AE32*$C$32</f>
        <v>33830.715519536352</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1404830.7680000002</v>
      </c>
      <c r="G35" s="223">
        <f>SUM(G22:G33)</f>
        <v>1451742.34488</v>
      </c>
      <c r="I35" s="223">
        <f>SUM(I22:I33)</f>
        <v>1500295.8269507997</v>
      </c>
      <c r="K35" s="223">
        <f>SUM(K22:K33)</f>
        <v>1550548.6808940775</v>
      </c>
      <c r="M35" s="223">
        <f>SUM(M22:M33)</f>
        <v>1602560.38472537</v>
      </c>
      <c r="O35" s="223">
        <f>SUM(O22:O33)</f>
        <v>1656392.4981907578</v>
      </c>
      <c r="Q35" s="223">
        <f>SUM(Q22:Q33)</f>
        <v>1712108.7356274344</v>
      </c>
      <c r="S35" s="223">
        <f>SUM(S22:S33)</f>
        <v>1769775.0413743947</v>
      </c>
      <c r="U35" s="223">
        <f>SUM(U22:U33)</f>
        <v>1829459.6678224984</v>
      </c>
      <c r="W35" s="223">
        <f>SUM(W22:W33)</f>
        <v>1891233.2561962856</v>
      </c>
      <c r="Y35" s="223">
        <f>SUM(Y22:Y33)</f>
        <v>1955168.9201631555</v>
      </c>
      <c r="AA35" s="223">
        <f>SUM(AA22:AA33)</f>
        <v>2021342.3323688658</v>
      </c>
      <c r="AC35" s="223">
        <f>SUM(AC22:AC33)</f>
        <v>2089831.8140017758</v>
      </c>
      <c r="AE35" s="223">
        <f>SUM(AE22:AE33)</f>
        <v>2160718.4274918381</v>
      </c>
      <c r="AG35" s="223">
        <f>SUM(AG22:AG33)</f>
        <v>2234086.072454052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3878423.6320000002</v>
      </c>
      <c r="G37" s="223">
        <f>G11-G35</f>
        <v>3963593.41512</v>
      </c>
      <c r="I37" s="223">
        <f>I11-I35</f>
        <v>4050423.3270491986</v>
      </c>
      <c r="K37" s="223">
        <f>K11-K35</f>
        <v>4138938.451955921</v>
      </c>
      <c r="M37" s="223">
        <f>M11-M35</f>
        <v>4229163.9264458772</v>
      </c>
      <c r="O37" s="223">
        <f>O11-O35</f>
        <v>4321124.9207597701</v>
      </c>
      <c r="Q37" s="223">
        <f>Q11-Q35</f>
        <v>4414846.6187968571</v>
      </c>
      <c r="S37" s="223">
        <f>S11-S35</f>
        <v>4510354.1969105043</v>
      </c>
      <c r="U37" s="223">
        <f>U11-U35</f>
        <v>4607672.8014195226</v>
      </c>
      <c r="W37" s="223">
        <f>W11-W35</f>
        <v>4706827.5247767847</v>
      </c>
      <c r="Y37" s="223">
        <f>Y11-Y35</f>
        <v>4807843.3803342404</v>
      </c>
      <c r="AA37" s="223">
        <f>AA11-AA35</f>
        <v>4910745.2756409645</v>
      </c>
      <c r="AC37" s="223">
        <f>AC11-AC35</f>
        <v>5015557.9842082988</v>
      </c>
      <c r="AE37" s="223">
        <f>AE11-AE35</f>
        <v>5122306.115673488</v>
      </c>
      <c r="AG37" s="223">
        <f>AG11-AG35</f>
        <v>5231014.0842904067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2587103.7311200579</v>
      </c>
      <c r="F40" s="222"/>
      <c r="G40" s="222">
        <f>$E$40</f>
        <v>2587103.7311200579</v>
      </c>
      <c r="H40" s="222"/>
      <c r="I40" s="222">
        <f>$E$40</f>
        <v>2587103.7311200579</v>
      </c>
      <c r="J40" s="222"/>
      <c r="K40" s="222">
        <f>$E$40</f>
        <v>2587103.7311200579</v>
      </c>
      <c r="L40" s="222"/>
      <c r="M40" s="222">
        <f>$E$40</f>
        <v>2587103.7311200579</v>
      </c>
      <c r="N40" s="222"/>
      <c r="O40" s="222">
        <f>$E$40</f>
        <v>2587103.7311200579</v>
      </c>
      <c r="P40" s="222"/>
      <c r="Q40" s="222">
        <f>$E$40</f>
        <v>2587103.7311200579</v>
      </c>
      <c r="R40" s="222"/>
      <c r="S40" s="222">
        <f>$E$40</f>
        <v>2587103.7311200579</v>
      </c>
      <c r="T40" s="222"/>
      <c r="U40" s="222">
        <f>$E$40</f>
        <v>2587103.7311200579</v>
      </c>
      <c r="V40" s="222"/>
      <c r="W40" s="222">
        <f>$E$40</f>
        <v>2587103.7311200579</v>
      </c>
      <c r="X40" s="222"/>
      <c r="Y40" s="222">
        <f>$E$40</f>
        <v>2587103.7311200579</v>
      </c>
      <c r="Z40" s="222"/>
      <c r="AA40" s="222">
        <f>$E$40</f>
        <v>2587103.7311200579</v>
      </c>
      <c r="AB40" s="222"/>
      <c r="AC40" s="222">
        <f>$E$40</f>
        <v>2587103.7311200579</v>
      </c>
      <c r="AD40" s="222"/>
      <c r="AE40" s="222">
        <f>$E$40</f>
        <v>2587103.7311200579</v>
      </c>
      <c r="AF40" s="222"/>
      <c r="AG40" s="222">
        <f>$E$40</f>
        <v>2587103.7311200579</v>
      </c>
    </row>
    <row r="41" spans="1:33" s="210" customFormat="1" ht="14">
      <c r="A41" s="225" t="str">
        <f>Application!C628</f>
        <v>Citibank, N.A.</v>
      </c>
      <c r="B41" s="226"/>
      <c r="C41" s="220"/>
      <c r="E41" s="222">
        <f>Application!AF628</f>
        <v>785196.52994999837</v>
      </c>
      <c r="F41" s="222"/>
      <c r="G41" s="222">
        <f>$E$41</f>
        <v>785196.52994999837</v>
      </c>
      <c r="H41" s="222"/>
      <c r="I41" s="222">
        <f>$E$41</f>
        <v>785196.52994999837</v>
      </c>
      <c r="J41" s="222"/>
      <c r="K41" s="222">
        <f>$E$41</f>
        <v>785196.52994999837</v>
      </c>
      <c r="L41" s="222"/>
      <c r="M41" s="222">
        <f>$E$41</f>
        <v>785196.52994999837</v>
      </c>
      <c r="N41" s="222"/>
      <c r="O41" s="222">
        <f>$E$41</f>
        <v>785196.52994999837</v>
      </c>
      <c r="P41" s="222"/>
      <c r="Q41" s="222">
        <f>$E$41</f>
        <v>785196.52994999837</v>
      </c>
      <c r="R41" s="222"/>
      <c r="S41" s="222">
        <f>$E$41</f>
        <v>785196.52994999837</v>
      </c>
      <c r="T41" s="222"/>
      <c r="U41" s="222">
        <f>$E$41</f>
        <v>785196.52994999837</v>
      </c>
      <c r="V41" s="222"/>
      <c r="W41" s="222">
        <f>$E$41</f>
        <v>785196.52994999837</v>
      </c>
      <c r="X41" s="222"/>
      <c r="Y41" s="222">
        <f>$E$41</f>
        <v>785196.52994999837</v>
      </c>
      <c r="Z41" s="222"/>
      <c r="AA41" s="222">
        <f>$E$41</f>
        <v>785196.52994999837</v>
      </c>
      <c r="AB41" s="222"/>
      <c r="AC41" s="222">
        <f>$E$41</f>
        <v>785196.52994999837</v>
      </c>
      <c r="AD41" s="222"/>
      <c r="AE41" s="222">
        <f>$E$41</f>
        <v>785196.52994999837</v>
      </c>
      <c r="AF41" s="222"/>
      <c r="AG41" s="222">
        <f>$E$41</f>
        <v>785196.52994999837</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3372300.2610700564</v>
      </c>
      <c r="G43" s="223">
        <f>SUM(G40:G42)</f>
        <v>3372300.2610700564</v>
      </c>
      <c r="I43" s="223">
        <f>SUM(I40:I42)</f>
        <v>3372300.2610700564</v>
      </c>
      <c r="K43" s="223">
        <f>SUM(K40:K42)</f>
        <v>3372300.2610700564</v>
      </c>
      <c r="M43" s="223">
        <f>SUM(M40:M42)</f>
        <v>3372300.2610700564</v>
      </c>
      <c r="O43" s="223">
        <f>SUM(O40:O42)</f>
        <v>3372300.2610700564</v>
      </c>
      <c r="Q43" s="223">
        <f>SUM(Q40:Q42)</f>
        <v>3372300.2610700564</v>
      </c>
      <c r="S43" s="223">
        <f>SUM(S40:S42)</f>
        <v>3372300.2610700564</v>
      </c>
      <c r="U43" s="223">
        <f>SUM(U40:U42)</f>
        <v>3372300.2610700564</v>
      </c>
      <c r="W43" s="223">
        <f>SUM(W40:W42)</f>
        <v>3372300.2610700564</v>
      </c>
      <c r="Y43" s="223">
        <f>SUM(Y40:Y42)</f>
        <v>3372300.2610700564</v>
      </c>
      <c r="AA43" s="223">
        <f>SUM(AA40:AA42)</f>
        <v>3372300.2610700564</v>
      </c>
      <c r="AC43" s="223">
        <f>SUM(AC40:AC42)</f>
        <v>3372300.2610700564</v>
      </c>
      <c r="AE43" s="223">
        <f>SUM(AE40:AE42)</f>
        <v>3372300.2610700564</v>
      </c>
      <c r="AG43" s="223">
        <f>SUM(AG40:AG42)</f>
        <v>3372300.2610700564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506123.37092994386</v>
      </c>
      <c r="G45" s="223">
        <f>G37-G43</f>
        <v>591293.15404994367</v>
      </c>
      <c r="I45" s="223">
        <f>I37-I43</f>
        <v>678123.06597914221</v>
      </c>
      <c r="K45" s="223">
        <f>K37-K43</f>
        <v>766638.19088586466</v>
      </c>
      <c r="M45" s="223">
        <f>M37-M43</f>
        <v>856863.66537582083</v>
      </c>
      <c r="O45" s="223">
        <f>O37-O43</f>
        <v>948824.65968971374</v>
      </c>
      <c r="Q45" s="223">
        <f>Q37-Q43</f>
        <v>1042546.3577268007</v>
      </c>
      <c r="S45" s="223">
        <f>S37-S43</f>
        <v>1138053.9358404479</v>
      </c>
      <c r="U45" s="223">
        <f>U37-U43</f>
        <v>1235372.5403494663</v>
      </c>
      <c r="W45" s="223">
        <f>W37-W43</f>
        <v>1334527.2637067284</v>
      </c>
      <c r="Y45" s="223">
        <f>Y37-Y43</f>
        <v>1435543.119264184</v>
      </c>
      <c r="AA45" s="223">
        <f>AA37-AA43</f>
        <v>1538445.0145709082</v>
      </c>
      <c r="AC45" s="223">
        <f>AC37-AC43</f>
        <v>1643257.7231382425</v>
      </c>
      <c r="AE45" s="223">
        <f>AE37-AE43</f>
        <v>1750005.8546034317</v>
      </c>
      <c r="AG45" s="223">
        <f>AG37-AG43</f>
        <v>1858713.8232203503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9.1007770207591487E-2</v>
      </c>
      <c r="G47" s="227">
        <f>G45/(G4+G6+G8)</f>
        <v>0.10372920927574147</v>
      </c>
      <c r="I47" s="227">
        <f>I45/(I4+I6+I8)</f>
        <v>0.11606008065026041</v>
      </c>
      <c r="K47" s="227">
        <f>K45/(K4+K6+K8)</f>
        <v>0.12800912706814499</v>
      </c>
      <c r="M47" s="227">
        <f>M45/(M4+M6+M8)</f>
        <v>0.13958487038690987</v>
      </c>
      <c r="O47" s="227">
        <f>O45/(O4+O6+O8)</f>
        <v>0.15079561689733792</v>
      </c>
      <c r="Q47" s="227">
        <f>Q45/(Q4+Q6+Q8)</f>
        <v>0.16164946250592088</v>
      </c>
      <c r="S47" s="227">
        <f>S45/(S4+S6+S8)</f>
        <v>0.17215429779016581</v>
      </c>
      <c r="U47" s="227">
        <f>U45/(U4+U6+U8)</f>
        <v>0.18231781292985977</v>
      </c>
      <c r="W47" s="227">
        <f>W45/(W4+W6+W8)</f>
        <v>0.19214750251731072</v>
      </c>
      <c r="Y47" s="227">
        <f>Y45/(Y4+Y6+Y8)</f>
        <v>0.20165067024950917</v>
      </c>
      <c r="AA47" s="227">
        <f>AA45/(AA4+AA6+AA8)</f>
        <v>0.2108344335050836</v>
      </c>
      <c r="AC47" s="227">
        <f>AC45/(AC4+AC6+AC8)</f>
        <v>0.21970572780885111</v>
      </c>
      <c r="AE47" s="227">
        <f>AE45/(AE4+AE6+AE8)</f>
        <v>0.22827131118669922</v>
      </c>
      <c r="AG47" s="227">
        <f>AG45/(AG4+AG6+AG8)</f>
        <v>0.23653776841346374</v>
      </c>
    </row>
    <row r="48" spans="1:33" s="227" customFormat="1" ht="14">
      <c r="A48" s="227" t="s">
        <v>852</v>
      </c>
      <c r="C48" s="220"/>
      <c r="E48" s="227">
        <f>E45/E43</f>
        <v>0.15008253469379595</v>
      </c>
      <c r="G48" s="227">
        <f>G45/G43</f>
        <v>0.17533822859009651</v>
      </c>
      <c r="I48" s="227">
        <f>I45/I43</f>
        <v>0.20108620629290247</v>
      </c>
      <c r="K48" s="227">
        <f>K45/K43</f>
        <v>0.22733390609844586</v>
      </c>
      <c r="M48" s="227">
        <f>M45/M43</f>
        <v>0.25408878185239991</v>
      </c>
      <c r="O48" s="227">
        <f>O45/O43</f>
        <v>0.28135829737434009</v>
      </c>
      <c r="Q48" s="227">
        <f>Q45/Q43</f>
        <v>0.30914992053406087</v>
      </c>
      <c r="S48" s="227">
        <f>S45/S43</f>
        <v>0.3374711169637471</v>
      </c>
      <c r="U48" s="227">
        <f>U45/U43</f>
        <v>0.36632934338933187</v>
      </c>
      <c r="W48" s="227">
        <f>W45/W43</f>
        <v>0.3957320405636931</v>
      </c>
      <c r="Y48" s="227">
        <f>Y45/Y43</f>
        <v>0.42568662578363509</v>
      </c>
      <c r="AA48" s="227">
        <f>AA45/AA43</f>
        <v>0.45620048497186544</v>
      </c>
      <c r="AC48" s="227">
        <f>AC45/AC43</f>
        <v>0.48728096430441353</v>
      </c>
      <c r="AE48" s="227">
        <f>AE45/AE43</f>
        <v>0.51893536136314911</v>
      </c>
      <c r="AG48" s="227">
        <f>AG45/AG43</f>
        <v>0.55117091579222732</v>
      </c>
    </row>
    <row r="49" spans="1:34" s="228" customFormat="1" ht="14">
      <c r="A49" s="228" t="s">
        <v>850</v>
      </c>
      <c r="C49" s="229"/>
      <c r="E49" s="228">
        <f>E37/E43</f>
        <v>1.150082534693796</v>
      </c>
      <c r="G49" s="228">
        <f>G37/G43</f>
        <v>1.1753382285900964</v>
      </c>
      <c r="I49" s="228">
        <f>I37/I43</f>
        <v>1.2010862062929024</v>
      </c>
      <c r="K49" s="228">
        <f>K37/K43</f>
        <v>1.2273339060984458</v>
      </c>
      <c r="M49" s="228">
        <f>M37/M43</f>
        <v>1.2540887818523998</v>
      </c>
      <c r="O49" s="228">
        <f>O37/O43</f>
        <v>1.28135829737434</v>
      </c>
      <c r="Q49" s="228">
        <f>Q37/Q43</f>
        <v>1.3091499205340609</v>
      </c>
      <c r="S49" s="228">
        <f>S37/S43</f>
        <v>1.3374711169637472</v>
      </c>
      <c r="U49" s="228">
        <f>U37/U43</f>
        <v>1.366329343389332</v>
      </c>
      <c r="W49" s="228">
        <f>W37/W43</f>
        <v>1.395732040563693</v>
      </c>
      <c r="Y49" s="228">
        <f>Y37/Y43</f>
        <v>1.4256866257836351</v>
      </c>
      <c r="AA49" s="228">
        <f>AA37/AA43</f>
        <v>1.4562004849718655</v>
      </c>
      <c r="AC49" s="228">
        <f>AC37/AC43</f>
        <v>1.4872809643044136</v>
      </c>
      <c r="AE49" s="228">
        <f>AE37/AE43</f>
        <v>1.5189353613631491</v>
      </c>
      <c r="AG49" s="228">
        <f>AG37/AG43</f>
        <v>1.5511709157922273</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1184</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10000</v>
      </c>
      <c r="F54" s="960"/>
      <c r="G54" s="960">
        <f t="shared" ref="G54:AG57" si="1">E54*$C$53</f>
        <v>10300</v>
      </c>
      <c r="H54" s="960"/>
      <c r="I54" s="960">
        <f t="shared" si="1"/>
        <v>10609</v>
      </c>
      <c r="J54" s="960"/>
      <c r="K54" s="960">
        <f t="shared" si="1"/>
        <v>10927.27</v>
      </c>
      <c r="L54" s="960"/>
      <c r="M54" s="960">
        <f t="shared" si="1"/>
        <v>11255.088100000001</v>
      </c>
      <c r="N54" s="960"/>
      <c r="O54" s="960">
        <f t="shared" si="1"/>
        <v>11592.740743</v>
      </c>
      <c r="P54" s="960"/>
      <c r="Q54" s="960">
        <f t="shared" si="1"/>
        <v>11940.52296529</v>
      </c>
      <c r="R54" s="960"/>
      <c r="S54" s="960">
        <f t="shared" si="1"/>
        <v>12298.7386542487</v>
      </c>
      <c r="T54" s="960"/>
      <c r="U54" s="960">
        <f t="shared" si="1"/>
        <v>12667.700813876161</v>
      </c>
      <c r="V54" s="960"/>
      <c r="W54" s="960">
        <f t="shared" si="1"/>
        <v>13047.731838292446</v>
      </c>
      <c r="X54" s="960"/>
      <c r="Y54" s="960">
        <f t="shared" si="1"/>
        <v>13439.163793441219</v>
      </c>
      <c r="Z54" s="960"/>
      <c r="AA54" s="960">
        <f t="shared" si="1"/>
        <v>13842.338707244457</v>
      </c>
      <c r="AB54" s="960"/>
      <c r="AC54" s="960">
        <f t="shared" si="1"/>
        <v>14257.60886846179</v>
      </c>
      <c r="AD54" s="960"/>
      <c r="AE54" s="960">
        <f t="shared" si="1"/>
        <v>14685.337134515645</v>
      </c>
      <c r="AF54" s="960"/>
      <c r="AG54" s="960">
        <f t="shared" si="1"/>
        <v>15125.897248551115</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10000</v>
      </c>
      <c r="F58" s="960"/>
      <c r="G58" s="960">
        <f>SUM(G53:G57)</f>
        <v>10300</v>
      </c>
      <c r="H58" s="960"/>
      <c r="I58" s="960">
        <f>SUM(I53:I57)</f>
        <v>10609</v>
      </c>
      <c r="J58" s="960"/>
      <c r="K58" s="960">
        <f>SUM(K53:K57)</f>
        <v>10927.27</v>
      </c>
      <c r="L58" s="960"/>
      <c r="M58" s="960">
        <f>SUM(M53:M57)</f>
        <v>11255.088100000001</v>
      </c>
      <c r="N58" s="960"/>
      <c r="O58" s="960">
        <f>SUM(O53:O57)</f>
        <v>11592.740743</v>
      </c>
      <c r="P58" s="960"/>
      <c r="Q58" s="960">
        <f>SUM(Q53:Q57)</f>
        <v>11940.52296529</v>
      </c>
      <c r="R58" s="960"/>
      <c r="S58" s="960">
        <f>SUM(S53:S57)</f>
        <v>12298.7386542487</v>
      </c>
      <c r="T58" s="960"/>
      <c r="U58" s="960">
        <f>SUM(U53:U57)</f>
        <v>12667.700813876161</v>
      </c>
      <c r="V58" s="960"/>
      <c r="W58" s="960">
        <f>SUM(W53:W57)</f>
        <v>13047.731838292446</v>
      </c>
      <c r="X58" s="960"/>
      <c r="Y58" s="960">
        <f>SUM(Y53:Y57)</f>
        <v>13439.163793441219</v>
      </c>
      <c r="Z58" s="960"/>
      <c r="AA58" s="960">
        <f>SUM(AA53:AA57)</f>
        <v>13842.338707244457</v>
      </c>
      <c r="AB58" s="960"/>
      <c r="AC58" s="960">
        <f>SUM(AC53:AC57)</f>
        <v>14257.60886846179</v>
      </c>
      <c r="AD58" s="960"/>
      <c r="AE58" s="960">
        <f>SUM(AE53:AE57)</f>
        <v>14685.337134515645</v>
      </c>
      <c r="AF58" s="960"/>
      <c r="AG58" s="960">
        <f>SUM(AG53:AG57)</f>
        <v>15125.897248551115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496123.37092994386</v>
      </c>
      <c r="G60" s="962">
        <f>G45-G58</f>
        <v>580993.15404994367</v>
      </c>
      <c r="I60" s="962">
        <f>I45-I58</f>
        <v>667514.06597914221</v>
      </c>
      <c r="K60" s="962">
        <f>K45-K58</f>
        <v>755710.92088586465</v>
      </c>
      <c r="M60" s="962">
        <f>M45-M58</f>
        <v>845608.57727582077</v>
      </c>
      <c r="O60" s="962">
        <f>O45-O58</f>
        <v>937231.91894671379</v>
      </c>
      <c r="Q60" s="962">
        <f>Q45-Q58</f>
        <v>1030605.8347615107</v>
      </c>
      <c r="S60" s="962">
        <f>S45-S58</f>
        <v>1125755.1971861992</v>
      </c>
      <c r="U60" s="962">
        <f>U45-U58</f>
        <v>1222704.83953559</v>
      </c>
      <c r="W60" s="962">
        <f>W45-W58</f>
        <v>1321479.5318684359</v>
      </c>
      <c r="Y60" s="962">
        <f>Y45-Y58</f>
        <v>1422103.9554707429</v>
      </c>
      <c r="AA60" s="962">
        <f>AA45-AA58</f>
        <v>1524602.6758636637</v>
      </c>
      <c r="AC60" s="962">
        <f>AC45-AC58</f>
        <v>1629000.1142697807</v>
      </c>
      <c r="AE60" s="962">
        <f>AE45-AE58</f>
        <v>1735320.517468916</v>
      </c>
      <c r="AG60" s="962">
        <f>AG45-AG58</f>
        <v>1843587.9259717993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MIN(E60,'Sources and Uses Budget'!$I$105-SUM('15 Year Pro Forma'!$D$62:D62))*$C$62</f>
        <v>496123.37092994386</v>
      </c>
      <c r="G62" s="962">
        <f>MIN(G60,'Sources and Uses Budget'!$I$105-SUM('15 Year Pro Forma'!$D$62:F62))*$C$62</f>
        <v>580993.15404994367</v>
      </c>
      <c r="I62" s="962">
        <f>MIN(I60,'Sources and Uses Budget'!$I$105-SUM('15 Year Pro Forma'!$D$62:H62))*$C$62</f>
        <v>667514.06597914221</v>
      </c>
      <c r="K62" s="962">
        <f>MIN(K60,'Sources and Uses Budget'!$I$105-SUM('15 Year Pro Forma'!$D$62:J62))*$C$62</f>
        <v>755710.92088586465</v>
      </c>
      <c r="M62" s="962">
        <f>MIN(M60,'Sources and Uses Budget'!$I$105-SUM('15 Year Pro Forma'!$D$62:L62))*$C$62</f>
        <v>845608.57727582077</v>
      </c>
      <c r="O62" s="962">
        <f>MIN(O60,'Sources and Uses Budget'!$I$105-SUM('15 Year Pro Forma'!$D$62:N62))*$C$62</f>
        <v>937231.91894671379</v>
      </c>
      <c r="Q62" s="962">
        <f>MIN(Q60,'Sources and Uses Budget'!$I$105-SUM('15 Year Pro Forma'!$D$62:P62))*$C$62</f>
        <v>1030605.8347615107</v>
      </c>
      <c r="S62" s="962">
        <f>MIN(S60,'Sources and Uses Budget'!$I$105-SUM('15 Year Pro Forma'!$D$62:R62))*$C$62</f>
        <v>1125755.1971861992</v>
      </c>
      <c r="U62" s="962">
        <f>MIN(U60,'Sources and Uses Budget'!$I$105-SUM('15 Year Pro Forma'!$D$62:T62))*$C$62</f>
        <v>1222704.83953559</v>
      </c>
      <c r="W62" s="962">
        <f>MIN(W60,'Sources and Uses Budget'!$I$105-SUM('15 Year Pro Forma'!$D$62:V62))*$C$62</f>
        <v>821077.12044927105</v>
      </c>
      <c r="Y62" s="962">
        <f>MIN(Y60,'Sources and Uses Budget'!$I$105-SUM('15 Year Pro Forma'!$D$62:X62))*$C$62</f>
        <v>0</v>
      </c>
      <c r="AA62" s="962">
        <f ca="1">MIN(AA60-AA66,'Sources and Uses Budget'!$I$105-SUM('15 Year Pro Forma'!$D$62:Z62))</f>
        <v>0</v>
      </c>
      <c r="AC62" s="962">
        <f ca="1">MIN(AC60-AC66,'Sources and Uses Budget'!$I$105-SUM('15 Year Pro Forma'!$D$62:AB62))</f>
        <v>0</v>
      </c>
      <c r="AE62" s="962">
        <f ca="1">MIN(AE60-AE66,'Sources and Uses Budget'!$I$105-SUM('15 Year Pro Forma'!$D$62:AD62))</f>
        <v>0</v>
      </c>
      <c r="AG62" s="962">
        <f ca="1">MIN(AG60-AG66,'Sources and Uses Budget'!$I$105-SUM('15 Year Pro Forma'!$D$62:AF62))</f>
        <v>0</v>
      </c>
    </row>
    <row r="63" spans="1:34" s="962" customFormat="1">
      <c r="A63" s="2695" t="s">
        <v>1184</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2685</v>
      </c>
      <c r="B66" s="964"/>
      <c r="C66"/>
      <c r="E66" s="964">
        <f>E60-E62</f>
        <v>0</v>
      </c>
      <c r="G66" s="215">
        <f>G60-G62</f>
        <v>0</v>
      </c>
      <c r="I66" s="215">
        <f>I60-I62</f>
        <v>0</v>
      </c>
      <c r="K66" s="215">
        <f>K60-K62</f>
        <v>0</v>
      </c>
      <c r="M66" s="215">
        <f>M60-M62</f>
        <v>0</v>
      </c>
      <c r="O66" s="215">
        <f>O60-O62</f>
        <v>0</v>
      </c>
      <c r="Q66" s="215">
        <f>Q60-Q62</f>
        <v>0</v>
      </c>
      <c r="S66" s="215">
        <f>S60-S62</f>
        <v>0</v>
      </c>
      <c r="U66" s="215">
        <f>U60-U62</f>
        <v>0</v>
      </c>
      <c r="W66" s="215">
        <f>W60-W62</f>
        <v>500402.41141916486</v>
      </c>
      <c r="Y66" s="215">
        <f>Y60-Y62</f>
        <v>1422103.9554707429</v>
      </c>
      <c r="AA66" s="215">
        <f ca="1">AA60-AA62</f>
        <v>1524602.6758636637</v>
      </c>
      <c r="AC66" s="215">
        <f ca="1">AC60-AC62</f>
        <v>1629000.1142697807</v>
      </c>
      <c r="AE66" s="215">
        <f ca="1">AE60-AE62</f>
        <v>1735320.517468916</v>
      </c>
      <c r="AG66" s="215">
        <f ca="1">AG60-AG62</f>
        <v>1843587.9259717993</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500402.41141916486</v>
      </c>
      <c r="Y70" s="960">
        <f>SUM(Y66:Y69)</f>
        <v>1422103.9554707429</v>
      </c>
      <c r="AA70" s="960">
        <f ca="1">SUM(AA66:AA69)</f>
        <v>1524602.6758636637</v>
      </c>
      <c r="AC70" s="960">
        <f ca="1">SUM(AC66:AC69)</f>
        <v>1629000.1142697807</v>
      </c>
      <c r="AE70" s="960">
        <f ca="1">SUM(AE66:AE69)</f>
        <v>1735320.517468916</v>
      </c>
      <c r="AG70" s="960">
        <f ca="1">SUM(AG66:AG69)</f>
        <v>1843587.9259717993</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 ca="1">AA60-AA62-AA70</f>
        <v>0</v>
      </c>
      <c r="AC72" s="962">
        <f ca="1">AC60-AC62-AC70</f>
        <v>0</v>
      </c>
      <c r="AE72" s="962">
        <f ca="1">AE60-AE62-AE70</f>
        <v>0</v>
      </c>
      <c r="AG72" s="962">
        <f ca="1">AG60-AG62-AG70</f>
        <v>0</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693" t="s">
        <v>1721</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topLeftCell="A8" workbookViewId="0"/>
  </sheetViews>
  <sheetFormatPr defaultColWidth="0" defaultRowHeight="12.5" zeroHeight="1"/>
  <cols>
    <col min="1" max="1" width="161.7265625" customWidth="1"/>
    <col min="2" max="16384" width="8.7265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D41" sqref="D41"/>
    </sheetView>
  </sheetViews>
  <sheetFormatPr defaultColWidth="9.26953125" defaultRowHeight="12.5" zeroHeight="1"/>
  <cols>
    <col min="1" max="1" width="35.7265625" style="204" customWidth="1"/>
    <col min="2" max="4" width="14.7265625" style="204" customWidth="1"/>
    <col min="5" max="5" width="50.7265625" style="204" customWidth="1"/>
    <col min="6" max="253" width="9.26953125" style="204" customWidth="1"/>
    <col min="254" max="16384" width="9.2695312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6600000</v>
      </c>
      <c r="C5" s="266">
        <f>'Sources and Uses Budget'!$C4</f>
        <v>6600000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6600000</v>
      </c>
      <c r="C9" s="270">
        <f>SUM(C5:C8)</f>
        <v>6600000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6600000</v>
      </c>
      <c r="C13" s="270">
        <f>SUM(C9+C12)</f>
        <v>6600000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1875000</v>
      </c>
      <c r="C30" s="266">
        <f>'Sources and Uses Budget'!$C29</f>
        <v>1875000</v>
      </c>
      <c r="D30" s="270">
        <f t="shared" si="0"/>
        <v>0</v>
      </c>
      <c r="E30" s="268"/>
      <c r="F30" s="267"/>
    </row>
    <row r="31" spans="1:6" s="352" customFormat="1">
      <c r="A31" s="145" t="s">
        <v>599</v>
      </c>
      <c r="B31" s="266">
        <f>'Sources and Uses Budget'!$C30</f>
        <v>62545454</v>
      </c>
      <c r="C31" s="266">
        <f>'Sources and Uses Budget'!$C30</f>
        <v>62545454</v>
      </c>
      <c r="D31" s="270">
        <f t="shared" si="0"/>
        <v>0</v>
      </c>
      <c r="E31" s="268"/>
      <c r="F31" s="267"/>
    </row>
    <row r="32" spans="1:6" s="352" customFormat="1">
      <c r="A32" s="145" t="s">
        <v>600</v>
      </c>
      <c r="B32" s="266">
        <f>'Sources and Uses Budget'!$C31</f>
        <v>3127273</v>
      </c>
      <c r="C32" s="266">
        <f>'Sources and Uses Budget'!$C31</f>
        <v>3127273</v>
      </c>
      <c r="D32" s="270">
        <f t="shared" si="0"/>
        <v>0</v>
      </c>
      <c r="E32" s="268"/>
      <c r="F32" s="267"/>
    </row>
    <row r="33" spans="1:6" s="352" customFormat="1">
      <c r="A33" s="145" t="s">
        <v>137</v>
      </c>
      <c r="B33" s="266">
        <f>'Sources and Uses Budget'!$C32</f>
        <v>1250909</v>
      </c>
      <c r="C33" s="266">
        <f>'Sources and Uses Budget'!$C32</f>
        <v>1250909</v>
      </c>
      <c r="D33" s="270">
        <f t="shared" si="0"/>
        <v>0</v>
      </c>
      <c r="E33" s="268"/>
      <c r="F33" s="267"/>
    </row>
    <row r="34" spans="1:6" s="352" customFormat="1">
      <c r="A34" s="145" t="s">
        <v>138</v>
      </c>
      <c r="B34" s="266">
        <f>'Sources and Uses Budget'!$C33</f>
        <v>1876364</v>
      </c>
      <c r="C34" s="266">
        <f>'Sources and Uses Budget'!$C33</f>
        <v>1876364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1032000</v>
      </c>
      <c r="C36" s="266">
        <f>'Sources and Uses Budget'!$C35</f>
        <v>1032000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71707000</v>
      </c>
      <c r="C39" s="270">
        <f>SUM(C30:C38)</f>
        <v>71707000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322500</v>
      </c>
      <c r="C41" s="266">
        <f>'Sources and Uses Budget'!$C40</f>
        <v>322500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ht="13">
      <c r="A43" s="271" t="s">
        <v>147</v>
      </c>
      <c r="B43" s="270">
        <f>SUM(B41:B42)</f>
        <v>572500</v>
      </c>
      <c r="C43" s="270">
        <f>SUM(C41:C42)</f>
        <v>572500</v>
      </c>
      <c r="D43" s="270">
        <f t="shared" si="0"/>
        <v>0</v>
      </c>
      <c r="E43" s="268"/>
      <c r="F43" s="267"/>
    </row>
    <row r="44" spans="1:6" s="352" customFormat="1" ht="13">
      <c r="A44" s="271" t="s">
        <v>148</v>
      </c>
      <c r="B44" s="266">
        <f>'Sources and Uses Budget'!$C43</f>
        <v>1223800</v>
      </c>
      <c r="C44" s="266">
        <f>'Sources and Uses Budget'!$C43</f>
        <v>1223800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6806127</v>
      </c>
      <c r="C46" s="266">
        <f>'Sources and Uses Budget'!$C45</f>
        <v>6806127</v>
      </c>
      <c r="D46" s="270">
        <f t="shared" si="0"/>
        <v>0</v>
      </c>
      <c r="E46" s="268"/>
      <c r="F46" s="267"/>
    </row>
    <row r="47" spans="1:6" s="352" customFormat="1">
      <c r="A47" s="145" t="s">
        <v>151</v>
      </c>
      <c r="B47" s="266">
        <f>'Sources and Uses Budget'!$C46</f>
        <v>822824</v>
      </c>
      <c r="C47" s="266">
        <f>'Sources and Uses Budget'!$C46</f>
        <v>822824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447200</v>
      </c>
      <c r="C49" s="266">
        <f>'Sources and Uses Budget'!$C48</f>
        <v>447200</v>
      </c>
      <c r="D49" s="270">
        <f t="shared" si="0"/>
        <v>0</v>
      </c>
      <c r="E49" s="268"/>
      <c r="F49" s="267"/>
    </row>
    <row r="50" spans="1:6" s="352" customFormat="1">
      <c r="A50" s="145" t="s">
        <v>57</v>
      </c>
      <c r="B50" s="266">
        <f>'Sources and Uses Budget'!$C49</f>
        <v>20900</v>
      </c>
      <c r="C50" s="266">
        <f>'Sources and Uses Budget'!$C49</f>
        <v>20900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8097051</v>
      </c>
      <c r="C55" s="273">
        <f>SUM(C46:C54)</f>
        <v>8097051</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109500</v>
      </c>
      <c r="C59" s="266">
        <f>'Sources and Uses Budget'!$C58</f>
        <v>109500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75000</v>
      </c>
      <c r="C61" s="266">
        <f>'Sources and Uses Budget'!$C60</f>
        <v>75000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4" customHeight="1">
      <c r="A63" s="271" t="s">
        <v>301</v>
      </c>
      <c r="B63" s="270">
        <f>SUM(B57:B62)</f>
        <v>184500</v>
      </c>
      <c r="C63" s="270">
        <f>SUM(C57:C62)</f>
        <v>184500</v>
      </c>
      <c r="D63" s="270">
        <f t="shared" si="0"/>
        <v>0</v>
      </c>
      <c r="E63" s="268"/>
      <c r="F63" s="267"/>
    </row>
    <row r="64" spans="1:6" s="352" customFormat="1" ht="13">
      <c r="A64" s="274" t="s">
        <v>302</v>
      </c>
      <c r="B64" s="270">
        <f>SUM(B9+B12+B14+B15+B17+B26+B28+B39+B43+B44+B55+B63)</f>
        <v>88384851</v>
      </c>
      <c r="C64" s="270">
        <f>SUM(C9+C12+C14+C15+C17+C26+C28+C39+C43+C44+C55+C63)</f>
        <v>88384851</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205000</v>
      </c>
      <c r="C66" s="266">
        <f>'Sources and Uses Budget'!$C65</f>
        <v>205000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205000</v>
      </c>
      <c r="C71" s="270">
        <f>SUM(C66:C70)</f>
        <v>205000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997984</v>
      </c>
      <c r="C76" s="266">
        <f>'Sources and Uses Budget'!$C75</f>
        <v>997984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997984</v>
      </c>
      <c r="C78" s="270">
        <f>SUM(C73:C77)</f>
        <v>997984</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3440000</v>
      </c>
      <c r="C80" s="266">
        <f>'Sources and Uses Budget'!$C79</f>
        <v>3440000</v>
      </c>
      <c r="D80" s="270">
        <f t="shared" si="1"/>
        <v>0</v>
      </c>
      <c r="E80" s="268"/>
      <c r="F80" s="267"/>
    </row>
    <row r="81" spans="1:6" s="352" customFormat="1">
      <c r="A81" s="510" t="s">
        <v>58</v>
      </c>
      <c r="B81" s="266">
        <f>'Sources and Uses Budget'!$C80</f>
        <v>0</v>
      </c>
      <c r="C81" s="266">
        <f>'Sources and Uses Budget'!$C80</f>
        <v>0</v>
      </c>
      <c r="D81" s="270">
        <f>C81-B81</f>
        <v>0</v>
      </c>
      <c r="E81" s="268"/>
      <c r="F81" s="267"/>
    </row>
    <row r="82" spans="1:6" s="352" customFormat="1" ht="13">
      <c r="A82" s="271" t="s">
        <v>1209</v>
      </c>
      <c r="B82" s="270">
        <f>SUM(B80:B81)</f>
        <v>3440000</v>
      </c>
      <c r="C82" s="270">
        <f>SUM(C80:C81)</f>
        <v>3440000</v>
      </c>
      <c r="D82" s="270">
        <f t="shared" si="1"/>
        <v>0</v>
      </c>
      <c r="E82" s="268"/>
      <c r="F82" s="267"/>
    </row>
    <row r="83" spans="1:6" s="352" customFormat="1" ht="13">
      <c r="A83" s="264" t="s">
        <v>765</v>
      </c>
      <c r="B83" s="264"/>
      <c r="C83" s="264"/>
      <c r="D83" s="264"/>
      <c r="E83" s="282"/>
      <c r="F83" s="264"/>
    </row>
    <row r="84" spans="1:6" s="352" customFormat="1" ht="14" customHeight="1">
      <c r="A84" s="269" t="s">
        <v>766</v>
      </c>
      <c r="B84" s="266">
        <f>'Sources and Uses Budget'!$C83</f>
        <v>193949</v>
      </c>
      <c r="C84" s="266">
        <f>'Sources and Uses Budget'!$C83</f>
        <v>193949</v>
      </c>
      <c r="D84" s="270">
        <f t="shared" si="1"/>
        <v>0</v>
      </c>
      <c r="E84" s="268"/>
      <c r="F84" s="267"/>
    </row>
    <row r="85" spans="1:6" s="352" customFormat="1">
      <c r="A85" s="269" t="s">
        <v>767</v>
      </c>
      <c r="B85" s="266">
        <f>'Sources and Uses Budget'!$C84</f>
        <v>10000</v>
      </c>
      <c r="C85" s="266">
        <f>'Sources and Uses Budget'!$C84</f>
        <v>10000</v>
      </c>
      <c r="D85" s="270">
        <f t="shared" si="1"/>
        <v>0</v>
      </c>
      <c r="E85" s="268"/>
      <c r="F85" s="267"/>
    </row>
    <row r="86" spans="1:6" s="352" customFormat="1">
      <c r="A86" s="269" t="s">
        <v>768</v>
      </c>
      <c r="B86" s="266">
        <f>'Sources and Uses Budget'!$C85</f>
        <v>6837794</v>
      </c>
      <c r="C86" s="266">
        <f>'Sources and Uses Budget'!$C85</f>
        <v>6837794</v>
      </c>
      <c r="D86" s="270">
        <f t="shared" si="1"/>
        <v>0</v>
      </c>
      <c r="E86" s="268"/>
      <c r="F86" s="267"/>
    </row>
    <row r="87" spans="1:6" s="352" customFormat="1">
      <c r="A87" s="269" t="s">
        <v>769</v>
      </c>
      <c r="B87" s="266">
        <f>'Sources and Uses Budget'!$C86</f>
        <v>500364</v>
      </c>
      <c r="C87" s="266">
        <f>'Sources and Uses Budget'!$C86</f>
        <v>500364</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430000</v>
      </c>
      <c r="C90" s="266">
        <f>'Sources and Uses Budget'!$C89</f>
        <v>430000</v>
      </c>
      <c r="D90" s="270">
        <f t="shared" si="1"/>
        <v>0</v>
      </c>
      <c r="E90" s="268"/>
      <c r="F90" s="267"/>
    </row>
    <row r="91" spans="1:6" s="352" customFormat="1">
      <c r="A91" s="269" t="s">
        <v>773</v>
      </c>
      <c r="B91" s="266">
        <f>'Sources and Uses Budget'!$C90</f>
        <v>7500</v>
      </c>
      <c r="C91" s="266">
        <f>'Sources and Uses Budget'!$C90</f>
        <v>7500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1211</v>
      </c>
      <c r="B93" s="266">
        <f>'Sources and Uses Budget'!$C92</f>
        <v>46000</v>
      </c>
      <c r="C93" s="266">
        <f>'Sources and Uses Budget'!$C92</f>
        <v>46000</v>
      </c>
      <c r="D93" s="270">
        <f t="shared" si="1"/>
        <v>0</v>
      </c>
      <c r="E93" s="268"/>
      <c r="F93" s="267"/>
    </row>
    <row r="94" spans="1:6" s="352" customFormat="1">
      <c r="A94" s="272" t="s">
        <v>34</v>
      </c>
      <c r="B94" s="266">
        <f>'Sources and Uses Budget'!$C93</f>
        <v>289230</v>
      </c>
      <c r="C94" s="266">
        <f>'Sources and Uses Budget'!$C93</f>
        <v>289230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8329837</v>
      </c>
      <c r="C97" s="270">
        <f>SUM(C84:C96)</f>
        <v>8329837</v>
      </c>
      <c r="D97" s="270">
        <f t="shared" si="1"/>
        <v>0</v>
      </c>
      <c r="E97" s="268"/>
      <c r="F97" s="267"/>
    </row>
    <row r="98" spans="1:6" s="352" customFormat="1" ht="13">
      <c r="A98" s="271" t="s">
        <v>775</v>
      </c>
      <c r="B98" s="270">
        <f>SUM(B64+B71+B78+B82+B97)</f>
        <v>101357672</v>
      </c>
      <c r="C98" s="270">
        <f>SUM(C64+C71+C78+C82+C97)</f>
        <v>101357672</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12558999</v>
      </c>
      <c r="C100" s="266">
        <f>'Sources and Uses Budget'!$C99</f>
        <v>12558999</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1119743</v>
      </c>
      <c r="C103" s="266">
        <f>'Sources and Uses Budget'!$C102</f>
        <v>1119743</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13678742</v>
      </c>
      <c r="C105" s="270">
        <f>SUM(C100:C104)</f>
        <v>13678742</v>
      </c>
      <c r="D105" s="270">
        <f t="shared" si="1"/>
        <v>0</v>
      </c>
      <c r="E105" s="268"/>
      <c r="F105" s="267"/>
    </row>
    <row r="106" spans="1:6" s="352" customFormat="1" ht="13">
      <c r="A106" s="271" t="s">
        <v>780</v>
      </c>
      <c r="B106" s="273">
        <f>SUM(B98+B105)</f>
        <v>115036414</v>
      </c>
      <c r="C106" s="273">
        <f>SUM(C98+C105)</f>
        <v>115036414</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4" workbookViewId="0">
      <selection sqref="A1:J1"/>
    </sheetView>
  </sheetViews>
  <sheetFormatPr defaultColWidth="0" defaultRowHeight="12.5" customHeight="1" zeroHeight="1"/>
  <cols>
    <col min="1" max="10" width="10.7265625" style="402" customWidth="1"/>
    <col min="11" max="16384" width="8.7265625" style="402" hidden="1"/>
  </cols>
  <sheetData>
    <row r="1" spans="1:10" ht="15.5">
      <c r="A1" s="1274" t="s">
        <v>1868</v>
      </c>
      <c r="B1" s="1275"/>
      <c r="C1" s="1275"/>
      <c r="D1" s="1275"/>
      <c r="E1" s="1275"/>
      <c r="F1" s="1275"/>
      <c r="G1" s="1275"/>
      <c r="H1" s="1275"/>
      <c r="I1" s="1275"/>
      <c r="J1" s="1275"/>
    </row>
    <row r="2" spans="1:10" ht="15.5">
      <c r="A2" s="1278" t="s">
        <v>1268</v>
      </c>
      <c r="B2" s="1279"/>
      <c r="C2" s="1279"/>
      <c r="D2" s="1279"/>
      <c r="E2" s="1279"/>
      <c r="F2" s="1279"/>
      <c r="G2" s="1279"/>
      <c r="H2" s="1279"/>
      <c r="I2" s="1279"/>
      <c r="J2" s="1279"/>
    </row>
    <row r="3" spans="1:10"/>
    <row r="4" spans="1:10" ht="12.75" customHeight="1">
      <c r="A4" s="1276" t="s">
        <v>2046</v>
      </c>
      <c r="B4" s="1276"/>
      <c r="C4" s="1276"/>
      <c r="D4" s="1276"/>
      <c r="E4" s="1276"/>
      <c r="F4" s="1276"/>
      <c r="G4" s="1276"/>
      <c r="H4" s="1276"/>
      <c r="I4" s="1276"/>
      <c r="J4" s="1276"/>
    </row>
    <row r="5" spans="1:10">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row r="10" spans="1:10" ht="12.75" customHeight="1">
      <c r="A10" s="1280" t="s">
        <v>1873</v>
      </c>
      <c r="B10" s="1280"/>
      <c r="C10" s="1280"/>
      <c r="D10" s="1280"/>
      <c r="E10" s="1280"/>
      <c r="F10" s="1280"/>
      <c r="G10" s="1280"/>
      <c r="H10" s="1280"/>
      <c r="I10" s="1280"/>
      <c r="J10" s="1280"/>
    </row>
    <row r="11" spans="1:10">
      <c r="A11" s="1280"/>
      <c r="B11" s="1280"/>
      <c r="C11" s="1280"/>
      <c r="D11" s="1280"/>
      <c r="E11" s="1280"/>
      <c r="F11" s="1280"/>
      <c r="G11" s="1280"/>
      <c r="H11" s="1280"/>
      <c r="I11" s="1280"/>
      <c r="J11" s="1280"/>
    </row>
    <row r="12" spans="1:10">
      <c r="A12" s="1280"/>
      <c r="B12" s="1280"/>
      <c r="C12" s="1280"/>
      <c r="D12" s="1280"/>
      <c r="E12" s="1280"/>
      <c r="F12" s="1280"/>
      <c r="G12" s="1280"/>
      <c r="H12" s="1280"/>
      <c r="I12" s="1280"/>
      <c r="J12" s="1280"/>
    </row>
    <row r="13" spans="1:10">
      <c r="A13" s="1280"/>
      <c r="B13" s="1280"/>
      <c r="C13" s="1280"/>
      <c r="D13" s="1280"/>
      <c r="E13" s="1280"/>
      <c r="F13" s="1280"/>
      <c r="G13" s="1280"/>
      <c r="H13" s="1280"/>
      <c r="I13" s="1280"/>
      <c r="J13" s="1280"/>
    </row>
    <row r="14" spans="1:10">
      <c r="A14" s="1280"/>
      <c r="B14" s="1280"/>
      <c r="C14" s="1280"/>
      <c r="D14" s="1280"/>
      <c r="E14" s="1280"/>
      <c r="F14" s="1280"/>
      <c r="G14" s="1280"/>
      <c r="H14" s="1280"/>
      <c r="I14" s="1280"/>
      <c r="J14" s="1280"/>
    </row>
    <row r="15" spans="1:10">
      <c r="A15" s="1280"/>
      <c r="B15" s="1280"/>
      <c r="C15" s="1280"/>
      <c r="D15" s="1280"/>
      <c r="E15" s="1280"/>
      <c r="F15" s="1280"/>
      <c r="G15" s="1280"/>
      <c r="H15" s="1280"/>
      <c r="I15" s="1280"/>
      <c r="J15" s="1280"/>
    </row>
    <row r="16" spans="1:10">
      <c r="A16" s="524"/>
      <c r="B16" s="524"/>
      <c r="C16" s="524"/>
      <c r="D16" s="524"/>
      <c r="E16" s="524"/>
      <c r="F16" s="524"/>
      <c r="G16" s="524"/>
      <c r="H16" s="524"/>
      <c r="I16" s="524"/>
      <c r="J16" s="524"/>
    </row>
    <row r="17" spans="1:10">
      <c r="A17" s="476" t="s">
        <v>1872</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79" t="s">
        <v>1189</v>
      </c>
      <c r="B19" s="1279"/>
      <c r="C19" s="1279"/>
      <c r="D19" s="1279"/>
      <c r="E19" s="1279"/>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6" t="s">
        <v>1190</v>
      </c>
      <c r="B56" s="1276"/>
      <c r="C56" s="1276"/>
      <c r="D56" s="1276"/>
      <c r="E56" s="1276"/>
      <c r="F56" s="1276"/>
      <c r="G56" s="1276"/>
      <c r="H56" s="1276"/>
      <c r="I56" s="1276"/>
      <c r="J56" s="1276"/>
    </row>
    <row r="57" spans="1:10">
      <c r="A57" s="1276"/>
      <c r="B57" s="1276"/>
      <c r="C57" s="1276"/>
      <c r="D57" s="1276"/>
      <c r="E57" s="1276"/>
      <c r="F57" s="1276"/>
      <c r="G57" s="1276"/>
      <c r="H57" s="1276"/>
      <c r="I57" s="1276"/>
      <c r="J57" s="1276"/>
    </row>
    <row r="58" spans="1:10">
      <c r="A58" s="1276"/>
      <c r="B58" s="1276"/>
      <c r="C58" s="1276"/>
      <c r="D58" s="1276"/>
      <c r="E58" s="1276"/>
      <c r="F58" s="1276"/>
      <c r="G58" s="1276"/>
      <c r="H58" s="1276"/>
      <c r="I58" s="1276"/>
      <c r="J58" s="1276"/>
    </row>
    <row r="59" spans="1:10"/>
    <row r="60" spans="1:10">
      <c r="A60" s="402" t="s">
        <v>1189</v>
      </c>
    </row>
    <row r="61" spans="1:10"/>
    <row r="62" spans="1:10"/>
    <row r="63" spans="1:10"/>
    <row r="64" spans="1:10"/>
    <row r="65" spans="1:9"/>
    <row r="66" spans="1:9"/>
    <row r="67" spans="1:9"/>
    <row r="68" spans="1:9"/>
    <row r="69" spans="1:9"/>
    <row r="70" spans="1:9"/>
    <row r="71" spans="1:9" ht="13">
      <c r="A71" s="1277" t="s">
        <v>1869</v>
      </c>
      <c r="B71" s="1277"/>
      <c r="C71" s="1277"/>
      <c r="D71" s="1277"/>
      <c r="E71" s="1277"/>
      <c r="F71" s="1277"/>
      <c r="G71" s="1277"/>
      <c r="H71" s="1277"/>
      <c r="I71" s="1277"/>
    </row>
    <row r="72" spans="1:9">
      <c r="A72" s="1267" t="s">
        <v>2044</v>
      </c>
      <c r="B72" s="1267"/>
      <c r="C72" s="1267"/>
      <c r="D72" s="1267"/>
      <c r="E72" s="1267"/>
    </row>
    <row r="73" spans="1:9">
      <c r="A73" s="1267" t="s">
        <v>2045</v>
      </c>
      <c r="B73" s="1267"/>
      <c r="C73" s="1267"/>
      <c r="D73" s="1267"/>
      <c r="E73" s="1267"/>
    </row>
    <row r="74" spans="1:9">
      <c r="A74" s="1267" t="s">
        <v>1870</v>
      </c>
      <c r="B74" s="1267"/>
      <c r="C74" s="1267"/>
      <c r="D74" s="1267"/>
      <c r="E74" s="1267"/>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4" zoomScale="145" zoomScaleNormal="145" workbookViewId="0">
      <selection activeCell="B36" sqref="B36"/>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26953125" style="404" customWidth="1"/>
    <col min="10" max="10" width="8.7265625" style="402" hidden="1" customWidth="1"/>
    <col min="11" max="16384" width="8.726562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4"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c r="A15" s="484"/>
      <c r="B15" s="485" t="s">
        <v>2721</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c r="A20" s="484"/>
      <c r="B20" s="485" t="s">
        <v>2721</v>
      </c>
      <c r="D20" s="1283" t="s">
        <v>1922</v>
      </c>
      <c r="E20" s="1283"/>
      <c r="F20" s="1283"/>
      <c r="I20" s="490"/>
    </row>
    <row r="21" spans="1:9">
      <c r="A21" s="484"/>
      <c r="D21" s="1283"/>
      <c r="E21" s="1283"/>
      <c r="F21" s="1283"/>
      <c r="I21" s="490"/>
    </row>
    <row r="22" spans="1:9">
      <c r="A22" s="484"/>
      <c r="D22" s="392"/>
      <c r="E22" s="96" t="s">
        <v>1918</v>
      </c>
      <c r="F22" s="392"/>
      <c r="I22" s="490"/>
    </row>
    <row r="23" spans="1:9">
      <c r="A23" s="484"/>
      <c r="B23" s="484"/>
      <c r="D23" s="446"/>
      <c r="I23" s="490"/>
    </row>
    <row r="24" spans="1:9">
      <c r="A24" s="484"/>
      <c r="B24" s="485" t="s">
        <v>2699</v>
      </c>
      <c r="D24" s="1283" t="s">
        <v>1091</v>
      </c>
      <c r="E24" s="1283"/>
      <c r="F24" s="1283"/>
      <c r="I24" s="490"/>
    </row>
    <row r="25" spans="1:9">
      <c r="A25" s="484"/>
      <c r="B25" s="484"/>
      <c r="D25" s="1283"/>
      <c r="E25" s="1283"/>
      <c r="F25" s="1283"/>
      <c r="I25" s="490"/>
    </row>
    <row r="26" spans="1:9">
      <c r="I26" s="490"/>
    </row>
    <row r="27" spans="1:9">
      <c r="A27" s="484"/>
      <c r="B27" s="485" t="s">
        <v>2721</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2699</v>
      </c>
      <c r="D33" s="1283" t="s">
        <v>2048</v>
      </c>
      <c r="E33" s="1283"/>
      <c r="F33" s="1283"/>
      <c r="I33" s="490"/>
    </row>
    <row r="34" spans="1:9">
      <c r="D34" s="1283"/>
      <c r="E34" s="1283"/>
      <c r="F34" s="1283"/>
      <c r="I34" s="490"/>
    </row>
    <row r="35" spans="1:9">
      <c r="A35" s="484"/>
      <c r="B35" s="484"/>
      <c r="D35" s="447"/>
      <c r="I35" s="490"/>
    </row>
    <row r="36" spans="1:9" ht="14.75" customHeight="1">
      <c r="A36" s="484"/>
      <c r="B36" s="485" t="s">
        <v>2699</v>
      </c>
      <c r="D36" s="1283" t="s">
        <v>1214</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2699</v>
      </c>
      <c r="D41" s="1283" t="s">
        <v>1092</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2699</v>
      </c>
      <c r="D47" s="1283" t="s">
        <v>1093</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75" customHeight="1">
      <c r="A52" s="484"/>
      <c r="B52" s="485" t="s">
        <v>2699</v>
      </c>
      <c r="D52" s="1283" t="s">
        <v>1094</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2721</v>
      </c>
      <c r="D56" s="1307" t="s">
        <v>1095</v>
      </c>
      <c r="E56" s="1307"/>
      <c r="F56" s="1307"/>
      <c r="I56" s="490"/>
    </row>
    <row r="57" spans="1:9">
      <c r="A57" s="484"/>
      <c r="B57" s="484"/>
      <c r="D57" s="1307"/>
      <c r="E57" s="1307"/>
      <c r="F57" s="1307"/>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2699</v>
      </c>
      <c r="D61" s="1283" t="s">
        <v>1096</v>
      </c>
      <c r="E61" s="1283"/>
      <c r="F61" s="1283"/>
      <c r="I61" s="490"/>
    </row>
    <row r="62" spans="1:9">
      <c r="D62" s="1283"/>
      <c r="E62" s="1283"/>
      <c r="F62" s="1283"/>
      <c r="I62" s="490"/>
    </row>
    <row r="63" spans="1:9">
      <c r="D63" s="1283"/>
      <c r="E63" s="1283"/>
      <c r="F63" s="1283"/>
      <c r="I63" s="490"/>
    </row>
    <row r="64" spans="1:9">
      <c r="I64" s="490"/>
    </row>
    <row r="65" spans="1:9">
      <c r="A65" s="484"/>
      <c r="B65" s="485" t="s">
        <v>2699</v>
      </c>
      <c r="D65" s="1283" t="s">
        <v>1097</v>
      </c>
      <c r="E65" s="1283"/>
      <c r="F65" s="1283"/>
      <c r="I65" s="490"/>
    </row>
    <row r="66" spans="1:9">
      <c r="D66" s="1283"/>
      <c r="E66" s="1283"/>
      <c r="F66" s="1283"/>
      <c r="I66" s="490"/>
    </row>
    <row r="67" spans="1:9">
      <c r="I67" s="490"/>
    </row>
    <row r="68" spans="1:9">
      <c r="A68" s="484"/>
      <c r="B68" s="485" t="s">
        <v>2721</v>
      </c>
      <c r="D68" s="1283" t="s">
        <v>1098</v>
      </c>
      <c r="E68" s="1283"/>
      <c r="F68" s="1283"/>
      <c r="I68" s="490"/>
    </row>
    <row r="69" spans="1:9">
      <c r="D69" s="1283"/>
      <c r="E69" s="1283"/>
      <c r="F69" s="1283"/>
      <c r="I69" s="490"/>
    </row>
    <row r="70" spans="1:9">
      <c r="D70" s="1283"/>
      <c r="E70" s="1283"/>
      <c r="F70" s="1283"/>
      <c r="I70" s="490"/>
    </row>
    <row r="71" spans="1:9">
      <c r="I71" s="490"/>
    </row>
    <row r="72" spans="1:9">
      <c r="A72" s="484"/>
      <c r="B72" s="485" t="s">
        <v>2721</v>
      </c>
      <c r="D72" s="1283" t="s">
        <v>1099</v>
      </c>
      <c r="E72" s="1283"/>
      <c r="F72" s="1283"/>
      <c r="I72" s="490"/>
    </row>
    <row r="73" spans="1:9">
      <c r="D73" s="1283"/>
      <c r="E73" s="1283"/>
      <c r="F73" s="1283"/>
      <c r="I73" s="490"/>
    </row>
    <row r="74" spans="1:9">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4" customHeight="1">
      <c r="A80" s="484"/>
      <c r="B80" s="485" t="s">
        <v>2721</v>
      </c>
      <c r="D80" s="1283" t="s">
        <v>1245</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2721</v>
      </c>
      <c r="D89" s="1283" t="s">
        <v>1742</v>
      </c>
      <c r="E89" s="1283"/>
      <c r="F89" s="1283"/>
      <c r="I89" s="490"/>
    </row>
    <row r="90" spans="1:9">
      <c r="A90" s="484"/>
      <c r="B90" s="484"/>
      <c r="D90" s="1283"/>
      <c r="E90" s="1283"/>
      <c r="F90" s="1283"/>
      <c r="I90" s="490"/>
    </row>
    <row r="91" spans="1:9">
      <c r="A91" s="484"/>
      <c r="B91" s="484"/>
      <c r="D91" s="445"/>
      <c r="E91" s="445"/>
      <c r="F91" s="445"/>
      <c r="I91" s="490"/>
    </row>
    <row r="92" spans="1:9">
      <c r="A92" s="484"/>
      <c r="B92" s="485" t="s">
        <v>2721</v>
      </c>
      <c r="D92" s="1283" t="s">
        <v>1745</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2699</v>
      </c>
      <c r="D96" s="1283" t="s">
        <v>1744</v>
      </c>
      <c r="E96" s="1283"/>
      <c r="F96" s="1283"/>
      <c r="I96" s="490"/>
    </row>
    <row r="97" spans="1:9" s="987" customFormat="1">
      <c r="A97" s="985"/>
      <c r="B97" s="985"/>
      <c r="C97" s="986"/>
      <c r="D97" s="1283"/>
      <c r="E97" s="1283"/>
      <c r="F97" s="1283"/>
      <c r="I97" s="1154"/>
    </row>
    <row r="98" spans="1:9">
      <c r="A98" s="484"/>
      <c r="B98" s="484"/>
      <c r="D98" s="392"/>
      <c r="E98" s="312" t="s">
        <v>1923</v>
      </c>
      <c r="F98" s="445"/>
      <c r="I98" s="490"/>
    </row>
    <row r="99" spans="1:9">
      <c r="A99" s="484"/>
      <c r="B99" s="484"/>
      <c r="D99" s="385"/>
      <c r="E99" s="385"/>
      <c r="F99" s="385"/>
      <c r="I99" s="490"/>
    </row>
    <row r="100" spans="1:9">
      <c r="A100" s="484"/>
      <c r="B100" s="485" t="s">
        <v>2699</v>
      </c>
      <c r="D100" s="1283" t="s">
        <v>1743</v>
      </c>
      <c r="E100" s="1283"/>
      <c r="F100" s="1283"/>
      <c r="I100" s="490"/>
    </row>
    <row r="101" spans="1:9">
      <c r="A101" s="484"/>
      <c r="B101" s="484"/>
      <c r="D101" s="1283"/>
      <c r="E101" s="1283"/>
      <c r="F101" s="1283"/>
      <c r="I101" s="490"/>
    </row>
    <row r="102" spans="1:9">
      <c r="A102" s="484"/>
      <c r="B102" s="484"/>
      <c r="D102" s="445"/>
      <c r="E102" s="445"/>
      <c r="F102" s="445"/>
      <c r="I102" s="490"/>
    </row>
    <row r="103" spans="1:9" ht="14.75" customHeight="1">
      <c r="A103" s="484"/>
      <c r="B103" s="485" t="s">
        <v>2699</v>
      </c>
      <c r="D103" s="1283" t="s">
        <v>1194</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2699</v>
      </c>
      <c r="D119" s="1303" t="s">
        <v>1103</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2721</v>
      </c>
      <c r="C128" s="402"/>
      <c r="D128" s="1303" t="s">
        <v>2049</v>
      </c>
      <c r="E128" s="1303"/>
      <c r="F128" s="1303"/>
      <c r="I128" s="490"/>
    </row>
    <row r="129" spans="1:9">
      <c r="A129" s="484"/>
      <c r="B129" s="484"/>
      <c r="C129" s="402"/>
      <c r="D129" s="1303"/>
      <c r="E129" s="1303"/>
      <c r="F129" s="1303"/>
      <c r="I129" s="490"/>
    </row>
    <row r="130" spans="1:9">
      <c r="I130" s="490"/>
    </row>
    <row r="131" spans="1:9">
      <c r="A131" s="484"/>
      <c r="B131" s="485" t="s">
        <v>2721</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2721</v>
      </c>
      <c r="D137" s="1283" t="s">
        <v>1105</v>
      </c>
      <c r="E137" s="1283"/>
      <c r="F137" s="1283"/>
      <c r="I137" s="490"/>
    </row>
    <row r="138" spans="1:9" s="417" customFormat="1" ht="14" customHeight="1">
      <c r="A138" s="488"/>
      <c r="B138" s="488"/>
      <c r="C138" s="488"/>
      <c r="D138" s="1283"/>
      <c r="E138" s="1283"/>
      <c r="F138" s="1283"/>
      <c r="I138" s="1155"/>
    </row>
    <row r="139" spans="1:9" ht="14" customHeight="1">
      <c r="D139" s="1283"/>
      <c r="E139" s="1283"/>
      <c r="F139" s="1283"/>
      <c r="I139" s="490"/>
    </row>
    <row r="140" spans="1:9" ht="14" customHeight="1">
      <c r="D140" s="1283"/>
      <c r="E140" s="1283"/>
      <c r="F140" s="1283"/>
      <c r="I140" s="490"/>
    </row>
    <row r="141" spans="1:9" ht="14" customHeight="1">
      <c r="D141" s="1283"/>
      <c r="E141" s="1283"/>
      <c r="F141" s="1283"/>
      <c r="I141" s="490"/>
    </row>
    <row r="142" spans="1:9" ht="14" customHeight="1">
      <c r="A142" s="489"/>
      <c r="B142" s="489"/>
      <c r="D142" s="1283"/>
      <c r="E142" s="1283"/>
      <c r="F142" s="1283"/>
      <c r="I142" s="490"/>
    </row>
    <row r="143" spans="1:9" ht="14" customHeight="1">
      <c r="D143" s="1283"/>
      <c r="E143" s="1283"/>
      <c r="F143" s="1283"/>
      <c r="I143" s="490"/>
    </row>
    <row r="144" spans="1:9" ht="14" customHeight="1">
      <c r="D144" s="1283"/>
      <c r="E144" s="1283"/>
      <c r="F144" s="1283"/>
      <c r="I144" s="490"/>
    </row>
    <row r="145" spans="2:9" ht="14" customHeight="1">
      <c r="D145" s="1283"/>
      <c r="E145" s="1283"/>
      <c r="F145" s="1283"/>
      <c r="I145" s="490"/>
    </row>
    <row r="146" spans="2:9" ht="14" customHeight="1">
      <c r="D146" s="1283"/>
      <c r="E146" s="1283"/>
      <c r="F146" s="1283"/>
      <c r="I146" s="490"/>
    </row>
    <row r="147" spans="2:9" ht="14" customHeight="1">
      <c r="D147" s="1283"/>
      <c r="E147" s="1283"/>
      <c r="F147" s="1283"/>
      <c r="I147" s="490"/>
    </row>
    <row r="148" spans="2:9" ht="14" customHeight="1">
      <c r="D148" s="1283"/>
      <c r="E148" s="1283"/>
      <c r="F148" s="1283"/>
      <c r="I148" s="490"/>
    </row>
    <row r="149" spans="2:9" ht="14" customHeight="1">
      <c r="D149" s="1283"/>
      <c r="E149" s="1283"/>
      <c r="F149" s="1283"/>
      <c r="I149" s="490"/>
    </row>
    <row r="150" spans="2:9" ht="14" customHeight="1">
      <c r="D150" s="476"/>
      <c r="E150" s="446"/>
      <c r="F150" s="446"/>
      <c r="I150" s="490"/>
    </row>
    <row r="151" spans="2:9" ht="14" customHeight="1">
      <c r="B151" s="485" t="s">
        <v>2699</v>
      </c>
      <c r="D151" s="1283" t="s">
        <v>1177</v>
      </c>
      <c r="E151" s="1283"/>
      <c r="F151" s="1283"/>
      <c r="I151" s="490"/>
    </row>
    <row r="152" spans="2:9" ht="14" customHeight="1">
      <c r="D152" s="1283"/>
      <c r="E152" s="1283"/>
      <c r="F152" s="1283"/>
      <c r="I152" s="490"/>
    </row>
    <row r="153" spans="2:9" ht="14" customHeight="1">
      <c r="D153" s="1283"/>
      <c r="E153" s="1283"/>
      <c r="F153" s="1283"/>
      <c r="I153" s="490"/>
    </row>
    <row r="154" spans="2:9" ht="14" customHeight="1">
      <c r="D154" s="1283"/>
      <c r="E154" s="1283"/>
      <c r="F154" s="1283"/>
      <c r="I154" s="490"/>
    </row>
    <row r="155" spans="2:9" ht="14" customHeight="1">
      <c r="D155" s="1283"/>
      <c r="E155" s="1283"/>
      <c r="F155" s="1283"/>
      <c r="I155" s="490"/>
    </row>
    <row r="156" spans="2:9" ht="14" customHeight="1">
      <c r="D156" s="1283"/>
      <c r="E156" s="1283"/>
      <c r="F156" s="1283"/>
      <c r="I156" s="490"/>
    </row>
    <row r="157" spans="2:9" ht="14" customHeight="1">
      <c r="D157" s="1283"/>
      <c r="E157" s="1283"/>
      <c r="F157" s="1283"/>
      <c r="I157" s="490"/>
    </row>
    <row r="158" spans="2:9" ht="14" customHeight="1">
      <c r="D158" s="1283"/>
      <c r="E158" s="1283"/>
      <c r="F158" s="1283"/>
      <c r="I158" s="490"/>
    </row>
    <row r="159" spans="2:9" ht="14" customHeight="1">
      <c r="D159" s="1283"/>
      <c r="E159" s="1283"/>
      <c r="F159" s="1283"/>
      <c r="I159" s="490"/>
    </row>
    <row r="160" spans="2:9" ht="14" customHeight="1">
      <c r="D160" s="1283"/>
      <c r="E160" s="1283"/>
      <c r="F160" s="1283"/>
      <c r="I160" s="490"/>
    </row>
    <row r="161" spans="1:9" ht="14" customHeight="1">
      <c r="D161" s="1283"/>
      <c r="E161" s="1283"/>
      <c r="F161" s="1283"/>
      <c r="I161" s="490"/>
    </row>
    <row r="162" spans="1:9" ht="14" customHeight="1">
      <c r="D162" s="1283"/>
      <c r="E162" s="1283"/>
      <c r="F162" s="1283"/>
      <c r="I162" s="490"/>
    </row>
    <row r="163" spans="1:9" ht="14" customHeight="1">
      <c r="D163" s="1283"/>
      <c r="E163" s="1283"/>
      <c r="F163" s="1283"/>
      <c r="I163" s="490"/>
    </row>
    <row r="164" spans="1:9" ht="14" customHeight="1">
      <c r="D164" s="1283"/>
      <c r="E164" s="1283"/>
      <c r="F164" s="1283"/>
      <c r="I164" s="490"/>
    </row>
    <row r="165" spans="1:9" ht="14" customHeight="1">
      <c r="D165" s="1283"/>
      <c r="E165" s="1283"/>
      <c r="F165" s="1283"/>
      <c r="I165" s="490"/>
    </row>
    <row r="166" spans="1:9" ht="14" customHeight="1">
      <c r="D166" s="1283"/>
      <c r="E166" s="1283"/>
      <c r="F166" s="1283"/>
      <c r="I166" s="490"/>
    </row>
    <row r="167" spans="1:9" ht="14" customHeight="1">
      <c r="D167" s="1283"/>
      <c r="E167" s="1283"/>
      <c r="F167" s="1283"/>
      <c r="I167" s="490"/>
    </row>
    <row r="168" spans="1:9" ht="14" customHeight="1">
      <c r="D168" s="1283"/>
      <c r="E168" s="1283"/>
      <c r="F168" s="1283"/>
      <c r="I168" s="490"/>
    </row>
    <row r="169" spans="1:9" ht="14" customHeight="1">
      <c r="D169" s="1304" t="s">
        <v>2072</v>
      </c>
      <c r="E169" s="1304"/>
      <c r="F169" s="1304"/>
      <c r="G169" s="507"/>
      <c r="I169" s="490"/>
    </row>
    <row r="170" spans="1:9" ht="14" customHeight="1">
      <c r="D170" s="1295"/>
      <c r="E170" s="1295"/>
      <c r="F170" s="1295"/>
      <c r="G170" s="1295"/>
      <c r="I170" s="490"/>
    </row>
    <row r="171" spans="1:9" ht="14.75" customHeight="1">
      <c r="A171" s="489"/>
      <c r="B171" s="485" t="s">
        <v>2721</v>
      </c>
      <c r="C171" s="476"/>
      <c r="D171" s="1263" t="s">
        <v>2212</v>
      </c>
      <c r="E171" s="1263"/>
      <c r="F171" s="1263"/>
      <c r="G171" s="476"/>
      <c r="I171" s="490"/>
    </row>
    <row r="172" spans="1:9" ht="14.75" customHeight="1">
      <c r="A172" s="489"/>
      <c r="B172" s="489"/>
      <c r="C172" s="476"/>
      <c r="D172" s="1263"/>
      <c r="E172" s="1263"/>
      <c r="F172" s="1263"/>
      <c r="G172" s="476"/>
      <c r="I172" s="490"/>
    </row>
    <row r="173" spans="1:9" ht="14.75" customHeight="1">
      <c r="A173" s="489"/>
      <c r="B173" s="489"/>
      <c r="C173" s="476"/>
      <c r="D173" s="1263"/>
      <c r="E173" s="1263"/>
      <c r="F173" s="1263"/>
      <c r="G173" s="476"/>
      <c r="I173" s="490"/>
    </row>
    <row r="174" spans="1:9" ht="14.75" customHeight="1">
      <c r="A174" s="489"/>
      <c r="B174" s="489"/>
      <c r="C174" s="476"/>
      <c r="D174" s="1263"/>
      <c r="E174" s="1263"/>
      <c r="F174" s="1263"/>
      <c r="G174" s="476"/>
      <c r="I174" s="490"/>
    </row>
    <row r="175" spans="1:9" ht="14" customHeight="1">
      <c r="A175" s="489"/>
      <c r="B175" s="489"/>
      <c r="C175" s="476"/>
      <c r="D175" s="1263"/>
      <c r="E175" s="1263"/>
      <c r="F175" s="1263"/>
      <c r="G175" s="476"/>
      <c r="I175" s="490"/>
    </row>
    <row r="176" spans="1:9" ht="14" customHeight="1">
      <c r="A176" s="489"/>
      <c r="B176" s="489"/>
      <c r="C176" s="476"/>
      <c r="D176" s="476"/>
      <c r="E176" s="476"/>
      <c r="F176" s="476"/>
      <c r="G176" s="476"/>
      <c r="I176" s="490"/>
    </row>
    <row r="177" spans="1:9" ht="14" customHeight="1">
      <c r="A177" s="489"/>
      <c r="B177" s="485" t="s">
        <v>2721</v>
      </c>
      <c r="C177" s="476"/>
      <c r="D177" s="1263" t="s">
        <v>1106</v>
      </c>
      <c r="E177" s="1263"/>
      <c r="F177" s="1263"/>
      <c r="G177" s="476"/>
      <c r="I177" s="490"/>
    </row>
    <row r="178" spans="1:9" ht="14" customHeight="1">
      <c r="A178" s="489"/>
      <c r="B178" s="489"/>
      <c r="C178" s="476"/>
      <c r="D178" s="1263"/>
      <c r="E178" s="1263"/>
      <c r="F178" s="1263"/>
      <c r="G178" s="476"/>
      <c r="I178" s="490"/>
    </row>
    <row r="179" spans="1:9" ht="14" customHeight="1">
      <c r="A179" s="489"/>
      <c r="B179" s="489"/>
      <c r="C179" s="476"/>
      <c r="D179" s="1263"/>
      <c r="E179" s="1263"/>
      <c r="F179" s="1263"/>
      <c r="G179" s="476"/>
      <c r="I179" s="490"/>
    </row>
    <row r="180" spans="1:9" ht="14" customHeight="1">
      <c r="A180" s="489"/>
      <c r="B180" s="489"/>
      <c r="C180" s="476"/>
      <c r="D180" s="1263"/>
      <c r="E180" s="1263"/>
      <c r="F180" s="1263"/>
      <c r="G180" s="476"/>
      <c r="I180" s="490"/>
    </row>
    <row r="181" spans="1:9" ht="14" customHeight="1">
      <c r="D181" s="446"/>
      <c r="E181" s="446"/>
      <c r="F181" s="446"/>
      <c r="I181" s="490"/>
    </row>
    <row r="182" spans="1:9" ht="14" customHeight="1">
      <c r="B182" s="485" t="s">
        <v>2699</v>
      </c>
      <c r="D182" s="1287" t="s">
        <v>2050</v>
      </c>
      <c r="E182" s="1287"/>
      <c r="F182" s="1287"/>
      <c r="I182" s="490"/>
    </row>
    <row r="183" spans="1:9" ht="14" customHeight="1">
      <c r="D183" s="1287"/>
      <c r="E183" s="1287"/>
      <c r="F183" s="1287"/>
      <c r="I183" s="490"/>
    </row>
    <row r="184" spans="1:9" ht="14" customHeight="1">
      <c r="D184" s="1287"/>
      <c r="E184" s="1287"/>
      <c r="F184" s="1287"/>
      <c r="I184" s="490"/>
    </row>
    <row r="185" spans="1:9" ht="14"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4"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2721</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2699</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2699</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2699</v>
      </c>
      <c r="D209" s="386" t="s">
        <v>1894</v>
      </c>
      <c r="E209" s="385"/>
      <c r="F209" s="385"/>
      <c r="I209" s="490"/>
    </row>
    <row r="210" spans="1:9">
      <c r="A210" s="484"/>
      <c r="B210" s="484"/>
      <c r="D210" s="1300" t="s">
        <v>1901</v>
      </c>
      <c r="E210" s="1300"/>
      <c r="F210" s="1300"/>
      <c r="I210" s="490"/>
    </row>
    <row r="211" spans="1:9">
      <c r="D211" s="385"/>
      <c r="E211" s="1302" t="s">
        <v>1927</v>
      </c>
      <c r="F211" s="1302"/>
      <c r="I211" s="490"/>
    </row>
    <row r="212" spans="1:9">
      <c r="D212" s="447"/>
      <c r="I212" s="490"/>
    </row>
    <row r="213" spans="1:9">
      <c r="B213" s="485" t="s">
        <v>2699</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c r="A217" s="484"/>
      <c r="B217" s="485" t="s">
        <v>2699</v>
      </c>
      <c r="D217" s="1283" t="s">
        <v>1216</v>
      </c>
      <c r="E217" s="1283"/>
      <c r="F217" s="1283"/>
      <c r="I217" s="490"/>
    </row>
    <row r="218" spans="1:9" ht="14.7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4" customHeight="1">
      <c r="A227" s="490"/>
      <c r="C227" s="490"/>
      <c r="D227" s="1291" t="s">
        <v>546</v>
      </c>
      <c r="E227" s="1291"/>
      <c r="F227" s="1291"/>
      <c r="I227" s="490"/>
    </row>
    <row r="228" spans="1:9">
      <c r="A228" s="484"/>
      <c r="B228" s="485" t="s">
        <v>2721</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2721</v>
      </c>
      <c r="D233" s="1283" t="s">
        <v>1754</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1118</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2721</v>
      </c>
      <c r="D245" s="1283" t="s">
        <v>2052</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1895</v>
      </c>
      <c r="I248" s="490"/>
    </row>
    <row r="249" spans="1:9">
      <c r="A249" s="484"/>
      <c r="B249" s="484"/>
      <c r="D249" s="446"/>
      <c r="E249" s="446"/>
      <c r="F249" s="446"/>
      <c r="I249" s="490"/>
    </row>
    <row r="250" spans="1:9" ht="14.75" customHeight="1">
      <c r="A250" s="484"/>
      <c r="B250" s="485" t="s">
        <v>2699</v>
      </c>
      <c r="D250" s="1283" t="s">
        <v>2053</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2721</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2721</v>
      </c>
      <c r="D259" s="1283" t="s">
        <v>1119</v>
      </c>
      <c r="E259" s="1283"/>
      <c r="F259" s="1283"/>
      <c r="I259" s="490"/>
    </row>
    <row r="260" spans="1:9">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75" customHeight="1">
      <c r="A267" s="484"/>
      <c r="B267" s="485" t="s">
        <v>2721</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75" customHeight="1">
      <c r="A271" s="484"/>
      <c r="B271" s="485" t="s">
        <v>2699</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2699</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c r="A290" s="484"/>
      <c r="B290" s="485" t="s">
        <v>2721</v>
      </c>
      <c r="D290" s="1283" t="s">
        <v>1125</v>
      </c>
      <c r="E290" s="1283"/>
      <c r="F290" s="1283"/>
      <c r="I290" s="490"/>
    </row>
    <row r="291" spans="1:9">
      <c r="A291" s="484"/>
      <c r="B291" s="484"/>
      <c r="D291" s="1283"/>
      <c r="E291" s="1283"/>
      <c r="F291" s="1283"/>
      <c r="I291" s="490"/>
    </row>
    <row r="292" spans="1:9">
      <c r="D292" s="446"/>
      <c r="E292" s="446"/>
      <c r="F292" s="446"/>
      <c r="I292" s="490"/>
    </row>
    <row r="293" spans="1:9">
      <c r="A293" s="484"/>
      <c r="B293" s="485" t="s">
        <v>2699</v>
      </c>
      <c r="D293" s="1283" t="s">
        <v>1126</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2699</v>
      </c>
      <c r="D297" s="1283" t="s">
        <v>1127</v>
      </c>
      <c r="E297" s="1283"/>
      <c r="F297" s="1283"/>
      <c r="I297" s="490"/>
    </row>
    <row r="298" spans="1:9">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2699</v>
      </c>
      <c r="D305" s="1284" t="s">
        <v>1129</v>
      </c>
      <c r="E305" s="1284"/>
      <c r="F305" s="1284"/>
      <c r="I305" s="490"/>
    </row>
    <row r="306" spans="1:9">
      <c r="A306" s="484"/>
      <c r="B306" s="484"/>
      <c r="D306" s="494"/>
      <c r="E306" s="495"/>
      <c r="F306" s="495"/>
      <c r="I306" s="490"/>
    </row>
    <row r="307" spans="1:9" ht="14" customHeight="1">
      <c r="B307" s="485" t="s">
        <v>2699</v>
      </c>
      <c r="D307" s="1293" t="s">
        <v>1219</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4" customHeight="1">
      <c r="B313" s="485" t="s">
        <v>2699</v>
      </c>
      <c r="D313" s="1293" t="s">
        <v>1130</v>
      </c>
      <c r="E313" s="1293"/>
      <c r="F313" s="1293"/>
      <c r="I313" s="490"/>
    </row>
    <row r="314" spans="1:9">
      <c r="D314" s="1293"/>
      <c r="E314" s="1293"/>
      <c r="F314" s="1293"/>
      <c r="I314" s="490"/>
    </row>
    <row r="315" spans="1:9">
      <c r="A315" s="484"/>
      <c r="B315" s="484"/>
      <c r="D315" s="494"/>
      <c r="E315" s="495"/>
      <c r="F315" s="495"/>
      <c r="I315" s="490"/>
    </row>
    <row r="316" spans="1:9">
      <c r="B316" s="485" t="s">
        <v>2699</v>
      </c>
      <c r="D316" s="1284" t="s">
        <v>1131</v>
      </c>
      <c r="E316" s="1284"/>
      <c r="F316" s="1284"/>
      <c r="I316" s="490"/>
    </row>
    <row r="317" spans="1:9">
      <c r="E317" s="446"/>
      <c r="F317" s="446"/>
      <c r="I317" s="490"/>
    </row>
    <row r="318" spans="1:9">
      <c r="A318" s="484"/>
      <c r="B318" s="485" t="s">
        <v>2699</v>
      </c>
      <c r="D318" s="1283" t="s">
        <v>2244</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2699</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2699</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2699</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c r="A360" s="484"/>
      <c r="B360" s="485" t="s">
        <v>2699</v>
      </c>
      <c r="C360" s="476"/>
      <c r="D360" s="1295" t="s">
        <v>2056</v>
      </c>
      <c r="E360" s="1295"/>
      <c r="F360" s="1295"/>
      <c r="I360" s="480"/>
    </row>
    <row r="361" spans="1:9">
      <c r="A361" s="476"/>
      <c r="B361" s="476"/>
      <c r="C361" s="476"/>
      <c r="D361" s="447"/>
      <c r="E361" s="447"/>
      <c r="F361" s="446"/>
      <c r="I361" s="490"/>
    </row>
    <row r="362" spans="1:9">
      <c r="A362" s="476"/>
      <c r="B362" s="485" t="s">
        <v>2699</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5" customHeight="1">
      <c r="A375" s="476"/>
      <c r="B375" s="485" t="s">
        <v>2699</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2699</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2699</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4"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2699</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75" customHeight="1">
      <c r="A423" s="484"/>
      <c r="B423" s="485" t="s">
        <v>2699</v>
      </c>
      <c r="D423" s="1263" t="s">
        <v>1881</v>
      </c>
      <c r="E423" s="1263"/>
      <c r="F423" s="1263"/>
      <c r="I423" s="490"/>
    </row>
    <row r="424" spans="1:9" ht="14.75" customHeight="1">
      <c r="A424" s="484"/>
      <c r="D424" s="1263"/>
      <c r="E424" s="1263"/>
      <c r="F424" s="1263"/>
      <c r="I424" s="490"/>
    </row>
    <row r="425" spans="1:9" ht="14.75" customHeight="1">
      <c r="A425" s="484"/>
      <c r="D425" s="1263"/>
      <c r="E425" s="1263"/>
      <c r="F425" s="1263"/>
      <c r="I425" s="490"/>
    </row>
    <row r="426" spans="1:9" ht="14.75" customHeight="1">
      <c r="A426" s="484"/>
      <c r="D426" s="1263"/>
      <c r="E426" s="1263"/>
      <c r="F426" s="1263"/>
      <c r="I426" s="490"/>
    </row>
    <row r="427" spans="1:9" ht="14.75" customHeight="1">
      <c r="A427" s="484"/>
      <c r="D427" s="1263"/>
      <c r="E427" s="1263"/>
      <c r="F427" s="1263"/>
      <c r="I427" s="490"/>
    </row>
    <row r="428" spans="1:9" ht="14.75" customHeight="1">
      <c r="A428" s="484"/>
      <c r="D428" s="385"/>
      <c r="E428" s="385"/>
      <c r="F428" s="385"/>
      <c r="I428" s="490"/>
    </row>
    <row r="429" spans="1:9" ht="14" customHeight="1">
      <c r="A429" s="484"/>
      <c r="B429" s="485" t="s">
        <v>2699</v>
      </c>
      <c r="C429" s="476"/>
      <c r="D429" s="1263" t="s">
        <v>1240</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c r="A435" s="484"/>
      <c r="B435" s="485" t="s">
        <v>2699</v>
      </c>
      <c r="C435" s="487"/>
      <c r="D435" s="1283" t="s">
        <v>2058</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1" customHeight="1">
      <c r="D465" s="1283"/>
      <c r="E465" s="1283"/>
      <c r="F465" s="1283"/>
      <c r="I465" s="490"/>
    </row>
    <row r="466" spans="1:9">
      <c r="D466" s="446"/>
      <c r="E466" s="446"/>
      <c r="F466" s="446"/>
      <c r="I466" s="490"/>
    </row>
    <row r="467" spans="1:9">
      <c r="A467" s="484"/>
      <c r="B467" s="485" t="s">
        <v>2699</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2699</v>
      </c>
      <c r="C471" s="484"/>
      <c r="D471" s="1283" t="s">
        <v>1197</v>
      </c>
      <c r="E471" s="1283"/>
      <c r="F471" s="1283"/>
      <c r="I471" s="490"/>
    </row>
    <row r="472" spans="1:9">
      <c r="D472" s="1283"/>
      <c r="E472" s="1283"/>
      <c r="F472" s="1283"/>
      <c r="I472" s="490"/>
    </row>
    <row r="473" spans="1:9">
      <c r="D473" s="446"/>
      <c r="E473" s="446"/>
      <c r="F473" s="446"/>
      <c r="I473" s="490"/>
    </row>
    <row r="474" spans="1:9">
      <c r="B474" s="485" t="s">
        <v>2699</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2699</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2699</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2699</v>
      </c>
      <c r="C486" s="402"/>
      <c r="D486" s="1283"/>
      <c r="E486" s="1283"/>
      <c r="F486" s="1283"/>
      <c r="I486" s="490"/>
    </row>
    <row r="487" spans="1:9">
      <c r="A487" s="402"/>
      <c r="C487" s="402"/>
      <c r="D487" s="1283"/>
      <c r="E487" s="1283"/>
      <c r="F487" s="1283"/>
      <c r="I487" s="490"/>
    </row>
    <row r="488" spans="1:9">
      <c r="A488" s="402"/>
      <c r="B488" s="485" t="s">
        <v>2699</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2699</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c r="A499" s="484"/>
      <c r="B499" s="484"/>
      <c r="D499" s="1295" t="s">
        <v>1141</v>
      </c>
      <c r="E499" s="1295"/>
      <c r="F499" s="1295"/>
      <c r="I499" s="490"/>
    </row>
    <row r="500" spans="1:9">
      <c r="A500" s="484"/>
      <c r="B500" s="484"/>
      <c r="D500" s="447"/>
      <c r="I500" s="490"/>
    </row>
    <row r="501" spans="1:9">
      <c r="A501" s="484"/>
      <c r="B501" s="485" t="s">
        <v>2699</v>
      </c>
      <c r="D501" s="1263" t="s">
        <v>1142</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2699</v>
      </c>
      <c r="D504" s="1287" t="s">
        <v>1273</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2699</v>
      </c>
      <c r="D509" s="1284" t="s">
        <v>1143</v>
      </c>
      <c r="E509" s="1284"/>
      <c r="F509" s="1284"/>
      <c r="I509" s="490"/>
    </row>
    <row r="510" spans="1:9">
      <c r="A510" s="484"/>
      <c r="B510" s="484"/>
      <c r="D510" s="446"/>
      <c r="I510" s="490"/>
    </row>
    <row r="511" spans="1:9">
      <c r="A511" s="484"/>
      <c r="B511" s="485" t="s">
        <v>2699</v>
      </c>
      <c r="D511" s="1283" t="s">
        <v>1144</v>
      </c>
      <c r="E511" s="1283"/>
      <c r="F511" s="1283"/>
      <c r="I511" s="490"/>
    </row>
    <row r="512" spans="1:9">
      <c r="A512" s="484"/>
      <c r="D512" s="1283"/>
      <c r="E512" s="1283"/>
      <c r="F512" s="1283"/>
      <c r="I512" s="490"/>
    </row>
    <row r="513" spans="1:9">
      <c r="A513" s="490"/>
      <c r="B513" s="490"/>
      <c r="D513" s="447"/>
      <c r="I513" s="490"/>
    </row>
    <row r="514" spans="1:9">
      <c r="A514" s="490"/>
      <c r="B514" s="485" t="s">
        <v>2699</v>
      </c>
      <c r="D514" s="1284" t="s">
        <v>1145</v>
      </c>
      <c r="E514" s="1284"/>
      <c r="F514" s="1284"/>
      <c r="I514" s="490"/>
    </row>
    <row r="515" spans="1:9">
      <c r="D515" s="446"/>
      <c r="E515" s="446"/>
      <c r="F515" s="446"/>
      <c r="I515" s="490"/>
    </row>
    <row r="516" spans="1:9">
      <c r="B516" s="485" t="s">
        <v>2699</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4" customHeight="1">
      <c r="A527" s="483"/>
      <c r="B527" s="485" t="s">
        <v>2721</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2721</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2699</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4" customHeight="1">
      <c r="A548" s="484"/>
      <c r="B548" s="485" t="s">
        <v>2721</v>
      </c>
      <c r="C548" s="487"/>
      <c r="D548" s="1284" t="s">
        <v>884</v>
      </c>
      <c r="E548" s="1284"/>
      <c r="F548" s="1284"/>
      <c r="I548" s="490"/>
    </row>
    <row r="549" spans="1:9" ht="14" customHeight="1">
      <c r="A549" s="487"/>
      <c r="B549" s="487"/>
      <c r="C549" s="487"/>
      <c r="D549" s="446"/>
      <c r="I549" s="490"/>
    </row>
    <row r="550" spans="1:9">
      <c r="A550" s="484"/>
      <c r="B550" s="485" t="s">
        <v>2721</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2721</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2721</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2721</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2721</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2721</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2721</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c r="A572" s="484"/>
      <c r="B572" s="484"/>
      <c r="C572" s="487"/>
      <c r="E572" s="446"/>
      <c r="F572" s="446"/>
      <c r="I572" s="490"/>
    </row>
    <row r="573" spans="1:9">
      <c r="A573" s="484"/>
      <c r="B573" s="485" t="s">
        <v>2721</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2721</v>
      </c>
      <c r="C578" s="487"/>
      <c r="D578" s="1283" t="s">
        <v>2062</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2721</v>
      </c>
      <c r="D588" s="1287" t="s">
        <v>888</v>
      </c>
      <c r="E588" s="1287"/>
      <c r="F588" s="1287"/>
      <c r="I588" s="490"/>
    </row>
    <row r="589" spans="1:9">
      <c r="A589" s="490"/>
      <c r="B589" s="490"/>
      <c r="D589" s="476"/>
      <c r="I589" s="490"/>
    </row>
    <row r="590" spans="1:9">
      <c r="A590" s="490"/>
      <c r="B590" s="485" t="s">
        <v>2721</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2699</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2721</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2699</v>
      </c>
      <c r="D602" s="1287" t="s">
        <v>1069</v>
      </c>
      <c r="E602" s="1287"/>
      <c r="F602" s="1287"/>
      <c r="I602" s="490"/>
    </row>
    <row r="603" spans="1:9">
      <c r="A603" s="490"/>
      <c r="B603" s="490"/>
      <c r="D603" s="1287"/>
      <c r="E603" s="1287"/>
      <c r="F603" s="1287"/>
      <c r="I603" s="490"/>
    </row>
    <row r="604" spans="1:9">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2721</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2721</v>
      </c>
      <c r="D620" s="1308" t="s">
        <v>1111</v>
      </c>
      <c r="E620" s="1308"/>
      <c r="F620" s="1308"/>
      <c r="I620" s="490"/>
    </row>
    <row r="621" spans="1:9">
      <c r="D621" s="1308"/>
      <c r="E621" s="1308"/>
      <c r="F621" s="1308"/>
      <c r="I621" s="490"/>
    </row>
    <row r="622" spans="1:9">
      <c r="I622" s="490"/>
    </row>
    <row r="623" spans="1:9">
      <c r="B623" s="485" t="s">
        <v>2721</v>
      </c>
      <c r="D623" s="1308" t="s">
        <v>1112</v>
      </c>
      <c r="E623" s="1308"/>
      <c r="F623" s="1308"/>
      <c r="I623" s="490"/>
    </row>
    <row r="624" spans="1:9">
      <c r="C624" s="500"/>
      <c r="D624" s="1308"/>
      <c r="E624" s="1308"/>
      <c r="F624" s="1308"/>
      <c r="I624" s="490"/>
    </row>
    <row r="625" spans="1:9">
      <c r="C625" s="500"/>
      <c r="I625" s="490"/>
    </row>
    <row r="626" spans="1:9">
      <c r="B626" s="485" t="s">
        <v>2699</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2721</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2699</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2699</v>
      </c>
      <c r="C643" s="487"/>
      <c r="D643" s="1283" t="s">
        <v>1225</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2699</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2699</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75" customHeight="1">
      <c r="A657" s="484"/>
      <c r="B657" s="484"/>
      <c r="C657" s="487"/>
      <c r="D657" s="385"/>
      <c r="E657" s="385"/>
      <c r="F657" s="385"/>
      <c r="I657" s="490"/>
    </row>
    <row r="658" spans="1:9" ht="12.75" customHeight="1">
      <c r="A658" s="483"/>
      <c r="B658" s="485" t="s">
        <v>2699</v>
      </c>
      <c r="C658" s="487"/>
      <c r="D658" s="1283" t="s">
        <v>1283</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2699</v>
      </c>
      <c r="C664" s="487"/>
      <c r="D664" s="1283" t="s">
        <v>1282</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2699</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c r="A685" s="484"/>
      <c r="B685" s="485" t="s">
        <v>2699</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2699</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2699</v>
      </c>
      <c r="C694" s="483"/>
      <c r="D694" s="1284" t="s">
        <v>917</v>
      </c>
      <c r="E694" s="1284"/>
      <c r="F694" s="1284"/>
      <c r="H694" s="501"/>
      <c r="I694" s="483"/>
      <c r="J694" s="501"/>
      <c r="K694" s="501"/>
    </row>
    <row r="695" spans="1:11">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2699</v>
      </c>
      <c r="C698" s="483"/>
      <c r="D698" s="1284" t="s">
        <v>2468</v>
      </c>
      <c r="E698" s="1284"/>
      <c r="F698" s="1284"/>
      <c r="H698" s="501"/>
      <c r="I698" s="483"/>
      <c r="J698" s="501"/>
      <c r="K698" s="501"/>
    </row>
    <row r="699" spans="1:11">
      <c r="A699" s="484"/>
      <c r="B699" s="484"/>
      <c r="C699" s="483"/>
      <c r="D699" s="1284" t="s">
        <v>894</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2699</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2699</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2699</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2699</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2699</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2699</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2699</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2699</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4"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c r="A758" s="484"/>
      <c r="B758" s="485" t="s">
        <v>2721</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2699</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2721</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2699</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2699</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2721</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2721</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2699</v>
      </c>
      <c r="C794" s="989"/>
      <c r="D794" s="1316" t="s">
        <v>1758</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2699</v>
      </c>
      <c r="C798" s="989"/>
      <c r="D798" s="1316" t="s">
        <v>1759</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1802</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2699</v>
      </c>
      <c r="C808" s="989"/>
      <c r="D808" s="1316" t="s">
        <v>1760</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2699</v>
      </c>
      <c r="C815" s="989"/>
      <c r="D815" s="1316" t="s">
        <v>1761</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2699</v>
      </c>
      <c r="C822" s="989"/>
      <c r="D822" s="1288" t="s">
        <v>1762</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2721</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2721</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2699</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2699</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2699</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2721</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2721</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2699</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2699</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2699</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2721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2721</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2721</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2699</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2699</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2699</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2699</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2721</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2721</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2699</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2699</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2699</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2699</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2699</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2721</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2721</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2699</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2699</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2699</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2699</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2699</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2699</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2721</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2699</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2699</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2699</v>
      </c>
      <c r="C1062" s="402"/>
      <c r="D1062" s="402" t="s">
        <v>1812</v>
      </c>
      <c r="I1062" s="490"/>
    </row>
    <row r="1063" spans="1:9">
      <c r="A1063" s="402"/>
      <c r="B1063" s="402"/>
      <c r="C1063" s="402"/>
      <c r="I1063" s="490"/>
    </row>
    <row r="1064" spans="1:9">
      <c r="A1064" s="402"/>
      <c r="B1064" s="485" t="s">
        <v>2699</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2721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2721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2699</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2699</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2699</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2699</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2699</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2699</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2699</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2699</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2699</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abSelected="1" zoomScale="115" zoomScaleNormal="115" workbookViewId="0">
      <selection activeCell="AH189" sqref="AH189"/>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36328125" hidden="1" customWidth="1"/>
    <col min="53" max="53" width="7.36328125" hidden="1" customWidth="1"/>
    <col min="54" max="55" width="3.7265625" hidden="1" customWidth="1"/>
    <col min="56" max="56" width="8.26953125" hidden="1" customWidth="1"/>
    <col min="57" max="57" width="8.36328125" hidden="1" customWidth="1"/>
    <col min="58" max="58" width="8.26953125" hidden="1" customWidth="1"/>
    <col min="59" max="59" width="11.26953125" hidden="1" customWidth="1"/>
    <col min="60" max="60" width="3.7265625" hidden="1" customWidth="1"/>
    <col min="61" max="61" width="8.26953125" hidden="1" customWidth="1"/>
    <col min="62" max="16384" width="3.7265625" hidden="1"/>
  </cols>
  <sheetData>
    <row r="1" spans="1:58" ht="13.25" customHeight="1">
      <c r="J1" s="100"/>
      <c r="AS1" s="1031">
        <v>4</v>
      </c>
      <c r="BD1" s="3" t="s">
        <v>2496</v>
      </c>
      <c r="BE1" s="3"/>
      <c r="BF1" s="3"/>
    </row>
    <row r="2" spans="1:58" ht="13.25" customHeight="1">
      <c r="BD2" s="3" t="s">
        <v>2497</v>
      </c>
      <c r="BE2" s="3" t="s">
        <v>2498</v>
      </c>
      <c r="BF2" s="3" t="s">
        <v>2499</v>
      </c>
    </row>
    <row r="3" spans="1:58" ht="13.25" customHeight="1">
      <c r="BD3" s="3" t="s">
        <v>2594</v>
      </c>
      <c r="BE3" t="str">
        <f>AC220</f>
        <v>Balance of Los Angeles County</v>
      </c>
    </row>
    <row r="4" spans="1:58" ht="13.25" customHeight="1">
      <c r="BD4" s="3" t="s">
        <v>2506</v>
      </c>
      <c r="BE4" s="1246"/>
    </row>
    <row r="5" spans="1:58" ht="13.25" customHeight="1">
      <c r="BD5" s="3" t="s">
        <v>2507</v>
      </c>
      <c r="BE5">
        <f>SUMIF($AC$718:$AC$752,"&lt;=20%",$G$718:G$752)</f>
        <v>0</v>
      </c>
      <c r="BF5" s="3" t="s">
        <v>2512</v>
      </c>
    </row>
    <row r="6" spans="1:58" ht="13.25" customHeight="1">
      <c r="BD6" s="3" t="s">
        <v>2508</v>
      </c>
      <c r="BE6" s="1249">
        <f>SUMIF($AC$718:$AC$752,"&lt;=25%",$G$718:G$752)-SUM($BE$5:BE5)</f>
        <v>0</v>
      </c>
    </row>
    <row r="7" spans="1:58" ht="13.25" customHeight="1">
      <c r="BD7" s="1247" t="s">
        <v>2500</v>
      </c>
      <c r="BE7" s="1249">
        <f>SUMIF($AC$718:$AC$752,"&lt;=30%",$G$718:G$752)-SUM($BE$5:BE6)</f>
        <v>23</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8"/>
      <c r="AV8" s="898"/>
      <c r="AW8" s="898"/>
      <c r="AX8" s="898"/>
      <c r="AY8" s="898"/>
      <c r="BD8" s="3" t="s">
        <v>2509</v>
      </c>
      <c r="BE8" s="1249">
        <f>SUMIF($AC$718:$AC$752,"&lt;=35%",$G$718:G$752)-SUM($BE$5:BE7)</f>
        <v>0</v>
      </c>
    </row>
    <row r="9" spans="1:58" ht="13.25" customHeight="1">
      <c r="A9" s="1842" t="s">
        <v>2076</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48" t="s">
        <v>2501</v>
      </c>
      <c r="BE9" s="1249">
        <f>SUMIF($AC$718:$AC$752,"&lt;=40%",$G$718:G$752)-SUM($BE$5:BE8)</f>
        <v>0</v>
      </c>
    </row>
    <row r="10" spans="1:58" ht="13.25" customHeight="1">
      <c r="A10" s="1842" t="s">
        <v>2458</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2510</v>
      </c>
      <c r="BE10" s="1249">
        <f>SUMIF($AC$718:$AC$752,"&lt;=45%",$G$718:G$752)-SUM($BE$5:BE9)</f>
        <v>0</v>
      </c>
    </row>
    <row r="11" spans="1:58" ht="13.25" customHeight="1">
      <c r="A11" s="1842" t="s">
        <v>2604</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47" t="s">
        <v>2502</v>
      </c>
      <c r="BE11" s="1249">
        <f>SUMIF($AC$718:$AC$752,"&lt;=50%",$G$718:G$752)-SUM($BE$5:BE10)</f>
        <v>36</v>
      </c>
    </row>
    <row r="12" spans="1:58" ht="13.25" customHeight="1">
      <c r="A12" s="1843" t="s">
        <v>2610</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2511</v>
      </c>
      <c r="BE12" s="1249">
        <f>SUMIF($AC$718:$AC$752,"&lt;=55%",$G$718:G$752)-SUM($BE$5:BE11)</f>
        <v>0</v>
      </c>
    </row>
    <row r="13" spans="1:58" ht="13.2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51</v>
      </c>
    </row>
    <row r="14" spans="1:58" ht="13.2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103</v>
      </c>
    </row>
    <row r="15" spans="1:58" ht="13.2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25" customHeight="1">
      <c r="A16" s="57" t="s">
        <v>2078</v>
      </c>
      <c r="C16" s="4"/>
      <c r="D16" s="4"/>
      <c r="E16" s="4"/>
      <c r="F16" s="4"/>
      <c r="G16" s="4"/>
      <c r="H16" s="1572" t="s">
        <v>2660</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BD16" s="1248" t="s">
        <v>656</v>
      </c>
      <c r="BE16" s="1249" t="str">
        <f>Application!H18</f>
        <v>Lancaster Family Homes</v>
      </c>
    </row>
    <row r="17" spans="1:58" ht="13.25" customHeight="1">
      <c r="BD17" s="1247" t="s">
        <v>2518</v>
      </c>
      <c r="BE17" s="1249">
        <f>Application!AA934</f>
        <v>0</v>
      </c>
    </row>
    <row r="18" spans="1:58" ht="13.25" customHeight="1">
      <c r="A18" s="57" t="s">
        <v>101</v>
      </c>
      <c r="C18" s="4"/>
      <c r="D18" s="4"/>
      <c r="E18" s="4"/>
      <c r="F18" s="4"/>
      <c r="G18" s="4"/>
      <c r="H18" s="1525" t="s">
        <v>2695</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2519</v>
      </c>
      <c r="BE18" s="1249">
        <f>'CalHFA Addendum'!N11</f>
        <v>0</v>
      </c>
    </row>
    <row r="19" spans="1:58" ht="13.25" customHeight="1">
      <c r="BD19" s="1247" t="s">
        <v>2520</v>
      </c>
      <c r="BE19" s="1249">
        <f>Application!M26</f>
        <v>4194385</v>
      </c>
    </row>
    <row r="20" spans="1:58" ht="13.25" customHeight="1">
      <c r="A20" s="1844" t="s">
        <v>873</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0"/>
      <c r="AV20" s="900"/>
      <c r="AW20" s="900"/>
      <c r="AX20" s="900"/>
      <c r="AY20" s="900"/>
      <c r="BD20" s="1248" t="s">
        <v>2521</v>
      </c>
      <c r="BE20" s="1249">
        <f>Application!M27</f>
        <v>0</v>
      </c>
    </row>
    <row r="21" spans="1:58" ht="13.25" customHeight="1">
      <c r="A21" s="1847" t="s">
        <v>1009</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2522</v>
      </c>
      <c r="BE21" s="1249">
        <f>Application!AM554</f>
        <v>31300000</v>
      </c>
    </row>
    <row r="22" spans="1:58" ht="13.2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115036414</v>
      </c>
      <c r="BF22" s="3" t="s">
        <v>2595</v>
      </c>
    </row>
    <row r="23" spans="1:58" ht="13.2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6600000</v>
      </c>
    </row>
    <row r="24" spans="1:58" ht="13.2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254862</v>
      </c>
    </row>
    <row r="25" spans="1:58" ht="13.2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3.25" customHeight="1">
      <c r="A26" s="4"/>
      <c r="C26" s="4"/>
      <c r="D26" s="4"/>
      <c r="E26" s="4"/>
      <c r="F26" s="4"/>
      <c r="G26" s="4"/>
      <c r="H26" s="4"/>
      <c r="I26" s="4"/>
      <c r="J26" s="4"/>
      <c r="K26" s="4"/>
      <c r="L26" s="4"/>
      <c r="M26" s="1846">
        <f>'Basis &amp; Credits'!AB56</f>
        <v>4194385</v>
      </c>
      <c r="N26" s="1846"/>
      <c r="O26" s="1846"/>
      <c r="P26" s="1846"/>
      <c r="Q26" s="1846"/>
      <c r="R26" s="4" t="s">
        <v>759</v>
      </c>
      <c r="S26" s="4"/>
      <c r="T26" s="4"/>
      <c r="U26" s="4"/>
      <c r="V26" s="4"/>
      <c r="W26" s="4"/>
      <c r="X26" s="4"/>
      <c r="Y26" s="4"/>
      <c r="Z26" s="4"/>
      <c r="AF26" s="4"/>
      <c r="AG26" s="4"/>
      <c r="AH26" s="4"/>
      <c r="AI26" s="4"/>
      <c r="AJ26" s="4"/>
      <c r="AK26" s="4"/>
      <c r="BD26" s="1248" t="s">
        <v>1639</v>
      </c>
      <c r="BE26" s="1249" t="b">
        <f>Application!M356="Yes"</f>
        <v>0</v>
      </c>
    </row>
    <row r="27" spans="1:58" ht="13.25"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1</v>
      </c>
    </row>
    <row r="28" spans="1:58" ht="13.2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25" customHeight="1">
      <c r="A29" s="1540" t="s">
        <v>2147</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2527</v>
      </c>
      <c r="BE29" s="1249" t="b">
        <f>Application!M358="Yes"</f>
        <v>0</v>
      </c>
    </row>
    <row r="30" spans="1:58" ht="13.2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0</v>
      </c>
    </row>
    <row r="31" spans="1:58" ht="13.2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2528</v>
      </c>
      <c r="BE31" s="1249" t="str">
        <f>Application!D211</f>
        <v>Large Family</v>
      </c>
    </row>
    <row r="32" spans="1:58" ht="13.2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25" customHeight="1">
      <c r="A33" s="519" t="s">
        <v>1278</v>
      </c>
      <c r="C33" s="519"/>
      <c r="D33" s="519"/>
      <c r="E33" s="519"/>
      <c r="F33" s="519"/>
      <c r="G33" s="519"/>
      <c r="H33" s="519"/>
      <c r="I33" s="519"/>
      <c r="J33" s="519"/>
      <c r="K33" s="519"/>
      <c r="L33" s="519"/>
      <c r="M33" s="519"/>
      <c r="N33" s="519"/>
      <c r="O33" s="1415" t="s">
        <v>669</v>
      </c>
      <c r="P33" s="1415"/>
      <c r="Q33" s="1845" t="s">
        <v>2148</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47" t="s">
        <v>2596</v>
      </c>
      <c r="BE33" s="1249" t="str">
        <f>Application!D220</f>
        <v>Balance of Los Angeles County</v>
      </c>
    </row>
    <row r="34" spans="1:57" ht="13.25" customHeight="1">
      <c r="A34" s="1540" t="s">
        <v>2149</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2530</v>
      </c>
      <c r="BE34" s="1249">
        <f>Application!I185</f>
        <v>0</v>
      </c>
    </row>
    <row r="35" spans="1:57" ht="13.2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2531</v>
      </c>
      <c r="BE35" s="1249" t="str">
        <f>IF(Application!E187="","",Application!E187)</f>
        <v>SW Corner of Avenue J and East 25th Street</v>
      </c>
    </row>
    <row r="36" spans="1:57" ht="13.2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2532</v>
      </c>
      <c r="BE36" s="1249" t="str">
        <f>Application!I189</f>
        <v>Lancaster</v>
      </c>
    </row>
    <row r="37" spans="1:57" ht="13.2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2533</v>
      </c>
      <c r="BE37" s="1249" t="str">
        <f>Application!T189</f>
        <v>Los Angeles</v>
      </c>
    </row>
    <row r="38" spans="1:57" ht="13.25" customHeight="1">
      <c r="A38" s="3"/>
      <c r="AZ38" s="20"/>
      <c r="BD38" s="1248" t="s">
        <v>2534</v>
      </c>
      <c r="BE38" s="1249">
        <f>Application!I190</f>
        <v>93535</v>
      </c>
    </row>
    <row r="39" spans="1:57" ht="13.2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215</v>
      </c>
    </row>
    <row r="40" spans="1:57" ht="13.2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213</v>
      </c>
    </row>
    <row r="41" spans="1:57" ht="13.2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2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0.59906103286384971</v>
      </c>
    </row>
    <row r="43" spans="1:57" ht="13.2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0.59910068237677228</v>
      </c>
    </row>
    <row r="44" spans="1:57" ht="13.2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535053.08837209304</v>
      </c>
    </row>
    <row r="45" spans="1:57" ht="13.2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172</v>
      </c>
    </row>
    <row r="46" spans="1:57" ht="13.2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0</v>
      </c>
    </row>
    <row r="47" spans="1:57" ht="13.2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3.2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Pacific Housing, Inc.</v>
      </c>
    </row>
    <row r="49" spans="1:57" ht="13.2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Mat Eland</v>
      </c>
    </row>
    <row r="50" spans="1:57" ht="13.2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3.2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Lancaster Family AGP LLC</v>
      </c>
    </row>
    <row r="52" spans="1:57" ht="13.2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t="str">
        <f>Application!M254</f>
        <v>Brandon Hodge</v>
      </c>
    </row>
    <row r="53" spans="1:57" ht="13.2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Lincoln Avenue Capital LLC</v>
      </c>
    </row>
    <row r="54" spans="1:57" ht="13.2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3.2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3.2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3.2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Lincoln Avenue Capital LLC</v>
      </c>
    </row>
    <row r="58" spans="1:57" ht="13.2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401 Wilshire Blvd, 11th Floor</v>
      </c>
    </row>
    <row r="59" spans="1:57" ht="13.2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Santa Monica, CA 90401</v>
      </c>
    </row>
    <row r="60" spans="1:57" ht="13.2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Brandon Hodge</v>
      </c>
    </row>
    <row r="61" spans="1:57" ht="13.2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bhodge@lincolnavenue.com</v>
      </c>
    </row>
    <row r="62" spans="1:57" ht="13.2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0.86000200000000004</v>
      </c>
    </row>
    <row r="63" spans="1:57" ht="13.2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2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25" customHeight="1">
      <c r="A65" s="1549" t="s">
        <v>2156</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2593</v>
      </c>
      <c r="BE65" s="1249" t="str">
        <f>Z205</f>
        <v>(select)</v>
      </c>
    </row>
    <row r="66" spans="1:57" ht="13.2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2558</v>
      </c>
      <c r="BE66" s="1249" t="b">
        <f>Application!Z205="State Farmworker Credit"</f>
        <v>0</v>
      </c>
    </row>
    <row r="67" spans="1:57" ht="13.2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2559</v>
      </c>
      <c r="BE67" s="1249" t="b">
        <f>Application!O33="Yes"</f>
        <v>0</v>
      </c>
    </row>
    <row r="68" spans="1:57" ht="13.2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25" customHeight="1">
      <c r="A69" s="1549" t="s">
        <v>2157</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2561</v>
      </c>
      <c r="BE69" s="1249" t="str">
        <f>Application!W700</f>
        <v>California Municipal Finance Authority</v>
      </c>
    </row>
    <row r="70" spans="1:57" ht="13.2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2562</v>
      </c>
      <c r="BE70" s="1249">
        <f ca="1">'Points System'!AF821</f>
        <v>119</v>
      </c>
    </row>
    <row r="71" spans="1:57" ht="13.2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25" customHeight="1">
      <c r="A72" s="1540" t="s">
        <v>2158</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2564</v>
      </c>
      <c r="BE72" s="1249">
        <f>'Points System'!AF805</f>
        <v>10</v>
      </c>
    </row>
    <row r="73" spans="1:57" ht="13.2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2565</v>
      </c>
      <c r="BE73" s="1249">
        <f ca="1">'Points System'!AF806</f>
        <v>20</v>
      </c>
    </row>
    <row r="74" spans="1:57" ht="13.2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25" customHeight="1">
      <c r="A75" s="1548" t="s">
        <v>2159</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2567</v>
      </c>
      <c r="BE75" s="1249">
        <f>'Points System'!AF808</f>
        <v>10</v>
      </c>
    </row>
    <row r="76" spans="1:57" ht="13.2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2568</v>
      </c>
      <c r="BE76" s="1249">
        <f>'Points System'!AF811</f>
        <v>10</v>
      </c>
    </row>
    <row r="77" spans="1:57" ht="13.2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2569</v>
      </c>
      <c r="BE77" s="1249">
        <f>'Points System'!AF812</f>
        <v>8</v>
      </c>
    </row>
    <row r="78" spans="1:57" ht="13.2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25" customHeight="1">
      <c r="A79" s="1549" t="s">
        <v>2160</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2571</v>
      </c>
      <c r="BE79" s="1249">
        <f>'Points System'!AF815</f>
        <v>9</v>
      </c>
    </row>
    <row r="80" spans="1:57" ht="13.2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2572</v>
      </c>
      <c r="BE80" s="1249">
        <f>'Points System'!AF817</f>
        <v>10</v>
      </c>
    </row>
    <row r="81" spans="1:57" ht="13.2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2573</v>
      </c>
      <c r="BE81" s="1249">
        <f>'Points System'!AF818</f>
        <v>12</v>
      </c>
    </row>
    <row r="82" spans="1:57" ht="13.2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2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2.2413889456035196</v>
      </c>
    </row>
    <row r="84" spans="1:57" ht="13.2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City of Lancaster</v>
      </c>
    </row>
    <row r="85" spans="1:57" ht="13.2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Elizabeth Brubaker</v>
      </c>
    </row>
    <row r="86" spans="1:57" ht="13.2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Director</v>
      </c>
    </row>
    <row r="87" spans="1:57" ht="13.2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44933 Fern Ave.</v>
      </c>
    </row>
    <row r="88" spans="1:57" ht="13.2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Lancaster</v>
      </c>
    </row>
    <row r="89" spans="1:57" ht="13.25" customHeight="1">
      <c r="A89" s="1558" t="s">
        <v>2163</v>
      </c>
      <c r="B89" s="1558"/>
      <c r="C89" s="1558"/>
      <c r="D89" s="1558"/>
      <c r="E89" s="1558"/>
      <c r="F89" s="1558"/>
      <c r="G89" s="1558"/>
      <c r="H89" s="1558"/>
      <c r="I89" s="1558"/>
      <c r="J89" s="1558"/>
      <c r="K89" s="1558"/>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558"/>
      <c r="AM89" s="1558"/>
      <c r="AN89" s="1558"/>
      <c r="AO89" s="1558"/>
      <c r="AP89" s="1558"/>
      <c r="AQ89" s="1558"/>
      <c r="AR89" s="1558"/>
      <c r="AS89" s="1558"/>
      <c r="AT89" s="1558"/>
      <c r="AU89" s="17"/>
      <c r="AV89" s="17"/>
      <c r="AW89" s="17"/>
      <c r="AX89" s="17"/>
      <c r="AY89" s="17"/>
      <c r="AZ89" s="20"/>
      <c r="BD89" s="1247" t="s">
        <v>2581</v>
      </c>
      <c r="BE89" s="1249">
        <f>Application!O158</f>
        <v>93534</v>
      </c>
    </row>
    <row r="90" spans="1:57" ht="13.25" customHeight="1">
      <c r="A90" s="1558"/>
      <c r="B90" s="1558"/>
      <c r="C90" s="1558"/>
      <c r="D90" s="1558"/>
      <c r="E90" s="1558"/>
      <c r="F90" s="1558"/>
      <c r="G90" s="1558"/>
      <c r="H90" s="1558"/>
      <c r="I90" s="1558"/>
      <c r="J90" s="1558"/>
      <c r="K90" s="1558"/>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558"/>
      <c r="AM90" s="1558"/>
      <c r="AN90" s="1558"/>
      <c r="AO90" s="1558"/>
      <c r="AP90" s="1558"/>
      <c r="AQ90" s="1558"/>
      <c r="AR90" s="1558"/>
      <c r="AS90" s="1558"/>
      <c r="AT90" s="1558"/>
      <c r="AU90" s="17"/>
      <c r="AV90" s="17"/>
      <c r="AW90" s="17"/>
      <c r="AX90" s="17"/>
      <c r="AY90" s="17"/>
      <c r="AZ90" s="20"/>
      <c r="BD90" s="1248" t="s">
        <v>2582</v>
      </c>
      <c r="BE90" s="1249" t="str">
        <f>Application!H16</f>
        <v>Lancaster Family Homes LP</v>
      </c>
    </row>
    <row r="91" spans="1:57" ht="13.2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401 Wilshire Blvd, 11th Floor</v>
      </c>
    </row>
    <row r="92" spans="1:57" ht="13.25" customHeight="1">
      <c r="A92" s="1548" t="s">
        <v>2164</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2584</v>
      </c>
      <c r="BE92" s="1249" t="str">
        <f>Application!M234</f>
        <v>Santa Monica</v>
      </c>
    </row>
    <row r="93" spans="1:57" ht="13.2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2585</v>
      </c>
      <c r="BE93" s="1249" t="str">
        <f>Application!W234</f>
        <v>CA</v>
      </c>
    </row>
    <row r="94" spans="1:57" ht="13.2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2586</v>
      </c>
      <c r="BE94" s="1249">
        <f>Application!AC234</f>
        <v>90401</v>
      </c>
    </row>
    <row r="95" spans="1:57" ht="13.2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2587</v>
      </c>
      <c r="BE95" s="1249" t="str">
        <f>Application!M235</f>
        <v>Brandon Hodge</v>
      </c>
    </row>
    <row r="96" spans="1:57" ht="13.2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2588</v>
      </c>
      <c r="BE96" s="1249" t="str">
        <f>Application!M237</f>
        <v>bhodge@lincolnavenue.com</v>
      </c>
    </row>
    <row r="97" spans="1:57" ht="13.2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2589</v>
      </c>
      <c r="BE97" s="1249" t="str">
        <f>Application!M248</f>
        <v>meland@pacifichousing.org</v>
      </c>
    </row>
    <row r="98" spans="1:57" ht="13.2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2590</v>
      </c>
      <c r="BE98" s="1249" t="str">
        <f>Application!M256</f>
        <v>bhodge@lincolnavenue.com</v>
      </c>
    </row>
    <row r="99" spans="1:57" ht="13.2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25" customHeight="1">
      <c r="A100" s="1559" t="s">
        <v>2165</v>
      </c>
      <c r="B100" s="1559"/>
      <c r="C100" s="1559"/>
      <c r="D100" s="1559"/>
      <c r="E100" s="1559"/>
      <c r="F100" s="1559"/>
      <c r="G100" s="1559"/>
      <c r="H100" s="1559"/>
      <c r="I100" s="1559"/>
      <c r="J100" s="1559"/>
      <c r="K100" s="1559"/>
      <c r="L100" s="1559"/>
      <c r="M100" s="1559"/>
      <c r="N100" s="1559"/>
      <c r="O100" s="1559"/>
      <c r="P100" s="1559"/>
      <c r="Q100" s="1559"/>
      <c r="R100" s="1559"/>
      <c r="S100" s="1559"/>
      <c r="T100" s="1559"/>
      <c r="U100" s="1559"/>
      <c r="V100" s="1559"/>
      <c r="W100" s="1559"/>
      <c r="X100" s="1559"/>
      <c r="Y100" s="1559"/>
      <c r="Z100" s="1559"/>
      <c r="AA100" s="1559"/>
      <c r="AB100" s="1559"/>
      <c r="AC100" s="1559"/>
      <c r="AD100" s="1559"/>
      <c r="AE100" s="1559"/>
      <c r="AF100" s="1559"/>
      <c r="AG100" s="1559"/>
      <c r="AH100" s="1559"/>
      <c r="AI100" s="1559"/>
      <c r="AJ100" s="1559"/>
      <c r="AK100" s="1559"/>
      <c r="AL100" s="1559"/>
      <c r="AM100" s="1559"/>
      <c r="AN100" s="1559"/>
      <c r="AO100" s="1559"/>
      <c r="AP100" s="1559"/>
      <c r="AQ100" s="1559"/>
      <c r="AR100" s="1559"/>
      <c r="AS100" s="1559"/>
      <c r="AT100" s="1559"/>
      <c r="AU100" s="20"/>
      <c r="AV100" s="20"/>
      <c r="AW100" s="20"/>
      <c r="AX100" s="20"/>
      <c r="AY100" s="20"/>
      <c r="AZ100" s="20"/>
      <c r="BD100" s="1248" t="s">
        <v>2592</v>
      </c>
      <c r="BE100" s="1249" t="str">
        <f>Application!L279</f>
        <v>bhodge@lincolnavenue.com</v>
      </c>
    </row>
    <row r="101" spans="1:57" ht="13.25" customHeight="1">
      <c r="A101" s="1559"/>
      <c r="B101" s="1559"/>
      <c r="C101" s="1559"/>
      <c r="D101" s="1559"/>
      <c r="E101" s="1559"/>
      <c r="F101" s="1559"/>
      <c r="G101" s="1559"/>
      <c r="H101" s="1559"/>
      <c r="I101" s="1559"/>
      <c r="J101" s="1559"/>
      <c r="K101" s="1559"/>
      <c r="L101" s="1559"/>
      <c r="M101" s="1559"/>
      <c r="N101" s="1559"/>
      <c r="O101" s="1559"/>
      <c r="P101" s="1559"/>
      <c r="Q101" s="1559"/>
      <c r="R101" s="1559"/>
      <c r="S101" s="1559"/>
      <c r="T101" s="1559"/>
      <c r="U101" s="1559"/>
      <c r="V101" s="1559"/>
      <c r="W101" s="1559"/>
      <c r="X101" s="1559"/>
      <c r="Y101" s="1559"/>
      <c r="Z101" s="1559"/>
      <c r="AA101" s="1559"/>
      <c r="AB101" s="1559"/>
      <c r="AC101" s="1559"/>
      <c r="AD101" s="1559"/>
      <c r="AE101" s="1559"/>
      <c r="AF101" s="1559"/>
      <c r="AG101" s="1559"/>
      <c r="AH101" s="1559"/>
      <c r="AI101" s="1559"/>
      <c r="AJ101" s="1559"/>
      <c r="AK101" s="1559"/>
      <c r="AL101" s="1559"/>
      <c r="AM101" s="1559"/>
      <c r="AN101" s="1559"/>
      <c r="AO101" s="1559"/>
      <c r="AP101" s="1559"/>
      <c r="AQ101" s="1559"/>
      <c r="AR101" s="1559"/>
      <c r="AS101" s="1559"/>
      <c r="AT101" s="1559"/>
      <c r="AU101" s="20"/>
      <c r="AV101" s="20"/>
      <c r="AW101" s="20"/>
      <c r="AX101" s="20"/>
      <c r="AY101" s="20"/>
      <c r="AZ101" s="20"/>
      <c r="BD101" s="3" t="s">
        <v>2597</v>
      </c>
      <c r="BE101">
        <f>'Sources and Uses Budget'!C105</f>
        <v>115036414</v>
      </c>
    </row>
    <row r="102" spans="1:57" ht="13.25" customHeight="1">
      <c r="A102" s="1559"/>
      <c r="B102" s="1559"/>
      <c r="C102" s="1559"/>
      <c r="D102" s="1559"/>
      <c r="E102" s="1559"/>
      <c r="F102" s="1559"/>
      <c r="G102" s="1559"/>
      <c r="H102" s="1559"/>
      <c r="I102" s="1559"/>
      <c r="J102" s="1559"/>
      <c r="K102" s="1559"/>
      <c r="L102" s="1559"/>
      <c r="M102" s="1559"/>
      <c r="N102" s="1559"/>
      <c r="O102" s="1559"/>
      <c r="P102" s="1559"/>
      <c r="Q102" s="1559"/>
      <c r="R102" s="1559"/>
      <c r="S102" s="1559"/>
      <c r="T102" s="1559"/>
      <c r="U102" s="1559"/>
      <c r="V102" s="1559"/>
      <c r="W102" s="1559"/>
      <c r="X102" s="1559"/>
      <c r="Y102" s="1559"/>
      <c r="Z102" s="1559"/>
      <c r="AA102" s="1559"/>
      <c r="AB102" s="1559"/>
      <c r="AC102" s="1559"/>
      <c r="AD102" s="1559"/>
      <c r="AE102" s="1559"/>
      <c r="AF102" s="1559"/>
      <c r="AG102" s="1559"/>
      <c r="AH102" s="1559"/>
      <c r="AI102" s="1559"/>
      <c r="AJ102" s="1559"/>
      <c r="AK102" s="1559"/>
      <c r="AL102" s="1559"/>
      <c r="AM102" s="1559"/>
      <c r="AN102" s="1559"/>
      <c r="AO102" s="1559"/>
      <c r="AP102" s="1559"/>
      <c r="AQ102" s="1559"/>
      <c r="AR102" s="1559"/>
      <c r="AS102" s="1559"/>
      <c r="AT102" s="1559"/>
      <c r="AU102" s="20"/>
      <c r="AV102" s="20"/>
      <c r="AW102" s="20"/>
      <c r="AX102" s="20"/>
      <c r="AY102" s="20"/>
      <c r="AZ102" s="20"/>
      <c r="BD102" s="3" t="s">
        <v>2598</v>
      </c>
      <c r="BE102" t="b">
        <f>T197="Yes"</f>
        <v>0</v>
      </c>
    </row>
    <row r="103" spans="1:57" ht="13.25" customHeight="1">
      <c r="A103" s="1559"/>
      <c r="B103" s="1559"/>
      <c r="C103" s="1559"/>
      <c r="D103" s="1559"/>
      <c r="E103" s="1559"/>
      <c r="F103" s="1559"/>
      <c r="G103" s="1559"/>
      <c r="H103" s="1559"/>
      <c r="I103" s="1559"/>
      <c r="J103" s="1559"/>
      <c r="K103" s="1559"/>
      <c r="L103" s="1559"/>
      <c r="M103" s="1559"/>
      <c r="N103" s="1559"/>
      <c r="O103" s="1559"/>
      <c r="P103" s="1559"/>
      <c r="Q103" s="1559"/>
      <c r="R103" s="1559"/>
      <c r="S103" s="1559"/>
      <c r="T103" s="1559"/>
      <c r="U103" s="1559"/>
      <c r="V103" s="1559"/>
      <c r="W103" s="1559"/>
      <c r="X103" s="1559"/>
      <c r="Y103" s="1559"/>
      <c r="Z103" s="1559"/>
      <c r="AA103" s="1559"/>
      <c r="AB103" s="1559"/>
      <c r="AC103" s="1559"/>
      <c r="AD103" s="1559"/>
      <c r="AE103" s="1559"/>
      <c r="AF103" s="1559"/>
      <c r="AG103" s="1559"/>
      <c r="AH103" s="1559"/>
      <c r="AI103" s="1559"/>
      <c r="AJ103" s="1559"/>
      <c r="AK103" s="1559"/>
      <c r="AL103" s="1559"/>
      <c r="AM103" s="1559"/>
      <c r="AN103" s="1559"/>
      <c r="AO103" s="1559"/>
      <c r="AP103" s="1559"/>
      <c r="AQ103" s="1559"/>
      <c r="AR103" s="1559"/>
      <c r="AS103" s="1559"/>
      <c r="AT103" s="1559"/>
      <c r="AU103" s="20"/>
      <c r="AV103" s="20"/>
      <c r="AW103" s="20"/>
      <c r="AX103" s="20"/>
      <c r="AY103" s="20"/>
      <c r="BD103" t="s">
        <v>2175</v>
      </c>
      <c r="BE103" s="1249" t="b">
        <f>T199="Yes"</f>
        <v>0</v>
      </c>
    </row>
    <row r="104" spans="1:57" ht="13.2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25" customHeight="1">
      <c r="A105" s="1559" t="s">
        <v>2166</v>
      </c>
      <c r="B105" s="1559"/>
      <c r="C105" s="1559"/>
      <c r="D105" s="1559"/>
      <c r="E105" s="1559"/>
      <c r="F105" s="1559"/>
      <c r="G105" s="1559"/>
      <c r="H105" s="1559"/>
      <c r="I105" s="1559"/>
      <c r="J105" s="1559"/>
      <c r="K105" s="1559"/>
      <c r="L105" s="1559"/>
      <c r="M105" s="1559"/>
      <c r="N105" s="1559"/>
      <c r="O105" s="1559"/>
      <c r="P105" s="1559"/>
      <c r="Q105" s="1559"/>
      <c r="R105" s="1559"/>
      <c r="S105" s="1559"/>
      <c r="T105" s="1559"/>
      <c r="U105" s="1559"/>
      <c r="V105" s="1559"/>
      <c r="W105" s="1559"/>
      <c r="X105" s="1559"/>
      <c r="Y105" s="1559"/>
      <c r="Z105" s="1559"/>
      <c r="AA105" s="1559"/>
      <c r="AB105" s="1559"/>
      <c r="AC105" s="1559"/>
      <c r="AD105" s="1559"/>
      <c r="AE105" s="1559"/>
      <c r="AF105" s="1559"/>
      <c r="AG105" s="1559"/>
      <c r="AH105" s="1559"/>
      <c r="AI105" s="1559"/>
      <c r="AJ105" s="1559"/>
      <c r="AK105" s="1559"/>
      <c r="AL105" s="1559"/>
      <c r="AM105" s="1559"/>
      <c r="AN105" s="1559"/>
      <c r="AO105" s="1559"/>
      <c r="AP105" s="1559"/>
      <c r="AQ105" s="1559"/>
      <c r="AR105" s="1559"/>
      <c r="AS105" s="1559"/>
      <c r="AT105" s="1559"/>
      <c r="AU105" s="20"/>
      <c r="AV105" s="20"/>
      <c r="AW105" s="20"/>
      <c r="AX105" s="20"/>
      <c r="AY105" s="20"/>
    </row>
    <row r="106" spans="1:57" ht="13.25" customHeight="1">
      <c r="A106" s="1559"/>
      <c r="B106" s="1559"/>
      <c r="C106" s="1559"/>
      <c r="D106" s="1559"/>
      <c r="E106" s="1559"/>
      <c r="F106" s="1559"/>
      <c r="G106" s="1559"/>
      <c r="H106" s="1559"/>
      <c r="I106" s="1559"/>
      <c r="J106" s="1559"/>
      <c r="K106" s="1559"/>
      <c r="L106" s="1559"/>
      <c r="M106" s="1559"/>
      <c r="N106" s="1559"/>
      <c r="O106" s="1559"/>
      <c r="P106" s="1559"/>
      <c r="Q106" s="1559"/>
      <c r="R106" s="1559"/>
      <c r="S106" s="1559"/>
      <c r="T106" s="1559"/>
      <c r="U106" s="1559"/>
      <c r="V106" s="1559"/>
      <c r="W106" s="1559"/>
      <c r="X106" s="1559"/>
      <c r="Y106" s="1559"/>
      <c r="Z106" s="1559"/>
      <c r="AA106" s="1559"/>
      <c r="AB106" s="1559"/>
      <c r="AC106" s="1559"/>
      <c r="AD106" s="1559"/>
      <c r="AE106" s="1559"/>
      <c r="AF106" s="1559"/>
      <c r="AG106" s="1559"/>
      <c r="AH106" s="1559"/>
      <c r="AI106" s="1559"/>
      <c r="AJ106" s="1559"/>
      <c r="AK106" s="1559"/>
      <c r="AL106" s="1559"/>
      <c r="AM106" s="1559"/>
      <c r="AN106" s="1559"/>
      <c r="AO106" s="1559"/>
      <c r="AP106" s="1559"/>
      <c r="AQ106" s="1559"/>
      <c r="AR106" s="1559"/>
      <c r="AS106" s="1559"/>
      <c r="AT106" s="1559"/>
      <c r="AU106" s="20"/>
      <c r="AV106" s="20"/>
      <c r="AW106" s="20"/>
      <c r="AX106" s="20"/>
      <c r="AY106" s="20"/>
    </row>
    <row r="107" spans="1:57" ht="13.2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2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2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2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2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2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25" customHeight="1">
      <c r="A113" s="289"/>
      <c r="C113" s="3" t="s">
        <v>181</v>
      </c>
      <c r="G113" s="1552"/>
      <c r="H113" s="1552"/>
      <c r="I113" s="3" t="s">
        <v>182</v>
      </c>
      <c r="L113" s="1552"/>
      <c r="M113" s="1552"/>
      <c r="N113" s="1552"/>
      <c r="O113" s="1552"/>
      <c r="P113" s="1566" t="s">
        <v>2239</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2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25" customHeight="1">
      <c r="A115" s="91"/>
      <c r="C115" s="1553"/>
      <c r="D115" s="1553"/>
      <c r="E115" s="1553"/>
      <c r="F115" s="1553"/>
      <c r="G115" s="1553"/>
      <c r="H115" s="1553"/>
      <c r="I115" s="1553"/>
      <c r="J115" s="1553"/>
      <c r="K115" s="155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2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25" customHeight="1">
      <c r="A117" s="91"/>
      <c r="B117" s="22"/>
      <c r="C117" s="22"/>
      <c r="X117" s="3" t="s">
        <v>628</v>
      </c>
      <c r="Y117" s="1552"/>
      <c r="Z117" s="1552"/>
      <c r="AA117" s="1552"/>
      <c r="AB117" s="1552"/>
      <c r="AC117" s="1552"/>
      <c r="AD117" s="1552"/>
      <c r="AE117" s="1552"/>
      <c r="AF117" s="1552"/>
      <c r="AG117" s="1552"/>
      <c r="AH117" s="1552"/>
      <c r="AI117" s="1552"/>
      <c r="AJ117" s="1552"/>
      <c r="AK117" s="1552"/>
    </row>
    <row r="118" spans="1:117" ht="13.25" customHeight="1">
      <c r="X118" s="3"/>
      <c r="Y118" s="3"/>
      <c r="Z118" s="3" t="s">
        <v>629</v>
      </c>
      <c r="AA118" s="3"/>
      <c r="AB118" s="3"/>
      <c r="AC118" s="3"/>
      <c r="AD118" s="3"/>
      <c r="AE118" s="3"/>
      <c r="AF118" s="3"/>
      <c r="AG118" s="3"/>
      <c r="AH118" s="3"/>
      <c r="AI118" s="3"/>
      <c r="AJ118" s="3"/>
      <c r="AK118" s="3"/>
    </row>
    <row r="119" spans="1:117" ht="13.2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5" customHeight="1">
      <c r="A120" s="91"/>
      <c r="B120" s="3"/>
      <c r="P120" s="3"/>
      <c r="Q120" s="3"/>
      <c r="R120" s="3"/>
      <c r="S120" s="3"/>
      <c r="T120" s="3"/>
      <c r="U120" s="3"/>
      <c r="V120" s="3"/>
      <c r="W120" s="3"/>
      <c r="X120" s="3"/>
      <c r="Y120" s="1552"/>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3.2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9" t="s">
        <v>469</v>
      </c>
      <c r="CV122" s="1700"/>
      <c r="CW122" s="14"/>
      <c r="CX122" s="14" t="s">
        <v>634</v>
      </c>
      <c r="CY122" s="14"/>
      <c r="CZ122" s="14"/>
      <c r="DA122" s="14"/>
      <c r="DB122" s="14"/>
      <c r="DC122" s="14"/>
      <c r="DD122" s="14"/>
      <c r="DE122" s="14"/>
      <c r="DF122" s="14"/>
      <c r="DG122" s="1696" t="str">
        <f>T189</f>
        <v>Los Angeles</v>
      </c>
      <c r="DH122" s="1697"/>
      <c r="DI122" s="1697"/>
      <c r="DJ122" s="1697"/>
      <c r="DK122" s="1697"/>
      <c r="DL122" s="1697"/>
      <c r="DM122" s="1698"/>
    </row>
    <row r="123" spans="1:117" ht="13.25" customHeight="1">
      <c r="A123" s="3"/>
      <c r="B123" s="3"/>
      <c r="T123" s="3"/>
      <c r="U123" s="3"/>
      <c r="V123" s="3"/>
      <c r="W123" s="3"/>
      <c r="X123" s="3"/>
      <c r="Y123" s="1552"/>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3.2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2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2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2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25" customHeight="1">
      <c r="A128" s="354"/>
      <c r="AL128" s="354"/>
      <c r="AM128" s="354"/>
      <c r="AN128" s="354"/>
      <c r="AO128" s="354"/>
      <c r="AP128" s="354"/>
      <c r="AQ128" s="354"/>
      <c r="AR128" s="354"/>
      <c r="AS128" s="354"/>
      <c r="AT128" s="354"/>
      <c r="AU128" s="354"/>
      <c r="AV128" s="354"/>
      <c r="AW128" s="354"/>
      <c r="AX128" s="354"/>
      <c r="AY128" s="354"/>
    </row>
    <row r="129" spans="1:51" ht="13.2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2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25" customHeight="1">
      <c r="A133" s="3"/>
      <c r="W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2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2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2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2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2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2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2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2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2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25" customHeight="1">
      <c r="BM152">
        <v>4</v>
      </c>
      <c r="BN152" s="3" t="s">
        <v>2464</v>
      </c>
    </row>
    <row r="153" spans="1:108" ht="13.25" customHeight="1">
      <c r="D153" t="s">
        <v>645</v>
      </c>
      <c r="O153" s="1525" t="s">
        <v>2613</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2466</v>
      </c>
      <c r="CR153" s="31" t="s">
        <v>2599</v>
      </c>
      <c r="CS153" s="32"/>
      <c r="CT153" s="32"/>
      <c r="CU153" s="32"/>
      <c r="CV153" s="32"/>
      <c r="CW153" s="32"/>
      <c r="CX153" s="14"/>
      <c r="CY153" s="31" t="s">
        <v>2600</v>
      </c>
      <c r="CZ153" s="14"/>
      <c r="DA153" s="14"/>
      <c r="DB153" s="14"/>
      <c r="DC153" s="14"/>
      <c r="DD153" s="14"/>
    </row>
    <row r="154" spans="1:108" ht="13.25" customHeight="1">
      <c r="D154" s="303" t="s">
        <v>440</v>
      </c>
      <c r="O154" s="1537" t="s">
        <v>2614</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2467</v>
      </c>
      <c r="CR154" s="31"/>
      <c r="CS154" s="32"/>
      <c r="CT154" s="32"/>
      <c r="CU154" s="32"/>
      <c r="CV154" s="32"/>
      <c r="CW154" s="32"/>
      <c r="CX154" s="14"/>
      <c r="CY154" s="31"/>
      <c r="CZ154" s="14"/>
      <c r="DA154" s="14"/>
      <c r="DB154" s="14"/>
      <c r="DC154" s="14"/>
      <c r="DD154" s="14"/>
    </row>
    <row r="155" spans="1:108" ht="13.25" customHeight="1">
      <c r="D155" s="8" t="s">
        <v>441</v>
      </c>
      <c r="F155" s="8"/>
      <c r="G155" s="8"/>
      <c r="H155" s="8"/>
      <c r="I155" s="8"/>
      <c r="J155" s="8"/>
      <c r="K155" s="8"/>
      <c r="L155" s="8"/>
      <c r="M155" s="8"/>
      <c r="N155" s="8"/>
      <c r="O155" s="1535" t="s">
        <v>2615</v>
      </c>
      <c r="P155" s="1536"/>
      <c r="Q155" s="1536"/>
      <c r="R155" s="1536"/>
      <c r="S155" s="1536"/>
      <c r="T155" s="1536"/>
      <c r="U155" s="1536"/>
      <c r="V155" s="1536"/>
      <c r="W155" s="1536"/>
      <c r="X155" s="1536"/>
      <c r="Y155" s="1536"/>
      <c r="Z155" s="1536"/>
      <c r="AA155" s="1536"/>
      <c r="AB155" s="1536"/>
      <c r="AC155" s="1536"/>
      <c r="AD155" s="1536"/>
      <c r="AE155" s="1536"/>
      <c r="AF155" s="1536"/>
      <c r="AG155" s="1536"/>
      <c r="AH155" s="1536"/>
      <c r="BM155">
        <v>7</v>
      </c>
      <c r="BN155" s="3" t="s">
        <v>591</v>
      </c>
      <c r="CR155" s="31"/>
      <c r="CS155" s="32"/>
      <c r="CT155" s="32"/>
      <c r="CU155" s="32"/>
      <c r="CV155" s="32"/>
      <c r="CW155" s="32"/>
      <c r="CX155" s="14"/>
      <c r="CY155" s="31"/>
      <c r="CZ155" s="14"/>
      <c r="DA155" s="14"/>
      <c r="DB155" s="14"/>
      <c r="DC155" s="14"/>
      <c r="DD155" s="14"/>
    </row>
    <row r="156" spans="1:108" ht="13.25" customHeight="1">
      <c r="D156" t="s">
        <v>313</v>
      </c>
      <c r="O156" s="1407"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25" customHeight="1">
      <c r="D157" t="s">
        <v>314</v>
      </c>
      <c r="O157" s="1525" t="s">
        <v>2612</v>
      </c>
      <c r="P157" s="1528"/>
      <c r="Q157" s="1528"/>
      <c r="R157" s="1528"/>
      <c r="S157" s="1528"/>
      <c r="T157" s="1528"/>
      <c r="U157" s="1528"/>
      <c r="V157" s="1528"/>
      <c r="W157" s="1528"/>
      <c r="X157" s="152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25" customHeight="1">
      <c r="D158" t="s">
        <v>315</v>
      </c>
      <c r="O158" s="1562">
        <v>93534</v>
      </c>
      <c r="P158" s="1562"/>
      <c r="Q158" s="1562"/>
      <c r="R158" s="156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25" customHeight="1" thickBot="1">
      <c r="D159" t="s">
        <v>316</v>
      </c>
      <c r="O159" s="1557">
        <v>6617235878</v>
      </c>
      <c r="P159" s="1557"/>
      <c r="Q159" s="1557"/>
      <c r="R159" s="1557"/>
      <c r="S159" s="1557"/>
      <c r="T159" s="1557"/>
      <c r="V159" s="97" t="s">
        <v>271</v>
      </c>
      <c r="W159" s="1563"/>
      <c r="X159" s="156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25" customHeight="1">
      <c r="D160" t="s">
        <v>317</v>
      </c>
      <c r="O160" s="1557">
        <v>6617236210</v>
      </c>
      <c r="P160" s="1557"/>
      <c r="Q160" s="1557"/>
      <c r="R160" s="1557"/>
      <c r="S160" s="1557"/>
      <c r="T160" s="155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25" customHeight="1">
      <c r="D161" t="s">
        <v>318</v>
      </c>
      <c r="O161" s="1544" t="s">
        <v>2617</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2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2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25" customHeight="1">
      <c r="C164" s="27"/>
      <c r="D164" s="1554" t="s">
        <v>2216</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2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2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2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2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25" customHeight="1">
      <c r="A169" s="1539" t="s">
        <v>539</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2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2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2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25"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25"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25" customHeight="1">
      <c r="C175" s="8"/>
      <c r="D175" s="3" t="s">
        <v>322</v>
      </c>
      <c r="O175" s="27"/>
      <c r="U175" s="1415" t="s">
        <v>669</v>
      </c>
      <c r="V175" s="1415"/>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25" customHeight="1">
      <c r="C176" s="8"/>
      <c r="D176" s="26"/>
      <c r="E176" t="s">
        <v>304</v>
      </c>
      <c r="O176" s="27"/>
      <c r="P176" t="s">
        <v>2079</v>
      </c>
      <c r="T176" s="27" t="s">
        <v>305</v>
      </c>
      <c r="U176" s="1511"/>
      <c r="V176" s="1511"/>
      <c r="W176" s="1" t="s">
        <v>306</v>
      </c>
      <c r="X176" s="1570"/>
      <c r="Y176" s="1570"/>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25" customHeight="1">
      <c r="C177" s="24"/>
      <c r="D177" t="s">
        <v>249</v>
      </c>
      <c r="R177" s="1415" t="s">
        <v>669</v>
      </c>
      <c r="S177" s="1415"/>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25" customHeight="1">
      <c r="C178" s="24"/>
      <c r="D178" s="3" t="s">
        <v>1203</v>
      </c>
      <c r="AA178" t="s">
        <v>2079</v>
      </c>
      <c r="AE178" s="27" t="s">
        <v>305</v>
      </c>
      <c r="AF178" s="1569"/>
      <c r="AG178" s="1569"/>
      <c r="AH178" s="1" t="s">
        <v>306</v>
      </c>
      <c r="AI178" s="1447"/>
      <c r="AJ178" s="1447"/>
      <c r="AK178" s="1447"/>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2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25" customHeight="1">
      <c r="C180" s="24"/>
      <c r="D180" t="s">
        <v>2080</v>
      </c>
      <c r="X180" s="1415" t="s">
        <v>669</v>
      </c>
      <c r="Y180" s="1415"/>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2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2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2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25" customHeight="1">
      <c r="C184" s="21"/>
      <c r="D184" t="s">
        <v>578</v>
      </c>
      <c r="I184" s="1485" t="str">
        <f>H18</f>
        <v>Lancaster Family Homes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25" customHeight="1">
      <c r="C185" s="21"/>
      <c r="D185" t="s">
        <v>579</v>
      </c>
      <c r="I185" s="1371"/>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2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25" customHeight="1">
      <c r="C187" s="21"/>
      <c r="E187" s="1532" t="s">
        <v>2618</v>
      </c>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25"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25" customHeight="1">
      <c r="C189" s="21"/>
      <c r="D189" t="s">
        <v>580</v>
      </c>
      <c r="I189" s="1525" t="s">
        <v>2612</v>
      </c>
      <c r="J189" s="1407"/>
      <c r="K189" s="1407"/>
      <c r="L189" s="1407"/>
      <c r="M189" s="1407"/>
      <c r="N189" s="1407"/>
      <c r="O189" s="1407"/>
      <c r="P189" s="1407"/>
      <c r="Q189" t="s">
        <v>582</v>
      </c>
      <c r="T189" s="1407" t="s">
        <v>494</v>
      </c>
      <c r="U189" s="1407"/>
      <c r="V189" s="1407"/>
      <c r="W189" s="1407"/>
      <c r="X189" s="1407"/>
      <c r="Y189" s="1407"/>
      <c r="Z189" s="1407"/>
      <c r="AA189" s="1407"/>
      <c r="AB189" s="1407"/>
      <c r="AC189" s="1407"/>
      <c r="AD189" s="1407"/>
      <c r="AE189" s="140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25" customHeight="1">
      <c r="C190" s="21"/>
      <c r="D190" t="s">
        <v>583</v>
      </c>
      <c r="I190" s="1371">
        <v>93535</v>
      </c>
      <c r="J190" s="1371"/>
      <c r="K190" s="1371"/>
      <c r="L190" s="1371"/>
      <c r="M190" s="1371"/>
      <c r="N190" s="1371"/>
      <c r="O190" t="s">
        <v>585</v>
      </c>
      <c r="T190" s="1560">
        <v>6037900509</v>
      </c>
      <c r="U190" s="1560"/>
      <c r="V190" s="1560"/>
      <c r="W190" s="1560"/>
      <c r="X190" s="1560"/>
      <c r="Y190" s="1560"/>
      <c r="Z190" s="1560"/>
      <c r="AA190" s="1560"/>
      <c r="AB190" s="1560"/>
      <c r="AC190" s="1560"/>
      <c r="AD190" s="1560"/>
      <c r="AE190" s="156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25" customHeight="1">
      <c r="C191" s="21"/>
      <c r="D191" t="s">
        <v>462</v>
      </c>
      <c r="N191" s="1532" t="s">
        <v>2619</v>
      </c>
      <c r="O191" s="1532"/>
      <c r="P191" s="1532"/>
      <c r="Q191" s="1532"/>
      <c r="R191" s="1532"/>
      <c r="S191" s="1532"/>
      <c r="T191" s="1532"/>
      <c r="U191" s="1532"/>
      <c r="V191" s="1532"/>
      <c r="W191" s="1532"/>
      <c r="X191" s="1532"/>
      <c r="Y191" s="1532"/>
      <c r="Z191" s="1532"/>
      <c r="AA191" s="1532"/>
      <c r="AB191" s="1532"/>
      <c r="AC191" s="1532"/>
      <c r="AD191" s="1532"/>
      <c r="AE191" s="153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25"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25" customHeight="1">
      <c r="C193" s="21"/>
      <c r="D193" t="s">
        <v>2081</v>
      </c>
      <c r="M193" s="40"/>
      <c r="N193" s="894"/>
      <c r="O193" s="894"/>
      <c r="P193" s="894"/>
      <c r="Q193" s="894"/>
      <c r="R193" s="894"/>
      <c r="S193" s="894"/>
      <c r="T193" s="1564" t="s">
        <v>2213</v>
      </c>
      <c r="U193" s="1564"/>
      <c r="V193" s="1564"/>
      <c r="W193" s="1564"/>
      <c r="X193" s="1564"/>
      <c r="Y193" s="1564"/>
      <c r="Z193" s="1564"/>
      <c r="AA193" s="1564"/>
      <c r="AB193" s="1564"/>
      <c r="AC193" s="1564"/>
      <c r="AD193" s="1564"/>
      <c r="AE193" s="1564"/>
      <c r="AF193" s="1564"/>
      <c r="AG193" s="1564"/>
      <c r="AH193" s="1564"/>
      <c r="AI193" s="1564"/>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25" customHeight="1">
      <c r="C194" s="21"/>
      <c r="D194" s="3" t="s">
        <v>2215</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25" customHeight="1">
      <c r="C195" s="21"/>
      <c r="D195" t="s">
        <v>331</v>
      </c>
      <c r="T195" s="1415" t="s">
        <v>669</v>
      </c>
      <c r="U195" s="1415"/>
      <c r="W195" t="s">
        <v>684</v>
      </c>
      <c r="AH195" s="1415">
        <v>27</v>
      </c>
      <c r="AI195" s="1415"/>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25" customHeight="1">
      <c r="C196" s="21"/>
      <c r="D196" t="s">
        <v>386</v>
      </c>
      <c r="T196" s="1427" t="s">
        <v>669</v>
      </c>
      <c r="U196" s="1427"/>
      <c r="W196" t="s">
        <v>685</v>
      </c>
      <c r="AH196" s="1415">
        <v>39</v>
      </c>
      <c r="AI196" s="1415"/>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25" customHeight="1">
      <c r="C197" s="21"/>
      <c r="D197" s="3" t="s">
        <v>169</v>
      </c>
      <c r="T197" s="1427" t="s">
        <v>669</v>
      </c>
      <c r="U197" s="1427"/>
      <c r="W197" t="s">
        <v>686</v>
      </c>
      <c r="AH197" s="1415">
        <v>23</v>
      </c>
      <c r="AI197" s="1415"/>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25" customHeight="1">
      <c r="A198"/>
      <c r="B198"/>
      <c r="C198" s="21"/>
      <c r="D198" s="3" t="s">
        <v>1652</v>
      </c>
      <c r="E198"/>
      <c r="F198"/>
      <c r="G198"/>
      <c r="H198"/>
      <c r="I198"/>
      <c r="J198"/>
      <c r="K198"/>
      <c r="L198"/>
      <c r="M198"/>
      <c r="N198"/>
      <c r="O198"/>
      <c r="P198"/>
      <c r="Q198"/>
      <c r="R198"/>
      <c r="S198"/>
      <c r="T198" s="1550" t="s">
        <v>591</v>
      </c>
      <c r="U198" s="1427"/>
      <c r="V198"/>
      <c r="X198" s="1540" t="s">
        <v>2513</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25" customHeight="1">
      <c r="A199"/>
      <c r="B199"/>
      <c r="C199" s="21"/>
      <c r="D199" s="118" t="s">
        <v>2516</v>
      </c>
      <c r="E199"/>
      <c r="F199"/>
      <c r="G199"/>
      <c r="H199"/>
      <c r="I199"/>
      <c r="J199"/>
      <c r="K199"/>
      <c r="L199"/>
      <c r="M199"/>
      <c r="N199"/>
      <c r="O199"/>
      <c r="P199"/>
      <c r="Q199"/>
      <c r="R199"/>
      <c r="S199"/>
      <c r="T199" s="1415" t="s">
        <v>669</v>
      </c>
      <c r="U199" s="1415"/>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25" customHeight="1">
      <c r="A200"/>
      <c r="B200"/>
      <c r="C200" s="21"/>
      <c r="D200" s="14" t="s">
        <v>2514</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2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2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2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25" customHeight="1">
      <c r="D204" s="1485" t="s">
        <v>385</v>
      </c>
      <c r="E204" s="1485"/>
      <c r="F204" s="1485"/>
      <c r="G204" s="1485"/>
      <c r="H204" s="1485"/>
      <c r="I204" s="1485"/>
      <c r="J204" s="1485"/>
      <c r="K204" s="1485"/>
      <c r="L204" s="1485"/>
      <c r="M204" s="1485"/>
      <c r="P204" s="1555">
        <f>M26</f>
        <v>4194385</v>
      </c>
      <c r="Q204" s="1556"/>
      <c r="R204" s="1556"/>
      <c r="S204" s="1556"/>
      <c r="T204" s="1556"/>
      <c r="U204" s="155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25" customHeight="1">
      <c r="C205" s="21"/>
      <c r="D205" s="1542" t="s">
        <v>1247</v>
      </c>
      <c r="E205" s="1485"/>
      <c r="F205" s="1485"/>
      <c r="G205" s="1485"/>
      <c r="H205" s="1485"/>
      <c r="I205" s="1485"/>
      <c r="J205" s="1485"/>
      <c r="K205" s="1485"/>
      <c r="L205" s="1485"/>
      <c r="M205" s="1485"/>
      <c r="P205" s="1556">
        <f>M27</f>
        <v>0</v>
      </c>
      <c r="Q205" s="1556"/>
      <c r="R205" s="1556"/>
      <c r="S205" s="1556"/>
      <c r="T205" s="1556"/>
      <c r="U205" s="1556"/>
      <c r="V205" s="28"/>
      <c r="W205" s="3" t="s">
        <v>1720</v>
      </c>
      <c r="Z205" s="1538" t="s">
        <v>1184</v>
      </c>
      <c r="AA205" s="1538"/>
      <c r="AB205" s="1538"/>
      <c r="AC205" s="1538"/>
      <c r="AD205" s="1538"/>
      <c r="AE205" s="1538"/>
      <c r="AF205" s="1538"/>
      <c r="AG205" s="1538"/>
      <c r="AH205" s="1538"/>
      <c r="AI205" s="1538"/>
      <c r="AJ205" s="1538"/>
      <c r="AK205" s="1538"/>
      <c r="AL205" s="1538"/>
      <c r="AM205" s="1538"/>
      <c r="AN205" s="1538"/>
      <c r="AP205" s="1405"/>
      <c r="AQ205" s="140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2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2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25" customHeight="1">
      <c r="C208" s="21"/>
      <c r="D208" s="1528" t="s">
        <v>2723</v>
      </c>
      <c r="E208" s="1528"/>
      <c r="F208" s="1528"/>
      <c r="G208" s="1528"/>
      <c r="H208" s="1528"/>
      <c r="I208" s="1528"/>
      <c r="J208" s="1528"/>
      <c r="K208" s="1528"/>
      <c r="L208" s="1528"/>
      <c r="M208" s="1528"/>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2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2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25" customHeight="1">
      <c r="C211" s="21"/>
      <c r="D211" s="1528" t="s">
        <v>1041</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25" customHeight="1">
      <c r="C212" s="21"/>
      <c r="D212" s="3" t="s">
        <v>2230</v>
      </c>
      <c r="Q212" s="1415"/>
      <c r="R212" s="1415"/>
      <c r="T212" s="1567">
        <f>IFERROR(Q212/AG440,0)</f>
        <v>0</v>
      </c>
      <c r="U212" s="156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25"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25" customHeight="1">
      <c r="D214" s="1551" t="s">
        <v>591</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25" customHeight="1">
      <c r="D215" s="3" t="s">
        <v>1653</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25" customHeight="1">
      <c r="D216" s="3" t="s">
        <v>1651</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2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25" customHeight="1">
      <c r="A218" s="2" t="s">
        <v>592</v>
      </c>
      <c r="C218" s="2" t="s">
        <v>2233</v>
      </c>
      <c r="D218" s="28"/>
      <c r="AC218" s="2" t="s">
        <v>2462</v>
      </c>
      <c r="BC218" t="s">
        <v>529</v>
      </c>
    </row>
    <row r="219" spans="1:108" ht="13.25" customHeight="1">
      <c r="A219" s="2"/>
      <c r="C219" s="2"/>
      <c r="D219" s="3" t="s">
        <v>2463</v>
      </c>
      <c r="AZ219" s="3"/>
      <c r="BA219" s="3"/>
      <c r="BC219" t="s">
        <v>377</v>
      </c>
    </row>
    <row r="220" spans="1:108" ht="13.25" customHeight="1">
      <c r="A220" s="2"/>
      <c r="C220" s="2"/>
      <c r="D220" s="1528" t="s">
        <v>874</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41" t="s">
        <v>874</v>
      </c>
      <c r="AD220" s="1541"/>
      <c r="AE220" s="1541"/>
      <c r="AF220" s="1541"/>
      <c r="AG220" s="1541"/>
      <c r="AH220" s="1541"/>
      <c r="AI220" s="1541"/>
      <c r="AJ220" s="1541"/>
      <c r="AK220" s="1541"/>
      <c r="AL220" s="1541"/>
      <c r="AM220" s="1541"/>
      <c r="AN220" s="1541"/>
      <c r="AO220" s="1541"/>
      <c r="AP220" s="1541"/>
      <c r="AQ220" s="1541"/>
      <c r="BA220" s="3"/>
      <c r="BC220" t="s">
        <v>300</v>
      </c>
    </row>
    <row r="221" spans="1:108" ht="13.25" customHeight="1">
      <c r="A221" s="2"/>
      <c r="B221" s="14"/>
      <c r="C221" s="2"/>
      <c r="BA221" s="3"/>
    </row>
    <row r="222" spans="1:108" ht="13.25" customHeight="1">
      <c r="A222" s="1539" t="s">
        <v>540</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3.2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3.25" customHeight="1">
      <c r="AZ224" s="4"/>
      <c r="BA224" s="3"/>
      <c r="BB224" s="3"/>
      <c r="BQ224" s="34"/>
    </row>
    <row r="225" spans="1:59" ht="13.2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2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2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2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2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2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2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25" customHeight="1">
      <c r="D232" s="4" t="s">
        <v>470</v>
      </c>
      <c r="E232" s="4"/>
      <c r="F232" s="4"/>
      <c r="G232" s="4"/>
      <c r="H232" s="4"/>
      <c r="I232" s="4"/>
      <c r="J232" s="4"/>
      <c r="K232" s="4"/>
      <c r="M232" s="1561" t="str">
        <f>H16</f>
        <v>Lancaster Family Homes LP</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05" t="s">
        <v>538</v>
      </c>
      <c r="BG232" s="241">
        <f>IF(AND(AND($M$249="nonprofit",$M$257="nonprofit",$M$265="for profit")),2,0)</f>
        <v>0</v>
      </c>
    </row>
    <row r="233" spans="1:59" ht="13.25" customHeight="1">
      <c r="D233" s="4" t="s">
        <v>85</v>
      </c>
      <c r="E233" s="4"/>
      <c r="F233" s="4"/>
      <c r="G233" s="4"/>
      <c r="H233" s="4"/>
      <c r="I233" s="4"/>
      <c r="J233" s="4"/>
      <c r="K233" s="4"/>
      <c r="M233" s="1525" t="s">
        <v>2620</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538</v>
      </c>
      <c r="BG233" s="241">
        <f>IF(AND(AND($M$249="nonprofit",$M$257="for profit",$M$265="nonprofit")),2,0)</f>
        <v>0</v>
      </c>
    </row>
    <row r="234" spans="1:59" ht="13.25" customHeight="1">
      <c r="D234" s="4" t="s">
        <v>580</v>
      </c>
      <c r="E234" s="4"/>
      <c r="M234" s="1525" t="s">
        <v>2621</v>
      </c>
      <c r="N234" s="1528"/>
      <c r="O234" s="1528"/>
      <c r="P234" s="1528"/>
      <c r="Q234" s="1528"/>
      <c r="R234" s="1528"/>
      <c r="S234" s="1528"/>
      <c r="T234" s="1528"/>
      <c r="V234" s="33" t="s">
        <v>86</v>
      </c>
      <c r="W234" s="1537" t="s">
        <v>2622</v>
      </c>
      <c r="X234" s="1473"/>
      <c r="Y234" s="4" t="s">
        <v>583</v>
      </c>
      <c r="AC234" s="1528">
        <v>90401</v>
      </c>
      <c r="AD234" s="1528"/>
      <c r="AE234" s="1528"/>
      <c r="AU234" s="4"/>
      <c r="AV234" s="4"/>
      <c r="AW234" s="4"/>
      <c r="AX234" s="4"/>
      <c r="AY234" s="4"/>
      <c r="AZ234" s="4"/>
      <c r="BB234" s="205" t="s">
        <v>538</v>
      </c>
      <c r="BG234" s="240">
        <f>IF(AND(AND($M$249="for profit",$M$257="nonprofit",$M$265="nonprofit")),2,0)</f>
        <v>0</v>
      </c>
    </row>
    <row r="235" spans="1:59" ht="13.25" customHeight="1">
      <c r="D235" s="4" t="s">
        <v>87</v>
      </c>
      <c r="E235" s="4"/>
      <c r="F235" s="4"/>
      <c r="G235" s="4"/>
      <c r="H235" s="4"/>
      <c r="I235" s="4"/>
      <c r="J235" s="4"/>
      <c r="K235" s="19"/>
      <c r="M235" s="1525" t="s">
        <v>2623</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3.25" customHeight="1">
      <c r="D236" s="4" t="s">
        <v>88</v>
      </c>
      <c r="E236" s="4"/>
      <c r="F236" s="4"/>
      <c r="M236" s="1489">
        <v>4242228253</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537</v>
      </c>
      <c r="BG236" s="241">
        <f>IF(AND(AND($M$249="nonprofit",$M$257="nonprofit",$M$265="(select one)")),1,0)</f>
        <v>0</v>
      </c>
    </row>
    <row r="237" spans="1:59" ht="13.25" customHeight="1">
      <c r="D237" s="4" t="s">
        <v>90</v>
      </c>
      <c r="E237" s="4"/>
      <c r="F237" s="4"/>
      <c r="M237" s="1544" t="s">
        <v>2624</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25" customHeight="1">
      <c r="A238" s="2" t="s">
        <v>586</v>
      </c>
      <c r="C238" s="2" t="s">
        <v>525</v>
      </c>
      <c r="M238" s="1371" t="s">
        <v>528</v>
      </c>
      <c r="N238" s="1371"/>
      <c r="O238" s="1371"/>
      <c r="P238" s="1371"/>
      <c r="Q238" s="1371"/>
      <c r="R238" s="1371"/>
      <c r="S238" s="1371"/>
      <c r="T238" s="1371"/>
      <c r="U238" s="204" t="s">
        <v>906</v>
      </c>
      <c r="V238" s="204"/>
      <c r="W238" s="204"/>
      <c r="X238" s="204"/>
      <c r="Y238" s="204"/>
      <c r="Z238" s="204"/>
      <c r="AA238" s="1571" t="s">
        <v>2625</v>
      </c>
      <c r="AB238" s="1565"/>
      <c r="AC238" s="1565"/>
      <c r="AD238" s="1565"/>
      <c r="AE238" s="1565"/>
      <c r="AF238" s="1565"/>
      <c r="AG238" s="1565"/>
      <c r="AH238" s="1565"/>
      <c r="AI238" s="1565"/>
      <c r="AJ238" s="1565"/>
      <c r="AK238" s="1565"/>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25" customHeight="1">
      <c r="D239" t="s">
        <v>531</v>
      </c>
      <c r="M239" s="1407" t="s">
        <v>591</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25" customHeight="1">
      <c r="D240" s="4"/>
      <c r="BB240" s="204" t="s">
        <v>877</v>
      </c>
      <c r="BG240" s="241">
        <f>IF(AND(AND($M$249="for profit",$M$257="for profit",$M$265="for profit")),3,0)</f>
        <v>0</v>
      </c>
    </row>
    <row r="241" spans="1:67" ht="13.2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2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25" customHeight="1">
      <c r="A243" s="19"/>
      <c r="B243" s="4"/>
      <c r="C243" s="56" t="s">
        <v>473</v>
      </c>
      <c r="D243" s="4" t="s">
        <v>532</v>
      </c>
      <c r="E243" s="4"/>
      <c r="F243" s="4"/>
      <c r="G243" s="4"/>
      <c r="H243" s="4"/>
      <c r="I243" s="4"/>
      <c r="J243" s="4"/>
      <c r="K243" s="4"/>
      <c r="L243" s="4"/>
      <c r="M243" s="1572" t="s">
        <v>2628</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2632</v>
      </c>
      <c r="AG243" s="1546"/>
      <c r="AH243" s="1546"/>
      <c r="AI243" s="1546"/>
      <c r="AJ243" s="1546"/>
      <c r="AK243" s="1546"/>
      <c r="AU243" s="4"/>
      <c r="AV243" s="4"/>
      <c r="AW243" s="4"/>
      <c r="AX243" s="4"/>
      <c r="AY243" s="4"/>
      <c r="BG243">
        <f>SUM(BG226:BG241)</f>
        <v>2</v>
      </c>
    </row>
    <row r="244" spans="1:67" ht="13.25" customHeight="1">
      <c r="A244" s="19"/>
      <c r="B244" s="4"/>
      <c r="C244" s="4"/>
      <c r="D244" s="4" t="s">
        <v>85</v>
      </c>
      <c r="E244" s="4"/>
      <c r="F244" s="4"/>
      <c r="G244" s="4"/>
      <c r="H244" s="4"/>
      <c r="I244" s="4"/>
      <c r="J244" s="4"/>
      <c r="K244" s="4"/>
      <c r="L244" s="4"/>
      <c r="M244" s="1525" t="s">
        <v>2629</v>
      </c>
      <c r="N244" s="1528"/>
      <c r="O244" s="1528"/>
      <c r="P244" s="1528"/>
      <c r="Q244" s="1528"/>
      <c r="R244" s="1528"/>
      <c r="S244" s="1528"/>
      <c r="T244" s="1528"/>
      <c r="U244" s="1528"/>
      <c r="V244" s="1528"/>
      <c r="W244" s="1528"/>
      <c r="X244" s="1528"/>
      <c r="Y244" s="1528"/>
      <c r="Z244" s="1528"/>
      <c r="AA244" s="1528"/>
      <c r="AB244" s="1528"/>
      <c r="AC244" s="1528"/>
      <c r="AD244" s="1528"/>
      <c r="AE244" s="1528"/>
      <c r="AF244" s="3" t="s">
        <v>1179</v>
      </c>
      <c r="AL244" s="4"/>
      <c r="AM244" s="4"/>
      <c r="AN244" s="4"/>
      <c r="AO244" s="4"/>
      <c r="AP244" s="4"/>
      <c r="AQ244" s="4"/>
      <c r="AR244" s="4"/>
      <c r="AS244" s="4"/>
      <c r="AT244" s="4"/>
      <c r="BB244" t="s">
        <v>307</v>
      </c>
      <c r="BG244">
        <v>1</v>
      </c>
      <c r="BH244" t="s">
        <v>534</v>
      </c>
    </row>
    <row r="245" spans="1:67" ht="13.25" customHeight="1">
      <c r="A245" s="19"/>
      <c r="B245" s="4"/>
      <c r="C245" s="4"/>
      <c r="D245" s="4" t="s">
        <v>580</v>
      </c>
      <c r="E245" s="4"/>
      <c r="M245" s="1525" t="s">
        <v>68</v>
      </c>
      <c r="N245" s="1528"/>
      <c r="O245" s="1528"/>
      <c r="P245" s="1528"/>
      <c r="Q245" s="1528"/>
      <c r="R245" s="1528"/>
      <c r="S245" s="1528"/>
      <c r="T245" s="1528"/>
      <c r="V245" s="33" t="s">
        <v>86</v>
      </c>
      <c r="W245" s="1537" t="s">
        <v>2622</v>
      </c>
      <c r="X245" s="1473"/>
      <c r="Y245" s="4" t="s">
        <v>583</v>
      </c>
      <c r="AC245" s="1528">
        <v>95816</v>
      </c>
      <c r="AD245" s="1528"/>
      <c r="AE245" s="1528"/>
      <c r="AF245" s="3" t="s">
        <v>1180</v>
      </c>
      <c r="AU245" s="4"/>
      <c r="AV245" s="4"/>
      <c r="AW245" s="4"/>
      <c r="AX245" s="4"/>
      <c r="AY245" s="4"/>
      <c r="BB245" s="4" t="s">
        <v>280</v>
      </c>
      <c r="BG245">
        <v>2</v>
      </c>
      <c r="BH245" t="s">
        <v>566</v>
      </c>
      <c r="BO245" s="239" t="str">
        <f>VLOOKUP(BG243,BG244:BH247,2,FALSE)</f>
        <v>Joint Venture</v>
      </c>
    </row>
    <row r="246" spans="1:67" ht="13.25" customHeight="1">
      <c r="A246" s="19"/>
      <c r="B246" s="4"/>
      <c r="C246" s="4"/>
      <c r="D246" s="4" t="s">
        <v>87</v>
      </c>
      <c r="E246" s="4"/>
      <c r="F246" s="4"/>
      <c r="G246" s="4"/>
      <c r="H246" s="4"/>
      <c r="I246" s="4"/>
      <c r="J246" s="4"/>
      <c r="K246" s="4"/>
      <c r="L246" s="19"/>
      <c r="M246" s="1525" t="s">
        <v>2630</v>
      </c>
      <c r="N246" s="1528"/>
      <c r="O246" s="1528"/>
      <c r="P246" s="1528"/>
      <c r="Q246" s="1528"/>
      <c r="R246" s="1528"/>
      <c r="S246" s="1528"/>
      <c r="T246" s="1528"/>
      <c r="U246" s="1528"/>
      <c r="V246" s="1528"/>
      <c r="W246" s="1528"/>
      <c r="X246" s="1528"/>
      <c r="Y246" s="1528"/>
      <c r="Z246" s="1528"/>
      <c r="AA246" s="1528"/>
      <c r="AB246" s="1528"/>
      <c r="AC246" s="1528"/>
      <c r="AD246" s="1528"/>
      <c r="AE246" s="1528"/>
      <c r="AH246" s="1543">
        <v>1E-3</v>
      </c>
      <c r="AI246" s="1543"/>
      <c r="AJ246" s="1543"/>
      <c r="AK246" s="1543"/>
      <c r="AL246" s="4"/>
      <c r="AM246" s="4"/>
      <c r="AN246" s="4"/>
      <c r="AO246" s="4"/>
      <c r="AP246" s="4"/>
      <c r="AQ246" s="4"/>
      <c r="AR246" s="4"/>
      <c r="AS246" s="4"/>
      <c r="AT246" s="4"/>
      <c r="BB246" s="4" t="s">
        <v>173</v>
      </c>
      <c r="BG246">
        <v>3</v>
      </c>
      <c r="BH246" t="s">
        <v>536</v>
      </c>
      <c r="BN246" s="34"/>
    </row>
    <row r="247" spans="1:67" ht="13.25" customHeight="1">
      <c r="A247" s="19"/>
      <c r="B247" s="4"/>
      <c r="C247" s="4"/>
      <c r="D247" s="4" t="s">
        <v>88</v>
      </c>
      <c r="E247" s="4"/>
      <c r="F247" s="4"/>
      <c r="M247" s="1489">
        <v>9166385200</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3.25" customHeight="1">
      <c r="A248" s="19"/>
      <c r="B248" s="4"/>
      <c r="C248" s="4"/>
      <c r="D248" s="4" t="s">
        <v>90</v>
      </c>
      <c r="E248" s="4"/>
      <c r="F248" s="4"/>
      <c r="M248" s="1544" t="s">
        <v>2631</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67" ht="13.2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5"/>
      <c r="AB249" s="1565"/>
      <c r="AC249" s="1565"/>
      <c r="AD249" s="1565"/>
      <c r="AE249" s="1565"/>
      <c r="AF249" s="1565"/>
      <c r="AG249" s="1565"/>
      <c r="AH249" s="1565"/>
      <c r="AI249" s="1565"/>
      <c r="AJ249" s="1565"/>
      <c r="AK249" s="1565"/>
      <c r="BN249" s="34"/>
    </row>
    <row r="250" spans="1:67" ht="13.25" customHeight="1">
      <c r="A250" s="19"/>
      <c r="B250" s="4"/>
      <c r="C250" s="4"/>
      <c r="D250" s="4"/>
      <c r="E250" s="4"/>
      <c r="F250" s="4"/>
      <c r="G250" s="4"/>
      <c r="H250" s="4"/>
      <c r="I250" s="4"/>
      <c r="J250" s="4"/>
      <c r="K250" s="4"/>
      <c r="L250" s="4"/>
      <c r="AG250" s="4"/>
      <c r="AH250" s="4"/>
      <c r="AI250" s="4"/>
      <c r="AJ250" s="4"/>
      <c r="BN250" s="34"/>
    </row>
    <row r="251" spans="1:67" ht="13.25" customHeight="1">
      <c r="A251" s="2"/>
      <c r="B251" s="4"/>
      <c r="C251" s="56" t="s">
        <v>98</v>
      </c>
      <c r="D251" s="4" t="s">
        <v>955</v>
      </c>
      <c r="E251" s="4"/>
      <c r="F251" s="4"/>
      <c r="G251" s="4"/>
      <c r="H251" s="4"/>
      <c r="I251" s="4"/>
      <c r="J251" s="4"/>
      <c r="K251" s="4"/>
      <c r="L251" s="4"/>
      <c r="M251" s="1572" t="s">
        <v>2661</v>
      </c>
      <c r="N251" s="1546"/>
      <c r="O251" s="1546"/>
      <c r="P251" s="1546"/>
      <c r="Q251" s="1546"/>
      <c r="R251" s="1546"/>
      <c r="S251" s="1546"/>
      <c r="T251" s="1546"/>
      <c r="U251" s="1546"/>
      <c r="V251" s="1546"/>
      <c r="W251" s="1546"/>
      <c r="X251" s="1546"/>
      <c r="Y251" s="1546"/>
      <c r="Z251" s="1546"/>
      <c r="AA251" s="1546"/>
      <c r="AB251" s="1546"/>
      <c r="AC251" s="1546"/>
      <c r="AD251" s="1546"/>
      <c r="AE251" s="1546"/>
      <c r="AF251" s="1546" t="s">
        <v>2633</v>
      </c>
      <c r="AG251" s="1546"/>
      <c r="AH251" s="1546"/>
      <c r="AI251" s="1546"/>
      <c r="AJ251" s="1546"/>
      <c r="AK251" s="1546"/>
      <c r="AU251" s="4"/>
      <c r="AV251" s="4"/>
      <c r="AW251" s="4"/>
      <c r="AX251" s="4"/>
      <c r="AY251" s="4"/>
      <c r="BN251" s="34"/>
    </row>
    <row r="252" spans="1:67" ht="13.25" customHeight="1">
      <c r="A252" s="19"/>
      <c r="B252" s="4"/>
      <c r="C252" s="4"/>
      <c r="D252" s="4" t="s">
        <v>85</v>
      </c>
      <c r="E252" s="4"/>
      <c r="F252" s="4"/>
      <c r="G252" s="4"/>
      <c r="H252" s="4"/>
      <c r="I252" s="4"/>
      <c r="J252" s="4"/>
      <c r="K252" s="4"/>
      <c r="L252" s="4"/>
      <c r="M252" s="1525" t="s">
        <v>2634</v>
      </c>
      <c r="N252" s="1528"/>
      <c r="O252" s="1528"/>
      <c r="P252" s="1528"/>
      <c r="Q252" s="1528"/>
      <c r="R252" s="1528"/>
      <c r="S252" s="1528"/>
      <c r="T252" s="1528"/>
      <c r="U252" s="1528"/>
      <c r="V252" s="1528"/>
      <c r="W252" s="1528"/>
      <c r="X252" s="1528"/>
      <c r="Y252" s="1528"/>
      <c r="Z252" s="1528"/>
      <c r="AA252" s="1528"/>
      <c r="AB252" s="1528"/>
      <c r="AC252" s="1528"/>
      <c r="AD252" s="1528"/>
      <c r="AE252" s="1528"/>
      <c r="AF252" s="3" t="s">
        <v>1179</v>
      </c>
      <c r="AL252" s="4"/>
      <c r="AM252" s="4"/>
      <c r="AN252" s="4"/>
      <c r="AO252" s="4"/>
      <c r="AP252" s="4"/>
      <c r="AQ252" s="4"/>
      <c r="AR252" s="4"/>
      <c r="AS252" s="4"/>
      <c r="AT252" s="4"/>
      <c r="BN252" s="34"/>
    </row>
    <row r="253" spans="1:67" ht="13.25" customHeight="1">
      <c r="A253" s="19"/>
      <c r="B253" s="4"/>
      <c r="C253" s="4"/>
      <c r="D253" s="4" t="s">
        <v>580</v>
      </c>
      <c r="E253" s="4"/>
      <c r="M253" s="1525" t="s">
        <v>2621</v>
      </c>
      <c r="N253" s="1528"/>
      <c r="O253" s="1528"/>
      <c r="P253" s="1528"/>
      <c r="Q253" s="1528"/>
      <c r="R253" s="1528"/>
      <c r="S253" s="1528"/>
      <c r="T253" s="1528"/>
      <c r="V253" s="33" t="s">
        <v>86</v>
      </c>
      <c r="W253" s="1537" t="s">
        <v>2622</v>
      </c>
      <c r="X253" s="1473"/>
      <c r="Y253" s="4" t="s">
        <v>583</v>
      </c>
      <c r="AC253" s="1528">
        <v>90401</v>
      </c>
      <c r="AD253" s="1528"/>
      <c r="AE253" s="1528"/>
      <c r="AF253" s="3" t="s">
        <v>1180</v>
      </c>
      <c r="AU253" s="4"/>
      <c r="AV253" s="4"/>
      <c r="AW253" s="4"/>
      <c r="AX253" s="4"/>
      <c r="AY253" s="4"/>
      <c r="BN253" s="34"/>
    </row>
    <row r="254" spans="1:67" ht="13.25" customHeight="1">
      <c r="A254" s="19"/>
      <c r="B254" s="4"/>
      <c r="C254" s="4"/>
      <c r="D254" s="4" t="s">
        <v>87</v>
      </c>
      <c r="E254" s="4"/>
      <c r="F254" s="4"/>
      <c r="G254" s="4"/>
      <c r="H254" s="4"/>
      <c r="I254" s="4"/>
      <c r="J254" s="4"/>
      <c r="K254" s="4"/>
      <c r="L254" s="19"/>
      <c r="M254" s="1525" t="s">
        <v>2623</v>
      </c>
      <c r="N254" s="1528"/>
      <c r="O254" s="1528"/>
      <c r="P254" s="1528"/>
      <c r="Q254" s="1528"/>
      <c r="R254" s="1528"/>
      <c r="S254" s="1528"/>
      <c r="T254" s="1528"/>
      <c r="U254" s="1528"/>
      <c r="V254" s="1528"/>
      <c r="W254" s="1528"/>
      <c r="X254" s="1528"/>
      <c r="Y254" s="1528"/>
      <c r="Z254" s="1528"/>
      <c r="AA254" s="1528"/>
      <c r="AB254" s="1528"/>
      <c r="AC254" s="1528"/>
      <c r="AD254" s="1528"/>
      <c r="AE254" s="1528"/>
      <c r="AH254" s="1543">
        <v>8.9999999999999993E-3</v>
      </c>
      <c r="AI254" s="1543"/>
      <c r="AJ254" s="1543"/>
      <c r="AK254" s="1543"/>
      <c r="AL254" s="4"/>
      <c r="AM254" s="4"/>
      <c r="AN254" s="4"/>
      <c r="AO254" s="4"/>
      <c r="AP254" s="4"/>
      <c r="AQ254" s="4"/>
      <c r="AR254" s="4"/>
      <c r="AS254" s="4"/>
      <c r="AT254" s="4"/>
    </row>
    <row r="255" spans="1:67" ht="13.25" customHeight="1">
      <c r="A255" s="19"/>
      <c r="B255" s="4"/>
      <c r="C255" s="4"/>
      <c r="D255" s="4" t="s">
        <v>88</v>
      </c>
      <c r="E255" s="4"/>
      <c r="F255" s="4"/>
      <c r="M255" s="1489">
        <v>4242228253</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3.25" customHeight="1">
      <c r="A256" s="19"/>
      <c r="B256" s="4"/>
      <c r="C256" s="4"/>
      <c r="D256" s="4" t="s">
        <v>90</v>
      </c>
      <c r="E256" s="4"/>
      <c r="F256" s="4"/>
      <c r="M256" s="1544" t="s">
        <v>2624</v>
      </c>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51" ht="13.25" customHeight="1">
      <c r="A257" s="13"/>
      <c r="B257" s="4"/>
      <c r="C257" s="56"/>
      <c r="D257" s="4" t="s">
        <v>535</v>
      </c>
      <c r="E257" s="4"/>
      <c r="F257" s="4"/>
      <c r="G257" s="4"/>
      <c r="H257" s="4"/>
      <c r="I257" s="4"/>
      <c r="J257" s="4"/>
      <c r="K257" s="4"/>
      <c r="L257" s="4"/>
      <c r="M257" s="1371" t="s">
        <v>536</v>
      </c>
      <c r="N257" s="1371"/>
      <c r="O257" s="1371"/>
      <c r="P257" s="1371"/>
      <c r="Q257" s="1371"/>
      <c r="R257" s="1371"/>
      <c r="S257" s="1371"/>
      <c r="T257" s="1371"/>
      <c r="U257" s="204" t="s">
        <v>906</v>
      </c>
      <c r="V257" s="204"/>
      <c r="W257" s="204"/>
      <c r="X257" s="204"/>
      <c r="Y257" s="204"/>
      <c r="Z257" s="204"/>
      <c r="AA257" s="1571" t="s">
        <v>2625</v>
      </c>
      <c r="AB257" s="1565"/>
      <c r="AC257" s="1565"/>
      <c r="AD257" s="1565"/>
      <c r="AE257" s="1565"/>
      <c r="AF257" s="1565"/>
      <c r="AG257" s="1565"/>
      <c r="AH257" s="1565"/>
      <c r="AI257" s="1565"/>
      <c r="AJ257" s="1565"/>
      <c r="AK257" s="1565"/>
      <c r="AL257" s="3"/>
      <c r="AM257" s="3"/>
      <c r="AN257" s="3"/>
      <c r="AO257" s="3"/>
      <c r="AP257" s="3"/>
      <c r="AQ257" s="3"/>
      <c r="AR257" s="3"/>
      <c r="AS257" s="3"/>
      <c r="AT257" s="3"/>
      <c r="AU257" s="3"/>
      <c r="AV257" s="3"/>
      <c r="AW257" s="3"/>
      <c r="AX257" s="3"/>
      <c r="AY257" s="3"/>
    </row>
    <row r="258" spans="1:51" ht="13.2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25" customHeight="1">
      <c r="A259" s="13"/>
      <c r="B259" s="4"/>
      <c r="C259" s="56" t="s">
        <v>876</v>
      </c>
      <c r="D259" s="4" t="s">
        <v>532</v>
      </c>
      <c r="E259" s="4"/>
      <c r="F259" s="4"/>
      <c r="G259" s="4"/>
      <c r="H259" s="4"/>
      <c r="I259" s="4"/>
      <c r="J259" s="4"/>
      <c r="K259" s="4"/>
      <c r="L259" s="4"/>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row>
    <row r="260" spans="1:51" ht="13.25"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1179</v>
      </c>
      <c r="AL260" s="3"/>
      <c r="AM260" s="3"/>
      <c r="AN260" s="3"/>
      <c r="AO260" s="3"/>
      <c r="AP260" s="3"/>
      <c r="AQ260" s="3"/>
      <c r="AR260" s="3"/>
      <c r="AS260" s="3"/>
      <c r="AT260" s="3"/>
      <c r="AU260" s="3"/>
      <c r="AV260" s="3"/>
      <c r="AW260" s="3"/>
      <c r="AX260" s="3"/>
      <c r="AY260" s="3"/>
    </row>
    <row r="261" spans="1:51" ht="13.25" customHeight="1">
      <c r="A261" s="13"/>
      <c r="B261" s="4"/>
      <c r="C261" s="4"/>
      <c r="D261" s="4" t="s">
        <v>580</v>
      </c>
      <c r="E261" s="4"/>
      <c r="M261" s="1528"/>
      <c r="N261" s="1528"/>
      <c r="O261" s="1528"/>
      <c r="P261" s="1528"/>
      <c r="Q261" s="1528"/>
      <c r="R261" s="1528"/>
      <c r="S261" s="1528"/>
      <c r="T261" s="1528"/>
      <c r="V261" s="33" t="s">
        <v>86</v>
      </c>
      <c r="W261" s="1473"/>
      <c r="X261" s="1473"/>
      <c r="Y261" s="4" t="s">
        <v>583</v>
      </c>
      <c r="AC261" s="1528"/>
      <c r="AD261" s="1528"/>
      <c r="AE261" s="1528"/>
      <c r="AF261" s="3" t="s">
        <v>1180</v>
      </c>
      <c r="AL261" s="3"/>
      <c r="AM261" s="3"/>
      <c r="AN261" s="3"/>
      <c r="AO261" s="3"/>
      <c r="AP261" s="3"/>
      <c r="AQ261" s="3"/>
      <c r="AR261" s="3"/>
      <c r="AS261" s="3"/>
      <c r="AT261" s="3"/>
      <c r="AU261" s="3"/>
      <c r="AV261" s="3"/>
      <c r="AW261" s="3"/>
      <c r="AX261" s="3"/>
      <c r="AY261" s="3"/>
    </row>
    <row r="262" spans="1:51" ht="13.25"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3"/>
      <c r="AI262" s="1543"/>
      <c r="AJ262" s="1543"/>
      <c r="AK262" s="1543"/>
      <c r="AL262" s="3"/>
      <c r="AM262" s="3"/>
      <c r="AN262" s="3"/>
      <c r="AO262" s="3"/>
      <c r="AP262" s="3"/>
      <c r="AQ262" s="3"/>
      <c r="AR262" s="3"/>
      <c r="AS262" s="3"/>
      <c r="AT262" s="3"/>
      <c r="AU262" s="3"/>
      <c r="AV262" s="3"/>
      <c r="AW262" s="3"/>
      <c r="AX262" s="3"/>
      <c r="AY262" s="3"/>
    </row>
    <row r="263" spans="1:51" ht="13.25"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25" customHeight="1">
      <c r="A264" s="13"/>
      <c r="B264" s="4"/>
      <c r="C264" s="4"/>
      <c r="D264" s="4" t="s">
        <v>90</v>
      </c>
      <c r="E264" s="4"/>
      <c r="F264" s="4"/>
      <c r="M264" s="1544"/>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row>
    <row r="265" spans="1:51" ht="13.25"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4" t="s">
        <v>906</v>
      </c>
      <c r="V265" s="204"/>
      <c r="W265" s="204"/>
      <c r="X265" s="204"/>
      <c r="Y265" s="204"/>
      <c r="Z265" s="204"/>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3.2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25" customHeight="1">
      <c r="A267" s="57" t="s">
        <v>590</v>
      </c>
      <c r="B267" s="4"/>
      <c r="C267" s="2" t="s">
        <v>295</v>
      </c>
      <c r="D267" s="4"/>
      <c r="E267" s="4"/>
      <c r="F267" s="4"/>
      <c r="G267" s="4"/>
      <c r="H267" s="4"/>
      <c r="I267" s="4"/>
      <c r="J267" s="4"/>
      <c r="K267" s="4"/>
      <c r="L267" s="4"/>
      <c r="M267" s="35"/>
      <c r="N267" s="35"/>
      <c r="O267" s="35"/>
      <c r="P267" s="35"/>
      <c r="Q267" s="35"/>
      <c r="T267" s="1573" t="str">
        <f>IFERROR(BO245,"")</f>
        <v>Joint Venture</v>
      </c>
      <c r="U267" s="1573"/>
      <c r="V267" s="1573"/>
      <c r="W267" s="1573"/>
      <c r="X267" s="1573"/>
      <c r="Z267" s="307" t="s">
        <v>954</v>
      </c>
      <c r="AA267" s="308"/>
      <c r="AB267" s="308"/>
      <c r="AC267" s="308"/>
      <c r="AD267" s="105"/>
      <c r="AE267" s="105"/>
      <c r="AF267" s="105"/>
      <c r="AG267" s="105"/>
      <c r="AH267" s="105"/>
      <c r="AI267" s="105"/>
      <c r="AJ267" s="105"/>
      <c r="AK267" s="309"/>
      <c r="AL267" s="58"/>
    </row>
    <row r="268" spans="1:51" ht="13.2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2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25" customHeight="1">
      <c r="A270" s="4"/>
      <c r="B270" s="36">
        <v>0</v>
      </c>
      <c r="D270" s="1528" t="s">
        <v>280</v>
      </c>
      <c r="E270" s="1528"/>
      <c r="F270" s="1528"/>
      <c r="G270" s="1528"/>
      <c r="H270" s="1528"/>
      <c r="J270" t="s">
        <v>279</v>
      </c>
      <c r="X270" s="1508" t="s">
        <v>591</v>
      </c>
      <c r="Y270" s="1508"/>
      <c r="Z270" s="1508"/>
      <c r="AA270" s="1508"/>
      <c r="AB270" s="1508"/>
      <c r="AC270" s="1508"/>
      <c r="AU270" s="3"/>
      <c r="AV270" s="3"/>
      <c r="AW270" s="3"/>
      <c r="AX270" s="3"/>
      <c r="AY270" s="3"/>
    </row>
    <row r="271" spans="1:51" ht="13.2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2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2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25" customHeight="1">
      <c r="D274" s="4" t="s">
        <v>296</v>
      </c>
      <c r="E274" s="4"/>
      <c r="F274" s="4"/>
      <c r="G274" s="4"/>
      <c r="H274" s="4"/>
      <c r="I274" s="4"/>
      <c r="J274" s="4"/>
      <c r="K274" s="4"/>
      <c r="L274" s="1572" t="s">
        <v>2625</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row>
    <row r="275" spans="1:51" ht="13.25" customHeight="1">
      <c r="D275" s="4" t="s">
        <v>85</v>
      </c>
      <c r="E275" s="4"/>
      <c r="F275" s="4"/>
      <c r="G275" s="4"/>
      <c r="H275" s="4"/>
      <c r="I275" s="4"/>
      <c r="J275" s="4"/>
      <c r="K275" s="4"/>
      <c r="L275" s="1525" t="s">
        <v>2620</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3.25" customHeight="1">
      <c r="D276" s="4" t="s">
        <v>580</v>
      </c>
      <c r="E276" s="4"/>
      <c r="L276" s="1525" t="s">
        <v>2621</v>
      </c>
      <c r="M276" s="1528"/>
      <c r="N276" s="1528"/>
      <c r="O276" s="1528"/>
      <c r="P276" s="1528"/>
      <c r="Q276" s="1528"/>
      <c r="R276" s="1528"/>
      <c r="S276" s="1528"/>
      <c r="U276" s="33" t="s">
        <v>86</v>
      </c>
      <c r="V276" s="1537" t="s">
        <v>2622</v>
      </c>
      <c r="W276" s="1473"/>
      <c r="X276" s="4" t="s">
        <v>583</v>
      </c>
      <c r="AB276" s="1528">
        <v>90401</v>
      </c>
      <c r="AC276" s="1528"/>
      <c r="AD276" s="1528"/>
      <c r="AK276" s="3"/>
      <c r="AL276" s="3"/>
      <c r="AM276" s="3"/>
      <c r="AN276" s="3"/>
      <c r="AO276" s="3"/>
      <c r="AP276" s="3"/>
      <c r="AQ276" s="3"/>
      <c r="AR276" s="3"/>
      <c r="AS276" s="3"/>
      <c r="AT276" s="3"/>
      <c r="AU276" s="3"/>
      <c r="AV276" s="3"/>
      <c r="AW276" s="3"/>
      <c r="AX276" s="3"/>
      <c r="AY276" s="3"/>
    </row>
    <row r="277" spans="1:51" ht="13.25" customHeight="1">
      <c r="D277" s="4" t="s">
        <v>87</v>
      </c>
      <c r="E277" s="4"/>
      <c r="F277" s="4"/>
      <c r="G277" s="4"/>
      <c r="H277" s="4"/>
      <c r="I277" s="4"/>
      <c r="J277" s="4"/>
      <c r="K277" s="19"/>
      <c r="L277" s="1525" t="s">
        <v>2623</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3.25" customHeight="1">
      <c r="D278" s="4" t="s">
        <v>88</v>
      </c>
      <c r="E278" s="4"/>
      <c r="F278" s="4"/>
      <c r="L278" s="1489">
        <v>4242228253</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3.25" customHeight="1">
      <c r="D279" s="4" t="s">
        <v>90</v>
      </c>
      <c r="E279" s="4"/>
      <c r="F279" s="4"/>
      <c r="L279" s="1544" t="s">
        <v>2624</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row>
    <row r="280" spans="1:51" ht="13.25" customHeight="1">
      <c r="D280" s="3" t="s">
        <v>623</v>
      </c>
      <c r="E280" s="3"/>
      <c r="F280" s="3"/>
      <c r="G280" s="3"/>
      <c r="H280" s="3"/>
      <c r="I280" s="3"/>
      <c r="L280" s="1537" t="s">
        <v>2626</v>
      </c>
      <c r="M280" s="1537"/>
      <c r="N280" s="1537"/>
      <c r="O280" s="1537"/>
      <c r="P280" s="1537"/>
      <c r="Q280" s="1537"/>
      <c r="R280" s="1537"/>
      <c r="S280" s="1537"/>
      <c r="T280" s="1537"/>
      <c r="U280" s="1537"/>
      <c r="V280" s="1537"/>
      <c r="W280" s="1537"/>
      <c r="X280" s="1537"/>
      <c r="Y280" s="1537"/>
      <c r="Z280" s="1537"/>
      <c r="AA280" s="1537"/>
      <c r="AB280" s="1537"/>
      <c r="AC280" s="1537"/>
      <c r="AD280" s="1537"/>
      <c r="AK280" s="3"/>
      <c r="AL280" s="3"/>
      <c r="AM280" s="3"/>
      <c r="AN280" s="3"/>
      <c r="AO280" s="3"/>
      <c r="AP280" s="3"/>
      <c r="AQ280" s="3"/>
      <c r="AR280" s="3"/>
      <c r="AS280" s="3"/>
      <c r="AT280" s="3"/>
    </row>
    <row r="281" spans="1:51" ht="13.25" customHeight="1">
      <c r="L281" s="22" t="s">
        <v>624</v>
      </c>
      <c r="AU281" s="95"/>
      <c r="AV281" s="95"/>
      <c r="AW281" s="95"/>
      <c r="AX281" s="95"/>
      <c r="AY281" s="95"/>
    </row>
    <row r="282" spans="1:51" ht="13.25" customHeight="1">
      <c r="A282" s="1539" t="s">
        <v>541</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3.2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3.2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2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5" customHeight="1">
      <c r="B287" s="3" t="s">
        <v>626</v>
      </c>
      <c r="C287" s="3"/>
      <c r="D287" s="3"/>
      <c r="E287" s="3"/>
      <c r="F287" s="3"/>
      <c r="H287" s="1407" t="s">
        <v>2625</v>
      </c>
      <c r="I287" s="1407"/>
      <c r="J287" s="1407"/>
      <c r="K287" s="1407"/>
      <c r="L287" s="1407"/>
      <c r="M287" s="1407"/>
      <c r="N287" s="1407"/>
      <c r="O287" s="1407"/>
      <c r="P287" s="1407"/>
      <c r="Q287" s="1407"/>
      <c r="R287" s="1407"/>
      <c r="T287" s="3" t="s">
        <v>567</v>
      </c>
      <c r="V287" s="3"/>
      <c r="W287" s="3"/>
      <c r="X287" s="3"/>
      <c r="Y287" s="3"/>
      <c r="AA287" s="1525" t="s">
        <v>2700</v>
      </c>
      <c r="AB287" s="1407"/>
      <c r="AC287" s="1407"/>
      <c r="AD287" s="1407"/>
      <c r="AE287" s="1407"/>
      <c r="AF287" s="1407"/>
      <c r="AG287" s="1407"/>
      <c r="AH287" s="1407"/>
      <c r="AI287" s="1407"/>
      <c r="AJ287" s="1407"/>
      <c r="AK287" s="1407"/>
    </row>
    <row r="288" spans="1:51" ht="13.25" customHeight="1">
      <c r="B288" s="3" t="s">
        <v>471</v>
      </c>
      <c r="C288" s="3"/>
      <c r="D288" s="3"/>
      <c r="E288" s="3"/>
      <c r="F288" s="3"/>
      <c r="H288" s="1371" t="s">
        <v>2620</v>
      </c>
      <c r="I288" s="1371"/>
      <c r="J288" s="1371"/>
      <c r="K288" s="1371"/>
      <c r="L288" s="1371"/>
      <c r="M288" s="1371"/>
      <c r="N288" s="1371"/>
      <c r="O288" s="1371"/>
      <c r="P288" s="1371"/>
      <c r="Q288" s="1371"/>
      <c r="R288" s="1371"/>
      <c r="T288" s="3" t="s">
        <v>471</v>
      </c>
      <c r="V288" s="3"/>
      <c r="W288" s="3"/>
      <c r="X288" s="3"/>
      <c r="Y288" s="3"/>
      <c r="AA288" s="1537" t="s">
        <v>2703</v>
      </c>
      <c r="AB288" s="1371"/>
      <c r="AC288" s="1371"/>
      <c r="AD288" s="1371"/>
      <c r="AE288" s="1371"/>
      <c r="AF288" s="1371"/>
      <c r="AG288" s="1371"/>
      <c r="AH288" s="1371"/>
      <c r="AI288" s="1371"/>
      <c r="AJ288" s="1371"/>
      <c r="AK288" s="1371"/>
    </row>
    <row r="289" spans="2:37" ht="13.25" customHeight="1">
      <c r="B289" s="3" t="s">
        <v>472</v>
      </c>
      <c r="C289" s="3"/>
      <c r="D289" s="3"/>
      <c r="E289" s="3"/>
      <c r="F289" s="3"/>
      <c r="H289" s="1371" t="s">
        <v>2627</v>
      </c>
      <c r="I289" s="1371"/>
      <c r="J289" s="1371"/>
      <c r="K289" s="1371"/>
      <c r="L289" s="1371"/>
      <c r="M289" s="1371"/>
      <c r="N289" s="1371"/>
      <c r="O289" s="1371"/>
      <c r="P289" s="1371"/>
      <c r="Q289" s="1371"/>
      <c r="R289" s="1371"/>
      <c r="T289" s="3" t="s">
        <v>75</v>
      </c>
      <c r="V289" s="3"/>
      <c r="W289" s="3"/>
      <c r="X289" s="3"/>
      <c r="Y289" s="3"/>
      <c r="AA289" s="1537" t="s">
        <v>2704</v>
      </c>
      <c r="AB289" s="1371"/>
      <c r="AC289" s="1371"/>
      <c r="AD289" s="1371"/>
      <c r="AE289" s="1371"/>
      <c r="AF289" s="1371"/>
      <c r="AG289" s="1371"/>
      <c r="AH289" s="1371"/>
      <c r="AI289" s="1371"/>
      <c r="AJ289" s="1371"/>
      <c r="AK289" s="1371"/>
    </row>
    <row r="290" spans="2:37" ht="13.25" customHeight="1">
      <c r="B290" s="3" t="s">
        <v>87</v>
      </c>
      <c r="C290" s="3"/>
      <c r="D290" s="3"/>
      <c r="E290" s="3"/>
      <c r="F290" s="3"/>
      <c r="H290" s="1371" t="s">
        <v>2623</v>
      </c>
      <c r="I290" s="1371"/>
      <c r="J290" s="1371"/>
      <c r="K290" s="1371"/>
      <c r="L290" s="1371"/>
      <c r="M290" s="1371"/>
      <c r="N290" s="1371"/>
      <c r="O290" s="1371"/>
      <c r="P290" s="1371"/>
      <c r="Q290" s="1371"/>
      <c r="R290" s="1371"/>
      <c r="T290" s="3" t="s">
        <v>87</v>
      </c>
      <c r="V290" s="3"/>
      <c r="W290" s="3"/>
      <c r="X290" s="3"/>
      <c r="Y290" s="3"/>
      <c r="AA290" s="1537" t="s">
        <v>2701</v>
      </c>
      <c r="AB290" s="1371"/>
      <c r="AC290" s="1371"/>
      <c r="AD290" s="1371"/>
      <c r="AE290" s="1371"/>
      <c r="AF290" s="1371"/>
      <c r="AG290" s="1371"/>
      <c r="AH290" s="1371"/>
      <c r="AI290" s="1371"/>
      <c r="AJ290" s="1371"/>
      <c r="AK290" s="1371"/>
    </row>
    <row r="291" spans="2:37" ht="13.25" customHeight="1">
      <c r="B291" s="3" t="s">
        <v>88</v>
      </c>
      <c r="C291" s="3"/>
      <c r="D291" s="3"/>
      <c r="E291" s="3"/>
      <c r="F291" s="3"/>
      <c r="G291" s="3"/>
      <c r="H291" s="1547">
        <v>4242228253</v>
      </c>
      <c r="I291" s="1547"/>
      <c r="J291" s="1547"/>
      <c r="K291" s="1547"/>
      <c r="L291" s="1547"/>
      <c r="M291" s="1547"/>
      <c r="N291" s="4" t="s">
        <v>206</v>
      </c>
      <c r="O291" s="4"/>
      <c r="P291" s="1528"/>
      <c r="Q291" s="1528"/>
      <c r="R291" s="1528"/>
      <c r="S291" s="3"/>
      <c r="T291" s="3" t="s">
        <v>88</v>
      </c>
      <c r="V291" s="3"/>
      <c r="W291" s="3"/>
      <c r="X291" s="3"/>
      <c r="Y291" s="3"/>
      <c r="AA291" s="1574" t="s">
        <v>2702</v>
      </c>
      <c r="AB291" s="1547"/>
      <c r="AC291" s="1547"/>
      <c r="AD291" s="1547"/>
      <c r="AE291" s="1547"/>
      <c r="AF291" s="1547"/>
      <c r="AG291" s="4" t="s">
        <v>206</v>
      </c>
      <c r="AH291" s="4"/>
      <c r="AI291" s="1528"/>
      <c r="AJ291" s="1528"/>
      <c r="AK291" s="1528"/>
    </row>
    <row r="292" spans="2:37" ht="13.25"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3.25" customHeight="1">
      <c r="B293" s="3" t="s">
        <v>76</v>
      </c>
      <c r="C293" s="3"/>
      <c r="D293" s="3"/>
      <c r="E293" s="3"/>
      <c r="F293" s="3"/>
      <c r="G293" s="3"/>
      <c r="H293" s="1371" t="s">
        <v>2624</v>
      </c>
      <c r="I293" s="1371"/>
      <c r="J293" s="1371"/>
      <c r="K293" s="1371"/>
      <c r="L293" s="1371"/>
      <c r="M293" s="1371"/>
      <c r="N293" s="1407"/>
      <c r="O293" s="1407"/>
      <c r="P293" s="1407"/>
      <c r="Q293" s="1407"/>
      <c r="R293" s="1407"/>
      <c r="S293" s="3"/>
      <c r="T293" s="3" t="s">
        <v>76</v>
      </c>
      <c r="V293" s="3"/>
      <c r="W293" s="3"/>
      <c r="X293" s="3"/>
      <c r="Y293" s="3"/>
      <c r="AA293" s="1537" t="s">
        <v>2705</v>
      </c>
      <c r="AB293" s="1371"/>
      <c r="AC293" s="1371"/>
      <c r="AD293" s="1371"/>
      <c r="AE293" s="1371"/>
      <c r="AF293" s="1371"/>
      <c r="AG293" s="1407"/>
      <c r="AH293" s="1407"/>
      <c r="AI293" s="1407"/>
      <c r="AJ293" s="1407"/>
      <c r="AK293" s="1407"/>
    </row>
    <row r="294" spans="2:37"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5" customHeight="1">
      <c r="B295" s="3" t="s">
        <v>323</v>
      </c>
      <c r="C295" s="3"/>
      <c r="D295" s="3"/>
      <c r="E295" s="3"/>
      <c r="F295" s="3"/>
      <c r="H295" s="1407" t="s">
        <v>2706</v>
      </c>
      <c r="I295" s="1407"/>
      <c r="J295" s="1407"/>
      <c r="K295" s="1407"/>
      <c r="L295" s="1407"/>
      <c r="M295" s="1407"/>
      <c r="N295" s="1407"/>
      <c r="O295" s="1407"/>
      <c r="P295" s="1407"/>
      <c r="Q295" s="1407"/>
      <c r="R295" s="1407"/>
      <c r="T295" s="3" t="s">
        <v>364</v>
      </c>
      <c r="V295" s="3"/>
      <c r="W295" s="3"/>
      <c r="X295" s="3"/>
      <c r="Y295" s="3"/>
      <c r="AA295" s="1525" t="s">
        <v>2712</v>
      </c>
      <c r="AB295" s="1407"/>
      <c r="AC295" s="1407"/>
      <c r="AD295" s="1407"/>
      <c r="AE295" s="1407"/>
      <c r="AF295" s="1407"/>
      <c r="AG295" s="1407"/>
      <c r="AH295" s="1407"/>
      <c r="AI295" s="1407"/>
      <c r="AJ295" s="1407"/>
      <c r="AK295" s="1407"/>
    </row>
    <row r="296" spans="2:37" ht="13.25" customHeight="1">
      <c r="B296" s="3" t="s">
        <v>471</v>
      </c>
      <c r="C296" s="3"/>
      <c r="D296" s="3"/>
      <c r="E296" s="3"/>
      <c r="F296" s="3"/>
      <c r="H296" s="1371" t="s">
        <v>2707</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3.25" customHeight="1">
      <c r="B297" s="3" t="s">
        <v>472</v>
      </c>
      <c r="C297" s="3"/>
      <c r="D297" s="3"/>
      <c r="E297" s="3"/>
      <c r="F297" s="3"/>
      <c r="H297" s="1371" t="s">
        <v>2708</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3.25" customHeight="1">
      <c r="B298" s="3" t="s">
        <v>87</v>
      </c>
      <c r="C298" s="3"/>
      <c r="D298" s="3"/>
      <c r="E298" s="3"/>
      <c r="F298" s="3"/>
      <c r="H298" s="1371" t="s">
        <v>2709</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3.25" customHeight="1">
      <c r="B299" s="3" t="s">
        <v>88</v>
      </c>
      <c r="C299" s="3"/>
      <c r="D299" s="3"/>
      <c r="E299" s="3"/>
      <c r="F299" s="3"/>
      <c r="G299" s="3"/>
      <c r="H299" s="1547" t="s">
        <v>2710</v>
      </c>
      <c r="I299" s="1547"/>
      <c r="J299" s="1547"/>
      <c r="K299" s="1547"/>
      <c r="L299" s="1547"/>
      <c r="M299" s="1547"/>
      <c r="N299" s="4" t="s">
        <v>206</v>
      </c>
      <c r="O299" s="4"/>
      <c r="P299" s="1528"/>
      <c r="Q299" s="1528"/>
      <c r="R299" s="1528"/>
      <c r="S299" s="3"/>
      <c r="T299" s="3" t="s">
        <v>88</v>
      </c>
      <c r="V299" s="3"/>
      <c r="W299" s="3"/>
      <c r="X299" s="3"/>
      <c r="Y299" s="3"/>
      <c r="AA299" s="1547"/>
      <c r="AB299" s="1547"/>
      <c r="AC299" s="1547"/>
      <c r="AD299" s="1547"/>
      <c r="AE299" s="1547"/>
      <c r="AF299" s="1547"/>
      <c r="AG299" s="4" t="s">
        <v>206</v>
      </c>
      <c r="AH299" s="4"/>
      <c r="AI299" s="1528"/>
      <c r="AJ299" s="1528"/>
      <c r="AK299" s="1528"/>
    </row>
    <row r="300" spans="2:37" ht="13.25"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3.25" customHeight="1">
      <c r="B301" s="3" t="s">
        <v>76</v>
      </c>
      <c r="C301" s="3"/>
      <c r="D301" s="3"/>
      <c r="E301" s="3"/>
      <c r="F301" s="3"/>
      <c r="G301" s="3"/>
      <c r="H301" s="1371" t="s">
        <v>2711</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3.25" customHeight="1"/>
    <row r="303" spans="2:37" ht="13.25" customHeight="1">
      <c r="B303" s="3" t="s">
        <v>77</v>
      </c>
      <c r="C303" s="3"/>
      <c r="D303" s="3"/>
      <c r="E303" s="3"/>
      <c r="F303" s="3"/>
      <c r="H303" s="1407" t="s">
        <v>2655</v>
      </c>
      <c r="I303" s="1407"/>
      <c r="J303" s="1407"/>
      <c r="K303" s="1407"/>
      <c r="L303" s="1407"/>
      <c r="M303" s="1407"/>
      <c r="N303" s="1407"/>
      <c r="O303" s="1407"/>
      <c r="P303" s="1407"/>
      <c r="Q303" s="1407"/>
      <c r="R303" s="1407"/>
      <c r="T303" s="4" t="s">
        <v>878</v>
      </c>
      <c r="V303" s="3"/>
      <c r="W303" s="3"/>
      <c r="X303" s="3"/>
      <c r="Y303" s="3"/>
      <c r="AA303" s="1525" t="s">
        <v>591</v>
      </c>
      <c r="AB303" s="1407"/>
      <c r="AC303" s="1407"/>
      <c r="AD303" s="1407"/>
      <c r="AE303" s="1407"/>
      <c r="AF303" s="1407"/>
      <c r="AG303" s="1407"/>
      <c r="AH303" s="1407"/>
      <c r="AI303" s="1407"/>
      <c r="AJ303" s="1407"/>
      <c r="AK303" s="1407"/>
    </row>
    <row r="304" spans="2:37" ht="13.25" customHeight="1">
      <c r="B304" s="3" t="s">
        <v>471</v>
      </c>
      <c r="C304" s="3"/>
      <c r="D304" s="3"/>
      <c r="E304" s="3"/>
      <c r="F304" s="3"/>
      <c r="H304" s="1371" t="s">
        <v>2656</v>
      </c>
      <c r="I304" s="1371"/>
      <c r="J304" s="1371"/>
      <c r="K304" s="1371"/>
      <c r="L304" s="1371"/>
      <c r="M304" s="1371"/>
      <c r="N304" s="1371"/>
      <c r="O304" s="1371"/>
      <c r="P304" s="1371"/>
      <c r="Q304" s="1371"/>
      <c r="R304" s="1371"/>
      <c r="T304" s="3" t="s">
        <v>471</v>
      </c>
      <c r="V304" s="3"/>
      <c r="W304" s="3"/>
      <c r="X304" s="3"/>
      <c r="Y304" s="3"/>
      <c r="AA304" s="1371"/>
      <c r="AB304" s="1371"/>
      <c r="AC304" s="1371"/>
      <c r="AD304" s="1371"/>
      <c r="AE304" s="1371"/>
      <c r="AF304" s="1371"/>
      <c r="AG304" s="1371"/>
      <c r="AH304" s="1371"/>
      <c r="AI304" s="1371"/>
      <c r="AJ304" s="1371"/>
      <c r="AK304" s="1371"/>
    </row>
    <row r="305" spans="2:37" ht="13.25" customHeight="1">
      <c r="B305" s="3" t="s">
        <v>472</v>
      </c>
      <c r="C305" s="3"/>
      <c r="D305" s="3"/>
      <c r="E305" s="3"/>
      <c r="F305" s="3"/>
      <c r="H305" s="1371" t="s">
        <v>2713</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3.25" customHeight="1">
      <c r="B306" s="3" t="s">
        <v>87</v>
      </c>
      <c r="C306" s="3"/>
      <c r="D306" s="3"/>
      <c r="E306" s="3"/>
      <c r="F306" s="3"/>
      <c r="H306" s="1371" t="s">
        <v>2658</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3.25" customHeight="1">
      <c r="B307" s="3" t="s">
        <v>88</v>
      </c>
      <c r="C307" s="3"/>
      <c r="D307" s="3"/>
      <c r="E307" s="3"/>
      <c r="F307" s="3"/>
      <c r="G307" s="3"/>
      <c r="H307" s="1547" t="s">
        <v>2714</v>
      </c>
      <c r="I307" s="1547"/>
      <c r="J307" s="1547"/>
      <c r="K307" s="1547"/>
      <c r="L307" s="1547"/>
      <c r="M307" s="1547"/>
      <c r="N307" s="4" t="s">
        <v>206</v>
      </c>
      <c r="O307" s="4"/>
      <c r="P307" s="1528"/>
      <c r="Q307" s="1528"/>
      <c r="R307" s="1528"/>
      <c r="S307" s="3"/>
      <c r="T307" s="3" t="s">
        <v>88</v>
      </c>
      <c r="V307" s="3"/>
      <c r="W307" s="3"/>
      <c r="X307" s="3"/>
      <c r="Y307" s="3"/>
      <c r="AA307" s="1547"/>
      <c r="AB307" s="1547"/>
      <c r="AC307" s="1547"/>
      <c r="AD307" s="1547"/>
      <c r="AE307" s="1547"/>
      <c r="AF307" s="1547"/>
      <c r="AG307" s="4" t="s">
        <v>206</v>
      </c>
      <c r="AH307" s="4"/>
      <c r="AI307" s="1528"/>
      <c r="AJ307" s="1528"/>
      <c r="AK307" s="1528"/>
    </row>
    <row r="308" spans="2:37" ht="13.25"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25" customHeight="1">
      <c r="B309" s="3" t="s">
        <v>76</v>
      </c>
      <c r="C309" s="3"/>
      <c r="D309" s="3"/>
      <c r="E309" s="3"/>
      <c r="F309" s="3"/>
      <c r="G309" s="3"/>
      <c r="H309" s="1371" t="s">
        <v>2659</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3.2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25" customHeight="1">
      <c r="B311" s="4" t="s">
        <v>907</v>
      </c>
      <c r="C311" s="3"/>
      <c r="D311" s="3"/>
      <c r="E311" s="3"/>
      <c r="F311" s="3"/>
      <c r="H311" s="1407" t="s">
        <v>2655</v>
      </c>
      <c r="I311" s="1407"/>
      <c r="J311" s="1407"/>
      <c r="K311" s="1407"/>
      <c r="L311" s="1407"/>
      <c r="M311" s="1407"/>
      <c r="N311" s="1407"/>
      <c r="O311" s="1407"/>
      <c r="P311" s="1407"/>
      <c r="Q311" s="1407"/>
      <c r="R311" s="1407"/>
      <c r="S311" s="3"/>
      <c r="T311" s="3" t="s">
        <v>365</v>
      </c>
      <c r="V311" s="3"/>
      <c r="W311" s="3"/>
      <c r="X311" s="3"/>
      <c r="Y311" s="3"/>
      <c r="AA311" s="1407" t="s">
        <v>2635</v>
      </c>
      <c r="AB311" s="1407"/>
      <c r="AC311" s="1407"/>
      <c r="AD311" s="1407"/>
      <c r="AE311" s="1407"/>
      <c r="AF311" s="1407"/>
      <c r="AG311" s="1407"/>
      <c r="AH311" s="1407"/>
      <c r="AI311" s="1407"/>
      <c r="AJ311" s="1407"/>
      <c r="AK311" s="1407"/>
    </row>
    <row r="312" spans="2:37" ht="13.25" customHeight="1">
      <c r="B312" s="3" t="s">
        <v>471</v>
      </c>
      <c r="C312" s="3"/>
      <c r="D312" s="3"/>
      <c r="E312" s="3"/>
      <c r="F312" s="3"/>
      <c r="H312" s="1371" t="s">
        <v>2656</v>
      </c>
      <c r="I312" s="1371"/>
      <c r="J312" s="1371"/>
      <c r="K312" s="1371"/>
      <c r="L312" s="1371"/>
      <c r="M312" s="1371"/>
      <c r="N312" s="1371"/>
      <c r="O312" s="1371"/>
      <c r="P312" s="1371"/>
      <c r="Q312" s="1371"/>
      <c r="R312" s="1371"/>
      <c r="S312" s="3"/>
      <c r="T312" s="3" t="s">
        <v>471</v>
      </c>
      <c r="V312" s="3"/>
      <c r="W312" s="3"/>
      <c r="X312" s="3"/>
      <c r="Y312" s="3"/>
      <c r="AA312" s="1371" t="s">
        <v>2636</v>
      </c>
      <c r="AB312" s="1371"/>
      <c r="AC312" s="1371"/>
      <c r="AD312" s="1371"/>
      <c r="AE312" s="1371"/>
      <c r="AF312" s="1371"/>
      <c r="AG312" s="1371"/>
      <c r="AH312" s="1371"/>
      <c r="AI312" s="1371"/>
      <c r="AJ312" s="1371"/>
      <c r="AK312" s="1371"/>
    </row>
    <row r="313" spans="2:37" ht="13.25" customHeight="1">
      <c r="B313" s="3" t="s">
        <v>472</v>
      </c>
      <c r="C313" s="3"/>
      <c r="D313" s="3"/>
      <c r="E313" s="3"/>
      <c r="F313" s="3"/>
      <c r="H313" s="1371" t="s">
        <v>2657</v>
      </c>
      <c r="I313" s="1371"/>
      <c r="J313" s="1371"/>
      <c r="K313" s="1371"/>
      <c r="L313" s="1371"/>
      <c r="M313" s="1371"/>
      <c r="N313" s="1371"/>
      <c r="O313" s="1371"/>
      <c r="P313" s="1371"/>
      <c r="Q313" s="1371"/>
      <c r="R313" s="1371"/>
      <c r="S313" s="3"/>
      <c r="T313" s="3" t="s">
        <v>75</v>
      </c>
      <c r="V313" s="3"/>
      <c r="W313" s="3"/>
      <c r="X313" s="3"/>
      <c r="Y313" s="3"/>
      <c r="AA313" s="1371" t="s">
        <v>2637</v>
      </c>
      <c r="AB313" s="1371"/>
      <c r="AC313" s="1371"/>
      <c r="AD313" s="1371"/>
      <c r="AE313" s="1371"/>
      <c r="AF313" s="1371"/>
      <c r="AG313" s="1371"/>
      <c r="AH313" s="1371"/>
      <c r="AI313" s="1371"/>
      <c r="AJ313" s="1371"/>
      <c r="AK313" s="1371"/>
    </row>
    <row r="314" spans="2:37" ht="13.25" customHeight="1">
      <c r="B314" s="3" t="s">
        <v>87</v>
      </c>
      <c r="C314" s="3"/>
      <c r="D314" s="3"/>
      <c r="E314" s="3"/>
      <c r="F314" s="3"/>
      <c r="H314" s="1371" t="s">
        <v>2658</v>
      </c>
      <c r="I314" s="1371"/>
      <c r="J314" s="1371"/>
      <c r="K314" s="1371"/>
      <c r="L314" s="1371"/>
      <c r="M314" s="1371"/>
      <c r="N314" s="1371"/>
      <c r="O314" s="1371"/>
      <c r="P314" s="1371"/>
      <c r="Q314" s="1371"/>
      <c r="R314" s="1371"/>
      <c r="S314" s="3"/>
      <c r="T314" s="3" t="s">
        <v>87</v>
      </c>
      <c r="V314" s="3"/>
      <c r="W314" s="3"/>
      <c r="X314" s="3"/>
      <c r="Y314" s="3"/>
      <c r="AA314" s="1371" t="s">
        <v>2638</v>
      </c>
      <c r="AB314" s="1371"/>
      <c r="AC314" s="1371"/>
      <c r="AD314" s="1371"/>
      <c r="AE314" s="1371"/>
      <c r="AF314" s="1371"/>
      <c r="AG314" s="1371"/>
      <c r="AH314" s="1371"/>
      <c r="AI314" s="1371"/>
      <c r="AJ314" s="1371"/>
      <c r="AK314" s="1371"/>
    </row>
    <row r="315" spans="2:37" ht="13.25" customHeight="1">
      <c r="B315" s="3" t="s">
        <v>88</v>
      </c>
      <c r="C315" s="3"/>
      <c r="D315" s="3"/>
      <c r="E315" s="3"/>
      <c r="F315" s="3"/>
      <c r="G315" s="3"/>
      <c r="H315" s="1547">
        <v>4702736610</v>
      </c>
      <c r="I315" s="1547"/>
      <c r="J315" s="1547"/>
      <c r="K315" s="1547"/>
      <c r="L315" s="1547"/>
      <c r="M315" s="1547"/>
      <c r="N315" s="4" t="s">
        <v>206</v>
      </c>
      <c r="O315" s="4"/>
      <c r="P315" s="1528"/>
      <c r="Q315" s="1528"/>
      <c r="R315" s="1528"/>
      <c r="S315" s="3"/>
      <c r="T315" s="3" t="s">
        <v>88</v>
      </c>
      <c r="V315" s="3"/>
      <c r="W315" s="3"/>
      <c r="X315" s="3"/>
      <c r="Y315" s="3"/>
      <c r="AA315" s="1547">
        <v>9727415150</v>
      </c>
      <c r="AB315" s="1547"/>
      <c r="AC315" s="1547"/>
      <c r="AD315" s="1547"/>
      <c r="AE315" s="1547"/>
      <c r="AF315" s="1547"/>
      <c r="AG315" s="4" t="s">
        <v>206</v>
      </c>
      <c r="AH315" s="4"/>
      <c r="AI315" s="1528"/>
      <c r="AJ315" s="1528"/>
      <c r="AK315" s="1528"/>
    </row>
    <row r="316" spans="2:37" ht="13.25"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3.25" customHeight="1">
      <c r="B317" s="3" t="s">
        <v>76</v>
      </c>
      <c r="C317" s="3"/>
      <c r="D317" s="3"/>
      <c r="E317" s="3"/>
      <c r="F317" s="3"/>
      <c r="G317" s="3"/>
      <c r="H317" s="1371" t="s">
        <v>2659</v>
      </c>
      <c r="I317" s="1371"/>
      <c r="J317" s="1371"/>
      <c r="K317" s="1371"/>
      <c r="L317" s="1371"/>
      <c r="M317" s="1371"/>
      <c r="N317" s="1407"/>
      <c r="O317" s="1407"/>
      <c r="P317" s="1407"/>
      <c r="Q317" s="1407"/>
      <c r="R317" s="1407"/>
      <c r="S317" s="3"/>
      <c r="T317" s="3" t="s">
        <v>76</v>
      </c>
      <c r="V317" s="3"/>
      <c r="W317" s="3"/>
      <c r="X317" s="3"/>
      <c r="Y317" s="3"/>
      <c r="AA317" s="1371" t="s">
        <v>2639</v>
      </c>
      <c r="AB317" s="1371"/>
      <c r="AC317" s="1371"/>
      <c r="AD317" s="1371"/>
      <c r="AE317" s="1371"/>
      <c r="AF317" s="1371"/>
      <c r="AG317" s="1407"/>
      <c r="AH317" s="1407"/>
      <c r="AI317" s="1407"/>
      <c r="AJ317" s="1407"/>
      <c r="AK317" s="1407"/>
    </row>
    <row r="318" spans="2:37" ht="13.25" customHeight="1"/>
    <row r="319" spans="2:37" ht="13.25" customHeight="1">
      <c r="B319" s="4" t="s">
        <v>908</v>
      </c>
      <c r="C319" s="3"/>
      <c r="D319" s="3"/>
      <c r="E319" s="3"/>
      <c r="F319" s="3"/>
      <c r="H319" s="1525" t="s">
        <v>591</v>
      </c>
      <c r="I319" s="1407"/>
      <c r="J319" s="1407"/>
      <c r="K319" s="1407"/>
      <c r="L319" s="1407"/>
      <c r="M319" s="1407"/>
      <c r="N319" s="1407"/>
      <c r="O319" s="1407"/>
      <c r="P319" s="1407"/>
      <c r="Q319" s="1407"/>
      <c r="R319" s="1407"/>
      <c r="T319" s="3" t="s">
        <v>366</v>
      </c>
      <c r="V319" s="3"/>
      <c r="W319" s="3"/>
      <c r="X319" s="3"/>
      <c r="Y319" s="3"/>
      <c r="AA319" s="1407" t="s">
        <v>2640</v>
      </c>
      <c r="AB319" s="1407"/>
      <c r="AC319" s="1407"/>
      <c r="AD319" s="1407"/>
      <c r="AE319" s="1407"/>
      <c r="AF319" s="1407"/>
      <c r="AG319" s="1407"/>
      <c r="AH319" s="1407"/>
      <c r="AI319" s="1407"/>
      <c r="AJ319" s="1407"/>
      <c r="AK319" s="1407"/>
    </row>
    <row r="320" spans="2:37" ht="13.25"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2641</v>
      </c>
      <c r="AB320" s="1371"/>
      <c r="AC320" s="1371"/>
      <c r="AD320" s="1371"/>
      <c r="AE320" s="1371"/>
      <c r="AF320" s="1371"/>
      <c r="AG320" s="1371"/>
      <c r="AH320" s="1371"/>
      <c r="AI320" s="1371"/>
      <c r="AJ320" s="1371"/>
      <c r="AK320" s="1371"/>
    </row>
    <row r="321" spans="2:37" ht="13.25"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2642</v>
      </c>
      <c r="AB321" s="1371"/>
      <c r="AC321" s="1371"/>
      <c r="AD321" s="1371"/>
      <c r="AE321" s="1371"/>
      <c r="AF321" s="1371"/>
      <c r="AG321" s="1371"/>
      <c r="AH321" s="1371"/>
      <c r="AI321" s="1371"/>
      <c r="AJ321" s="1371"/>
      <c r="AK321" s="1371"/>
    </row>
    <row r="322" spans="2:37" ht="13.2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2643</v>
      </c>
      <c r="AB322" s="1371"/>
      <c r="AC322" s="1371"/>
      <c r="AD322" s="1371"/>
      <c r="AE322" s="1371"/>
      <c r="AF322" s="1371"/>
      <c r="AG322" s="1371"/>
      <c r="AH322" s="1371"/>
      <c r="AI322" s="1371"/>
      <c r="AJ322" s="1371"/>
      <c r="AK322" s="1371"/>
    </row>
    <row r="323" spans="2:37" ht="13.25" customHeight="1">
      <c r="B323" s="3" t="s">
        <v>88</v>
      </c>
      <c r="C323" s="3"/>
      <c r="D323" s="3"/>
      <c r="E323" s="3"/>
      <c r="F323" s="3"/>
      <c r="G323" s="3"/>
      <c r="H323" s="1547"/>
      <c r="I323" s="1547"/>
      <c r="J323" s="1547"/>
      <c r="K323" s="1547"/>
      <c r="L323" s="1547"/>
      <c r="M323" s="1547"/>
      <c r="N323" s="4" t="s">
        <v>206</v>
      </c>
      <c r="O323" s="4"/>
      <c r="P323" s="1528"/>
      <c r="Q323" s="1528"/>
      <c r="R323" s="1528"/>
      <c r="S323" s="3"/>
      <c r="T323" s="3" t="s">
        <v>88</v>
      </c>
      <c r="V323" s="3"/>
      <c r="W323" s="3"/>
      <c r="X323" s="3"/>
      <c r="Y323" s="3"/>
      <c r="AA323" s="1547">
        <v>9133124616</v>
      </c>
      <c r="AB323" s="1547"/>
      <c r="AC323" s="1547"/>
      <c r="AD323" s="1547"/>
      <c r="AE323" s="1547"/>
      <c r="AF323" s="1547"/>
      <c r="AG323" s="4" t="s">
        <v>206</v>
      </c>
      <c r="AH323" s="4"/>
      <c r="AI323" s="1528"/>
      <c r="AJ323" s="1528"/>
      <c r="AK323" s="1528"/>
    </row>
    <row r="324" spans="2:37" ht="13.25"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3.2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2644</v>
      </c>
      <c r="AB325" s="1371"/>
      <c r="AC325" s="1371"/>
      <c r="AD325" s="1371"/>
      <c r="AE325" s="1371"/>
      <c r="AF325" s="1371"/>
      <c r="AG325" s="1407"/>
      <c r="AH325" s="1407"/>
      <c r="AI325" s="1407"/>
      <c r="AJ325" s="1407"/>
      <c r="AK325" s="1407"/>
    </row>
    <row r="326" spans="2:37" ht="13.25" customHeight="1">
      <c r="B326" s="3"/>
      <c r="C326" s="3"/>
      <c r="D326" s="3"/>
      <c r="E326" s="3"/>
      <c r="F326" s="3"/>
      <c r="G326" s="3"/>
      <c r="P326" s="163"/>
      <c r="Q326" s="163"/>
      <c r="R326" s="163"/>
      <c r="S326" s="163"/>
      <c r="T326" s="163"/>
      <c r="U326" s="163"/>
      <c r="V326" s="4"/>
      <c r="W326" s="4"/>
      <c r="X326" s="35"/>
      <c r="Y326" s="35"/>
      <c r="Z326" s="35"/>
    </row>
    <row r="327" spans="2:37" ht="13.25" customHeight="1">
      <c r="B327" s="3" t="s">
        <v>367</v>
      </c>
      <c r="C327" s="3"/>
      <c r="D327" s="3"/>
      <c r="E327" s="3"/>
      <c r="F327" s="3"/>
      <c r="H327" s="1525" t="s">
        <v>591</v>
      </c>
      <c r="I327" s="1407"/>
      <c r="J327" s="1407"/>
      <c r="K327" s="1407"/>
      <c r="L327" s="1407"/>
      <c r="M327" s="1407"/>
      <c r="N327" s="1407"/>
      <c r="O327" s="1407"/>
      <c r="P327" s="1407"/>
      <c r="Q327" s="1407"/>
      <c r="R327" s="1407"/>
      <c r="T327" s="3" t="s">
        <v>368</v>
      </c>
      <c r="V327" s="3"/>
      <c r="W327" s="3"/>
      <c r="X327" s="3"/>
      <c r="Y327" s="3"/>
      <c r="AA327" s="1525" t="s">
        <v>591</v>
      </c>
      <c r="AB327" s="1407"/>
      <c r="AC327" s="1407"/>
      <c r="AD327" s="1407"/>
      <c r="AE327" s="1407"/>
      <c r="AF327" s="1407"/>
      <c r="AG327" s="1407"/>
      <c r="AH327" s="1407"/>
      <c r="AI327" s="1407"/>
      <c r="AJ327" s="1407"/>
      <c r="AK327" s="1407"/>
    </row>
    <row r="328" spans="2:37" ht="13.25" customHeight="1">
      <c r="B328" s="3" t="s">
        <v>471</v>
      </c>
      <c r="C328" s="3"/>
      <c r="D328" s="3"/>
      <c r="E328" s="3"/>
      <c r="F328" s="3"/>
      <c r="H328" s="1371"/>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3.25" customHeight="1">
      <c r="B329" s="3" t="s">
        <v>472</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2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25" customHeight="1">
      <c r="B331" s="3" t="s">
        <v>88</v>
      </c>
      <c r="C331" s="3"/>
      <c r="D331" s="3"/>
      <c r="E331" s="3"/>
      <c r="F331" s="3"/>
      <c r="G331" s="3"/>
      <c r="H331" s="1547"/>
      <c r="I331" s="1547"/>
      <c r="J331" s="1547"/>
      <c r="K331" s="1547"/>
      <c r="L331" s="1547"/>
      <c r="M331" s="1547"/>
      <c r="N331" s="4" t="s">
        <v>206</v>
      </c>
      <c r="O331" s="4"/>
      <c r="P331" s="1528"/>
      <c r="Q331" s="1528"/>
      <c r="R331" s="1528"/>
      <c r="S331" s="3"/>
      <c r="T331" s="3" t="s">
        <v>88</v>
      </c>
      <c r="V331" s="3"/>
      <c r="W331" s="3"/>
      <c r="X331" s="3"/>
      <c r="Y331" s="3"/>
      <c r="AA331" s="1547"/>
      <c r="AB331" s="1547"/>
      <c r="AC331" s="1547"/>
      <c r="AD331" s="1547"/>
      <c r="AE331" s="1547"/>
      <c r="AF331" s="1547"/>
      <c r="AG331" s="4" t="s">
        <v>206</v>
      </c>
      <c r="AH331" s="4"/>
      <c r="AI331" s="1528"/>
      <c r="AJ331" s="1528"/>
      <c r="AK331" s="1528"/>
    </row>
    <row r="332" spans="2:37" ht="13.25"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2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25" customHeight="1">
      <c r="B334" s="3"/>
      <c r="C334" s="3"/>
      <c r="D334" s="3"/>
      <c r="E334" s="3"/>
      <c r="F334" s="3"/>
      <c r="G334" s="3"/>
      <c r="P334" s="163"/>
      <c r="Q334" s="163"/>
      <c r="R334" s="163"/>
      <c r="S334" s="163"/>
      <c r="T334" s="163"/>
      <c r="U334" s="163"/>
      <c r="V334" s="4"/>
      <c r="W334" s="4"/>
      <c r="X334" s="35"/>
      <c r="Y334" s="35"/>
      <c r="Z334" s="35"/>
    </row>
    <row r="335" spans="2:37" ht="13.25" customHeight="1">
      <c r="B335" s="3" t="s">
        <v>329</v>
      </c>
      <c r="C335" s="3"/>
      <c r="D335" s="3"/>
      <c r="E335" s="3"/>
      <c r="F335" s="3"/>
      <c r="H335" s="1407" t="s">
        <v>2645</v>
      </c>
      <c r="I335" s="1407"/>
      <c r="J335" s="1407"/>
      <c r="K335" s="1407"/>
      <c r="L335" s="1407"/>
      <c r="M335" s="1407"/>
      <c r="N335" s="1407"/>
      <c r="O335" s="1407"/>
      <c r="P335" s="1407"/>
      <c r="Q335" s="1407"/>
      <c r="R335" s="1407"/>
      <c r="T335" s="204" t="s">
        <v>886</v>
      </c>
      <c r="V335" s="3"/>
      <c r="W335" s="3"/>
      <c r="X335" s="3"/>
      <c r="Y335" s="3"/>
      <c r="AA335" s="1407" t="s">
        <v>2650</v>
      </c>
      <c r="AB335" s="1407"/>
      <c r="AC335" s="1407"/>
      <c r="AD335" s="1407"/>
      <c r="AE335" s="1407"/>
      <c r="AF335" s="1407"/>
      <c r="AG335" s="1407"/>
      <c r="AH335" s="1407"/>
      <c r="AI335" s="1407"/>
      <c r="AJ335" s="1407"/>
      <c r="AK335" s="1407"/>
    </row>
    <row r="336" spans="2:37" ht="13.25" customHeight="1">
      <c r="B336" s="3" t="s">
        <v>471</v>
      </c>
      <c r="C336" s="3"/>
      <c r="D336" s="3"/>
      <c r="E336" s="3"/>
      <c r="F336" s="3"/>
      <c r="H336" s="1371" t="s">
        <v>2646</v>
      </c>
      <c r="I336" s="1371"/>
      <c r="J336" s="1371"/>
      <c r="K336" s="1371"/>
      <c r="L336" s="1371"/>
      <c r="M336" s="1371"/>
      <c r="N336" s="1371"/>
      <c r="O336" s="1371"/>
      <c r="P336" s="1371"/>
      <c r="Q336" s="1371"/>
      <c r="R336" s="1371"/>
      <c r="T336" s="3" t="s">
        <v>471</v>
      </c>
      <c r="V336" s="3"/>
      <c r="W336" s="3"/>
      <c r="X336" s="3"/>
      <c r="Y336" s="3"/>
      <c r="AA336" s="1371" t="s">
        <v>2651</v>
      </c>
      <c r="AB336" s="1371"/>
      <c r="AC336" s="1371"/>
      <c r="AD336" s="1371"/>
      <c r="AE336" s="1371"/>
      <c r="AF336" s="1371"/>
      <c r="AG336" s="1371"/>
      <c r="AH336" s="1371"/>
      <c r="AI336" s="1371"/>
      <c r="AJ336" s="1371"/>
      <c r="AK336" s="1371"/>
    </row>
    <row r="337" spans="1:66" ht="13.25" customHeight="1">
      <c r="B337" s="3" t="s">
        <v>75</v>
      </c>
      <c r="C337" s="3"/>
      <c r="D337" s="3"/>
      <c r="E337" s="3"/>
      <c r="F337" s="3"/>
      <c r="H337" s="1371" t="s">
        <v>2647</v>
      </c>
      <c r="I337" s="1371"/>
      <c r="J337" s="1371"/>
      <c r="K337" s="1371"/>
      <c r="L337" s="1371"/>
      <c r="M337" s="1371"/>
      <c r="N337" s="1371"/>
      <c r="O337" s="1371"/>
      <c r="P337" s="1371"/>
      <c r="Q337" s="1371"/>
      <c r="R337" s="1371"/>
      <c r="T337" s="3" t="s">
        <v>75</v>
      </c>
      <c r="V337" s="3"/>
      <c r="W337" s="3"/>
      <c r="X337" s="3"/>
      <c r="Y337" s="3"/>
      <c r="AA337" s="1371" t="s">
        <v>2652</v>
      </c>
      <c r="AB337" s="1371"/>
      <c r="AC337" s="1371"/>
      <c r="AD337" s="1371"/>
      <c r="AE337" s="1371"/>
      <c r="AF337" s="1371"/>
      <c r="AG337" s="1371"/>
      <c r="AH337" s="1371"/>
      <c r="AI337" s="1371"/>
      <c r="AJ337" s="1371"/>
      <c r="AK337" s="1371"/>
    </row>
    <row r="338" spans="1:66" ht="13.25" customHeight="1">
      <c r="B338" s="3" t="s">
        <v>87</v>
      </c>
      <c r="C338" s="3"/>
      <c r="D338" s="3"/>
      <c r="E338" s="3"/>
      <c r="F338" s="3"/>
      <c r="G338" s="3"/>
      <c r="H338" s="1371" t="s">
        <v>2648</v>
      </c>
      <c r="I338" s="1371"/>
      <c r="J338" s="1371"/>
      <c r="K338" s="1371"/>
      <c r="L338" s="1371"/>
      <c r="M338" s="1371"/>
      <c r="N338" s="1371"/>
      <c r="O338" s="1371"/>
      <c r="P338" s="1371"/>
      <c r="Q338" s="1371"/>
      <c r="R338" s="1371"/>
      <c r="T338" s="3" t="s">
        <v>87</v>
      </c>
      <c r="V338" s="3"/>
      <c r="W338" s="3"/>
      <c r="X338" s="3"/>
      <c r="Y338" s="3"/>
      <c r="AA338" s="1371" t="s">
        <v>2653</v>
      </c>
      <c r="AB338" s="1371"/>
      <c r="AC338" s="1371"/>
      <c r="AD338" s="1371"/>
      <c r="AE338" s="1371"/>
      <c r="AF338" s="1371"/>
      <c r="AG338" s="1371"/>
      <c r="AH338" s="1371"/>
      <c r="AI338" s="1371"/>
      <c r="AJ338" s="1371"/>
      <c r="AK338" s="1371"/>
    </row>
    <row r="339" spans="1:66" ht="13.25" customHeight="1">
      <c r="B339" s="3" t="s">
        <v>88</v>
      </c>
      <c r="C339" s="3"/>
      <c r="D339" s="3"/>
      <c r="E339" s="3"/>
      <c r="F339" s="3"/>
      <c r="G339" s="3"/>
      <c r="H339" s="1547">
        <v>7609301333</v>
      </c>
      <c r="I339" s="1547"/>
      <c r="J339" s="1547"/>
      <c r="K339" s="1547"/>
      <c r="L339" s="1547"/>
      <c r="M339" s="1547"/>
      <c r="N339" s="4" t="s">
        <v>206</v>
      </c>
      <c r="O339" s="4"/>
      <c r="P339" s="1528"/>
      <c r="Q339" s="1528"/>
      <c r="R339" s="1528"/>
      <c r="S339" s="3"/>
      <c r="T339" s="3" t="s">
        <v>88</v>
      </c>
      <c r="V339" s="3"/>
      <c r="W339" s="3"/>
      <c r="X339" s="3"/>
      <c r="Y339" s="3"/>
      <c r="AA339" s="1547">
        <v>9163587299</v>
      </c>
      <c r="AB339" s="1547"/>
      <c r="AC339" s="1547"/>
      <c r="AD339" s="1547"/>
      <c r="AE339" s="1547"/>
      <c r="AF339" s="1547"/>
      <c r="AG339" s="4" t="s">
        <v>206</v>
      </c>
      <c r="AH339" s="4"/>
      <c r="AI339" s="1528"/>
      <c r="AJ339" s="1528"/>
      <c r="AK339" s="1528"/>
    </row>
    <row r="340" spans="1:66" ht="13.25" customHeight="1">
      <c r="B340" s="3" t="s">
        <v>89</v>
      </c>
      <c r="C340" s="3"/>
      <c r="D340" s="3"/>
      <c r="E340" s="3"/>
      <c r="F340" s="3"/>
      <c r="G340" s="3"/>
      <c r="H340" s="1489">
        <v>7606833390</v>
      </c>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3.25" customHeight="1">
      <c r="B341" s="3" t="s">
        <v>76</v>
      </c>
      <c r="C341" s="3"/>
      <c r="D341" s="3"/>
      <c r="E341" s="3"/>
      <c r="F341" s="3"/>
      <c r="G341" s="3"/>
      <c r="H341" s="1371" t="s">
        <v>2649</v>
      </c>
      <c r="I341" s="1371"/>
      <c r="J341" s="1371"/>
      <c r="K341" s="1371"/>
      <c r="L341" s="1371"/>
      <c r="M341" s="1371"/>
      <c r="N341" s="1407"/>
      <c r="O341" s="1407"/>
      <c r="P341" s="1407"/>
      <c r="Q341" s="1407"/>
      <c r="R341" s="1407"/>
      <c r="S341" s="3"/>
      <c r="T341" s="3" t="s">
        <v>76</v>
      </c>
      <c r="V341" s="3"/>
      <c r="W341" s="3"/>
      <c r="X341" s="3"/>
      <c r="Y341" s="3"/>
      <c r="AA341" s="1371" t="s">
        <v>2654</v>
      </c>
      <c r="AB341" s="1371"/>
      <c r="AC341" s="1371"/>
      <c r="AD341" s="1371"/>
      <c r="AE341" s="1371"/>
      <c r="AF341" s="1371"/>
      <c r="AG341" s="1407"/>
      <c r="AH341" s="1407"/>
      <c r="AI341" s="1407"/>
      <c r="AJ341" s="1407"/>
      <c r="AK341" s="1407"/>
    </row>
    <row r="342" spans="1:66" ht="13.2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25" customHeight="1">
      <c r="B343" s="3"/>
      <c r="C343" s="4"/>
      <c r="D343" s="4"/>
      <c r="E343" s="4"/>
      <c r="F343" s="4"/>
      <c r="I343" s="204" t="s">
        <v>887</v>
      </c>
      <c r="P343" s="1407" t="s">
        <v>591</v>
      </c>
      <c r="Q343" s="1407"/>
      <c r="R343" s="1407"/>
      <c r="S343" s="1407"/>
      <c r="T343" s="1407"/>
      <c r="U343" s="1407"/>
      <c r="V343" s="1407"/>
      <c r="W343" s="1407"/>
      <c r="X343" s="1407"/>
      <c r="Y343" s="1407"/>
      <c r="Z343" s="1407"/>
      <c r="AA343" s="1407"/>
      <c r="AB343" s="1407"/>
      <c r="AC343" s="1407"/>
      <c r="AD343" s="1407"/>
      <c r="AE343" s="1407"/>
      <c r="BN343" t="s">
        <v>669</v>
      </c>
    </row>
    <row r="344" spans="1:66" ht="13.2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3.2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2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2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3.2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3.2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25" customHeight="1">
      <c r="T350" s="8"/>
      <c r="U350" s="8"/>
      <c r="V350" s="8"/>
      <c r="W350" s="8"/>
      <c r="X350" s="8"/>
      <c r="Y350" s="8"/>
      <c r="Z350" s="8"/>
      <c r="AU350" s="95"/>
      <c r="AV350" s="95"/>
      <c r="AW350" s="95"/>
      <c r="AX350" s="95"/>
      <c r="AY350" s="95"/>
    </row>
    <row r="351" spans="1:66" ht="13.25" customHeight="1">
      <c r="A351" s="1539" t="s">
        <v>542</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3.2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3.2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25" customHeight="1">
      <c r="A354" s="2" t="s">
        <v>319</v>
      </c>
      <c r="B354" s="2"/>
      <c r="C354" s="2" t="s">
        <v>782</v>
      </c>
    </row>
    <row r="355" spans="1:46" ht="13.25" customHeight="1">
      <c r="D355" s="3" t="s">
        <v>2098</v>
      </c>
      <c r="M355" s="1415" t="s">
        <v>545</v>
      </c>
      <c r="N355" s="1415"/>
      <c r="P355" t="s">
        <v>1650</v>
      </c>
      <c r="AJ355" s="1415" t="s">
        <v>591</v>
      </c>
      <c r="AK355" s="1415"/>
    </row>
    <row r="356" spans="1:46" ht="13.25" customHeight="1">
      <c r="D356" s="3" t="s">
        <v>1639</v>
      </c>
      <c r="M356" s="1415" t="s">
        <v>591</v>
      </c>
      <c r="N356" s="1415"/>
      <c r="P356" s="3" t="s">
        <v>1719</v>
      </c>
      <c r="AJ356" s="1382"/>
      <c r="AK356" s="1382"/>
    </row>
    <row r="357" spans="1:46" ht="13.25" customHeight="1">
      <c r="D357" s="3" t="s">
        <v>704</v>
      </c>
      <c r="M357" s="1415" t="s">
        <v>591</v>
      </c>
      <c r="N357" s="1415"/>
      <c r="P357" t="s">
        <v>1649</v>
      </c>
      <c r="AJ357" s="1415" t="s">
        <v>591</v>
      </c>
      <c r="AK357" s="1415"/>
    </row>
    <row r="358" spans="1:46" ht="13.25" customHeight="1">
      <c r="D358" s="3" t="s">
        <v>705</v>
      </c>
      <c r="M358" s="1415" t="s">
        <v>591</v>
      </c>
      <c r="N358" s="1415"/>
      <c r="Q358" s="4"/>
    </row>
    <row r="359" spans="1:46" ht="13.25" customHeight="1">
      <c r="Q359" s="4"/>
    </row>
    <row r="360" spans="1:46" ht="13.25" customHeight="1">
      <c r="Q360" s="4"/>
    </row>
    <row r="361" spans="1:46" ht="13.25" customHeight="1">
      <c r="A361" s="2" t="s">
        <v>576</v>
      </c>
      <c r="B361" s="2"/>
      <c r="C361" s="2" t="s">
        <v>552</v>
      </c>
      <c r="D361" s="2"/>
    </row>
    <row r="362" spans="1:46" ht="13.2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25" customHeight="1">
      <c r="D363" s="39" t="s">
        <v>186</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3.25" customHeight="1">
      <c r="E364" t="s">
        <v>370</v>
      </c>
      <c r="Y364" s="1415" t="s">
        <v>591</v>
      </c>
      <c r="Z364" s="1415"/>
    </row>
    <row r="365" spans="1:46" ht="13.25" customHeight="1">
      <c r="D365" s="4" t="s">
        <v>978</v>
      </c>
      <c r="Q365" s="1407" t="s">
        <v>591</v>
      </c>
      <c r="R365" s="1407"/>
      <c r="S365" s="1407"/>
      <c r="T365" s="1407"/>
      <c r="U365" s="1407"/>
      <c r="V365" s="1407"/>
      <c r="W365" s="1407"/>
      <c r="X365" s="1407"/>
      <c r="Y365" s="1407"/>
      <c r="Z365" s="1407"/>
      <c r="AA365" s="1407"/>
      <c r="AB365" s="1407"/>
      <c r="AC365" s="1407"/>
      <c r="AD365" s="1407"/>
      <c r="AE365" s="1407"/>
      <c r="AF365" s="1407"/>
      <c r="AG365" s="1407"/>
    </row>
    <row r="366" spans="1:46" ht="13.2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25" customHeight="1">
      <c r="D367" t="s">
        <v>188</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3.25" customHeight="1">
      <c r="E368" s="1549" t="s">
        <v>706</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3.2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3.25" customHeight="1">
      <c r="E370" s="4" t="s">
        <v>448</v>
      </c>
      <c r="F370" s="4"/>
      <c r="G370" s="4"/>
      <c r="H370" s="4"/>
      <c r="I370" s="4"/>
      <c r="J370" s="4"/>
      <c r="K370" s="4"/>
      <c r="L370" s="4"/>
      <c r="N370" s="1445" t="s">
        <v>591</v>
      </c>
      <c r="O370" s="1390"/>
      <c r="P370" s="1390"/>
      <c r="Q370" s="1390"/>
      <c r="R370" s="4"/>
      <c r="U370" s="4" t="s">
        <v>449</v>
      </c>
      <c r="V370" s="4"/>
      <c r="W370" s="4"/>
      <c r="X370" s="4"/>
      <c r="Y370" s="4"/>
      <c r="Z370" s="4"/>
      <c r="AA370" s="4"/>
      <c r="AB370" s="4"/>
      <c r="AC370" s="1445" t="s">
        <v>591</v>
      </c>
      <c r="AD370" s="1390"/>
      <c r="AE370" s="1390"/>
      <c r="AF370" s="1390"/>
    </row>
    <row r="371" spans="1:34" ht="13.25" customHeight="1">
      <c r="E371" s="4" t="s">
        <v>450</v>
      </c>
      <c r="F371" s="4"/>
      <c r="G371" s="4"/>
      <c r="H371" s="4"/>
      <c r="I371" s="4"/>
      <c r="J371" s="4"/>
      <c r="K371" s="4"/>
      <c r="L371" s="4"/>
      <c r="N371" s="1445" t="s">
        <v>591</v>
      </c>
      <c r="O371" s="1390"/>
      <c r="P371" s="1390"/>
      <c r="Q371" s="1390"/>
      <c r="R371" s="4"/>
      <c r="U371" s="4" t="s">
        <v>0</v>
      </c>
      <c r="V371" s="4"/>
      <c r="W371" s="4"/>
      <c r="X371" s="4"/>
      <c r="Y371" s="4"/>
      <c r="Z371" s="4"/>
      <c r="AA371" s="4"/>
      <c r="AB371" s="4"/>
      <c r="AC371" s="1445" t="s">
        <v>591</v>
      </c>
      <c r="AD371" s="1390"/>
      <c r="AE371" s="1390"/>
      <c r="AF371" s="1390"/>
    </row>
    <row r="372" spans="1:34" ht="13.25" customHeight="1">
      <c r="E372" s="4" t="s">
        <v>1</v>
      </c>
      <c r="F372" s="4"/>
      <c r="G372" s="4"/>
      <c r="H372" s="4"/>
      <c r="I372" s="4"/>
      <c r="J372" s="4"/>
      <c r="K372" s="4"/>
      <c r="L372" s="4"/>
      <c r="N372" s="1445" t="s">
        <v>591</v>
      </c>
      <c r="O372" s="1390"/>
      <c r="P372" s="1390"/>
      <c r="Q372" s="1390"/>
      <c r="R372" s="4"/>
      <c r="V372" s="4"/>
      <c r="W372" s="4"/>
      <c r="X372" s="4"/>
      <c r="Y372" s="4"/>
      <c r="Z372" s="4"/>
      <c r="AA372" s="4"/>
      <c r="AB372" s="4"/>
    </row>
    <row r="373" spans="1:34" ht="13.25" customHeight="1">
      <c r="E373" s="4" t="s">
        <v>2</v>
      </c>
      <c r="F373" s="4"/>
      <c r="G373" s="4"/>
      <c r="H373" s="4"/>
      <c r="I373" s="4"/>
      <c r="J373" s="4"/>
      <c r="K373" s="4"/>
      <c r="L373" s="4"/>
      <c r="N373" s="1529" t="s">
        <v>591</v>
      </c>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3.25"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3.25" customHeight="1">
      <c r="C375" s="512"/>
      <c r="E375" s="4"/>
      <c r="F375" s="4"/>
      <c r="G375" s="4"/>
      <c r="H375" s="4"/>
      <c r="I375" s="4"/>
      <c r="J375" s="4"/>
      <c r="K375" s="4"/>
      <c r="L375" s="4"/>
    </row>
    <row r="376" spans="1:34" ht="13.25" customHeight="1">
      <c r="D376" s="2" t="s">
        <v>975</v>
      </c>
      <c r="E376" s="2"/>
      <c r="F376" s="4"/>
      <c r="G376" s="4"/>
      <c r="H376" s="4"/>
      <c r="I376" s="4"/>
      <c r="J376" s="4"/>
      <c r="K376" s="4"/>
      <c r="L376" s="4"/>
    </row>
    <row r="377" spans="1:34" ht="13.25" customHeight="1">
      <c r="E377" s="4" t="s">
        <v>2084</v>
      </c>
      <c r="F377" s="4"/>
      <c r="G377" s="4"/>
      <c r="H377" s="4"/>
      <c r="I377" s="4"/>
      <c r="J377" s="4"/>
      <c r="K377" s="4"/>
      <c r="L377" s="4"/>
      <c r="N377" t="s">
        <v>2079</v>
      </c>
      <c r="R377" s="27" t="s">
        <v>305</v>
      </c>
      <c r="S377" s="1443"/>
      <c r="T377" s="1443"/>
      <c r="U377" s="1" t="s">
        <v>306</v>
      </c>
      <c r="V377" s="1443"/>
      <c r="W377" s="1443"/>
      <c r="Y377" t="s">
        <v>2079</v>
      </c>
      <c r="AC377" s="27" t="s">
        <v>305</v>
      </c>
      <c r="AD377" s="1443"/>
      <c r="AE377" s="1443"/>
      <c r="AF377" s="1" t="s">
        <v>306</v>
      </c>
      <c r="AG377" s="1443"/>
      <c r="AH377" s="1443"/>
    </row>
    <row r="378" spans="1:34" ht="13.25" customHeight="1">
      <c r="E378" s="4" t="s">
        <v>987</v>
      </c>
      <c r="F378" s="4"/>
      <c r="G378" s="4"/>
      <c r="H378" s="4"/>
      <c r="I378" s="4"/>
      <c r="J378" s="4"/>
      <c r="K378" s="4"/>
      <c r="L378" s="4"/>
      <c r="N378" s="1443"/>
      <c r="O378" s="1443"/>
      <c r="P378" s="1443"/>
    </row>
    <row r="379" spans="1:34" ht="13.25" customHeight="1">
      <c r="E379" s="204" t="s">
        <v>2085</v>
      </c>
      <c r="F379" s="4"/>
      <c r="G379" s="4"/>
      <c r="H379" s="4"/>
      <c r="I379" s="4"/>
      <c r="J379" s="4"/>
      <c r="K379" s="4"/>
      <c r="L379" s="4"/>
      <c r="AG379" s="1447" t="s">
        <v>591</v>
      </c>
      <c r="AH379" s="1447"/>
    </row>
    <row r="380" spans="1:34" ht="13.25" customHeight="1">
      <c r="E380" s="4"/>
      <c r="F380" s="4"/>
      <c r="G380" s="4" t="s">
        <v>2086</v>
      </c>
      <c r="H380" s="4"/>
      <c r="I380" s="4"/>
      <c r="J380" s="4"/>
      <c r="K380" s="4"/>
      <c r="L380" s="4"/>
      <c r="AG380" s="1447" t="s">
        <v>591</v>
      </c>
      <c r="AH380" s="1447"/>
    </row>
    <row r="381" spans="1:34" ht="13.25" customHeight="1">
      <c r="E381" s="4"/>
      <c r="F381" s="4"/>
      <c r="G381" s="320" t="s">
        <v>988</v>
      </c>
      <c r="H381" s="4"/>
      <c r="I381" s="4"/>
      <c r="J381" s="4"/>
      <c r="K381" s="4"/>
      <c r="L381" s="4"/>
      <c r="V381" s="1415" t="s">
        <v>591</v>
      </c>
      <c r="W381" s="1415"/>
      <c r="Y381" s="22" t="s">
        <v>980</v>
      </c>
    </row>
    <row r="382" spans="1:34" ht="13.25" customHeight="1">
      <c r="E382" s="4" t="s">
        <v>981</v>
      </c>
      <c r="F382" s="4"/>
      <c r="G382" s="4"/>
      <c r="H382" s="4"/>
      <c r="I382" s="4"/>
      <c r="J382" s="4"/>
      <c r="K382" s="4"/>
      <c r="L382" s="4"/>
      <c r="V382" s="1415" t="s">
        <v>591</v>
      </c>
      <c r="W382" s="1415"/>
      <c r="Y382" s="4" t="s">
        <v>982</v>
      </c>
    </row>
    <row r="383" spans="1:34" ht="13.25" customHeight="1"/>
    <row r="384" spans="1:34" ht="13.25" customHeight="1">
      <c r="A384" s="2" t="s">
        <v>78</v>
      </c>
      <c r="B384" s="2"/>
    </row>
    <row r="385" spans="4:36" ht="13.25" customHeight="1">
      <c r="D385" t="s">
        <v>428</v>
      </c>
      <c r="J385" s="1407" t="s">
        <v>2662</v>
      </c>
      <c r="K385" s="1407"/>
      <c r="L385" s="1407"/>
      <c r="M385" s="1407"/>
      <c r="N385" s="1407"/>
      <c r="O385" s="1407"/>
      <c r="P385" s="1407"/>
      <c r="Q385" s="1407"/>
      <c r="R385" s="1407"/>
      <c r="S385" s="1407"/>
      <c r="T385" s="1407"/>
      <c r="U385" s="1407"/>
      <c r="V385" s="8" t="s">
        <v>83</v>
      </c>
      <c r="W385" s="8"/>
      <c r="X385" s="8"/>
      <c r="Y385" s="8"/>
      <c r="Z385" s="8"/>
      <c r="AA385" s="8"/>
      <c r="AB385" s="8"/>
      <c r="AC385" s="1407" t="s">
        <v>2662</v>
      </c>
      <c r="AD385" s="1407"/>
      <c r="AE385" s="1407"/>
      <c r="AF385" s="1407"/>
      <c r="AG385" s="1407"/>
      <c r="AH385" s="1407"/>
      <c r="AI385" s="1407"/>
      <c r="AJ385" s="1407"/>
    </row>
    <row r="386" spans="4:36" ht="13.25" customHeight="1">
      <c r="D386" s="3" t="s">
        <v>1182</v>
      </c>
      <c r="J386" s="1371" t="s">
        <v>2662</v>
      </c>
      <c r="K386" s="1371"/>
      <c r="L386" s="1371"/>
      <c r="M386" s="1371"/>
      <c r="N386" s="1371"/>
      <c r="O386" s="1371"/>
      <c r="P386" s="1371"/>
      <c r="Q386" s="1371"/>
      <c r="R386" s="1371"/>
      <c r="S386" s="1371"/>
      <c r="T386" s="1371"/>
      <c r="U386" s="1371"/>
      <c r="V386" s="3" t="s">
        <v>1182</v>
      </c>
      <c r="W386" s="8"/>
      <c r="X386" s="8"/>
      <c r="Y386" s="8"/>
      <c r="Z386" s="8"/>
      <c r="AA386" s="8"/>
      <c r="AB386" s="8"/>
      <c r="AC386" s="1407"/>
      <c r="AD386" s="1407"/>
      <c r="AE386" s="1407"/>
      <c r="AF386" s="1407"/>
      <c r="AG386" s="1407"/>
      <c r="AH386" s="1407"/>
      <c r="AI386" s="1407"/>
      <c r="AJ386" s="1407"/>
    </row>
    <row r="387" spans="4:36" ht="13.25" customHeight="1">
      <c r="D387" s="3" t="s">
        <v>441</v>
      </c>
      <c r="J387" s="1371" t="s">
        <v>2663</v>
      </c>
      <c r="K387" s="1371"/>
      <c r="L387" s="1371"/>
      <c r="M387" s="1371"/>
      <c r="N387" s="1371"/>
      <c r="O387" s="1371"/>
      <c r="P387" s="1371"/>
      <c r="Q387" s="1371"/>
      <c r="R387" s="1371"/>
      <c r="S387" s="1371"/>
      <c r="T387" s="1371"/>
      <c r="U387" s="1371"/>
      <c r="V387" s="3" t="s">
        <v>441</v>
      </c>
      <c r="W387" s="8"/>
      <c r="X387" s="8"/>
      <c r="Y387" s="8"/>
      <c r="Z387" s="8"/>
      <c r="AA387" s="8"/>
      <c r="AB387" s="8"/>
      <c r="AC387" s="1407"/>
      <c r="AD387" s="1407"/>
      <c r="AE387" s="1407"/>
      <c r="AF387" s="1407"/>
      <c r="AG387" s="1407"/>
      <c r="AH387" s="1407"/>
      <c r="AI387" s="1407"/>
      <c r="AJ387" s="1407"/>
    </row>
    <row r="388" spans="4:36" ht="13.25" customHeight="1">
      <c r="D388" t="s">
        <v>1178</v>
      </c>
      <c r="J388" s="1427" t="s">
        <v>2664</v>
      </c>
      <c r="K388" s="1427"/>
      <c r="L388" s="1427"/>
      <c r="M388" s="1427"/>
      <c r="N388" s="1427"/>
      <c r="O388" s="1427"/>
      <c r="P388" s="1427"/>
      <c r="Q388" s="1427"/>
      <c r="R388" s="1427"/>
      <c r="S388" s="1427"/>
      <c r="T388" s="1427"/>
      <c r="U388" s="1427"/>
      <c r="V388" s="1407" t="s">
        <v>2665</v>
      </c>
      <c r="W388" s="1407"/>
      <c r="X388" s="1407"/>
      <c r="Y388" s="1407"/>
      <c r="Z388" s="1407"/>
      <c r="AA388" s="1407"/>
      <c r="AB388" s="1407"/>
      <c r="AC388" s="1407"/>
      <c r="AD388" s="1407"/>
      <c r="AE388" s="1407"/>
      <c r="AF388" s="1407"/>
      <c r="AG388" s="1407"/>
      <c r="AH388" s="1407"/>
      <c r="AI388" s="1407"/>
      <c r="AJ388" s="1407"/>
    </row>
    <row r="389" spans="4:36" ht="13.25" customHeight="1">
      <c r="D389" t="s">
        <v>4</v>
      </c>
      <c r="Q389" s="1596">
        <v>45754</v>
      </c>
      <c r="R389" s="1596"/>
      <c r="S389" s="1596"/>
      <c r="T389" s="1596"/>
      <c r="U389" s="1596"/>
      <c r="V389" t="s">
        <v>309</v>
      </c>
      <c r="AI389" s="1415" t="s">
        <v>669</v>
      </c>
      <c r="AJ389" s="1415"/>
    </row>
    <row r="390" spans="4:36" ht="13.25" customHeight="1">
      <c r="D390" t="s">
        <v>5</v>
      </c>
      <c r="Q390" s="1523"/>
      <c r="R390" s="1524"/>
      <c r="S390" s="1524"/>
      <c r="T390" s="1524"/>
      <c r="U390" s="1524"/>
      <c r="W390" s="21" t="s">
        <v>74</v>
      </c>
      <c r="AG390" s="1450"/>
      <c r="AH390" s="1450"/>
      <c r="AI390" s="1450"/>
      <c r="AJ390" s="1450"/>
    </row>
    <row r="391" spans="4:36" ht="13.25" customHeight="1">
      <c r="D391" t="s">
        <v>427</v>
      </c>
      <c r="Q391" s="1451">
        <v>6600000</v>
      </c>
      <c r="R391" s="1451"/>
      <c r="S391" s="1451"/>
      <c r="T391" s="1451"/>
      <c r="U391" s="1451"/>
      <c r="V391" s="3" t="s">
        <v>1181</v>
      </c>
      <c r="AG391" s="1521">
        <v>46157</v>
      </c>
      <c r="AH391" s="1521"/>
      <c r="AI391" s="1521"/>
      <c r="AJ391" s="1521"/>
    </row>
    <row r="392" spans="4:36" ht="13.25" customHeight="1">
      <c r="D392" t="s">
        <v>88</v>
      </c>
      <c r="I392" s="1574" t="s">
        <v>591</v>
      </c>
      <c r="J392" s="1547"/>
      <c r="K392" s="1547"/>
      <c r="L392" s="1547"/>
      <c r="M392" s="1547"/>
      <c r="N392" s="1547"/>
      <c r="Q392" s="4" t="s">
        <v>206</v>
      </c>
      <c r="S392" s="1448" t="s">
        <v>591</v>
      </c>
      <c r="T392" s="1449"/>
      <c r="U392" s="1449"/>
      <c r="V392" t="s">
        <v>73</v>
      </c>
      <c r="AI392" s="1415" t="s">
        <v>669</v>
      </c>
      <c r="AJ392" s="1415"/>
    </row>
    <row r="393" spans="4:36" ht="13.25" customHeight="1">
      <c r="D393" t="s">
        <v>310</v>
      </c>
      <c r="Q393" s="1527" t="s">
        <v>591</v>
      </c>
      <c r="R393" s="1527"/>
      <c r="S393" s="1527"/>
      <c r="T393" s="1527"/>
      <c r="U393" s="1527"/>
      <c r="V393" t="s">
        <v>311</v>
      </c>
      <c r="AG393" s="1520" t="s">
        <v>591</v>
      </c>
      <c r="AH393" s="1450"/>
      <c r="AI393" s="1450"/>
      <c r="AJ393" s="1450"/>
    </row>
    <row r="394" spans="4:36" ht="13.25" customHeight="1">
      <c r="D394" t="s">
        <v>312</v>
      </c>
      <c r="Q394" s="1585" t="s">
        <v>591</v>
      </c>
      <c r="R394" s="1586"/>
      <c r="S394" s="1586"/>
      <c r="T394" s="1586"/>
      <c r="U394" s="1586"/>
      <c r="V394" t="s">
        <v>1163</v>
      </c>
      <c r="AG394" s="1450"/>
      <c r="AH394" s="1450"/>
      <c r="AI394" s="1450"/>
      <c r="AJ394" s="1450"/>
    </row>
    <row r="395" spans="4:36" ht="13.25" customHeight="1">
      <c r="D395" t="s">
        <v>1162</v>
      </c>
      <c r="AG395" s="1450"/>
      <c r="AH395" s="1450"/>
      <c r="AI395" s="1450"/>
      <c r="AJ395" s="1450"/>
    </row>
    <row r="396" spans="4:36" ht="13.25" customHeight="1">
      <c r="AG396" s="456"/>
      <c r="AH396" s="456"/>
      <c r="AI396" s="456"/>
      <c r="AJ396" s="456"/>
    </row>
    <row r="397" spans="4:36" ht="13.25" customHeight="1">
      <c r="D397" s="3" t="s">
        <v>2142</v>
      </c>
      <c r="AG397" s="456"/>
      <c r="AH397" s="456"/>
      <c r="AI397" s="1415" t="s">
        <v>669</v>
      </c>
      <c r="AJ397" s="1415"/>
    </row>
    <row r="398" spans="4:36" ht="13.25" customHeight="1">
      <c r="D398" s="3" t="s">
        <v>1667</v>
      </c>
      <c r="T398" s="1434" t="s">
        <v>591</v>
      </c>
      <c r="U398" s="1434"/>
      <c r="V398" s="1434"/>
      <c r="W398" s="1434"/>
      <c r="X398" s="1434"/>
      <c r="Y398" s="1434"/>
      <c r="Z398" s="1434"/>
      <c r="AA398" s="1434"/>
      <c r="AB398" s="1434"/>
      <c r="AC398" s="1434"/>
      <c r="AD398" s="1434"/>
      <c r="AE398" s="1434"/>
      <c r="AF398" s="1434"/>
      <c r="AG398" s="1434"/>
      <c r="AH398" s="1434"/>
      <c r="AI398" s="1434"/>
      <c r="AJ398" s="1434"/>
    </row>
    <row r="399" spans="4:36" ht="13.25" customHeight="1">
      <c r="D399" s="3" t="s">
        <v>1666</v>
      </c>
      <c r="T399" s="1434" t="s">
        <v>591</v>
      </c>
      <c r="U399" s="1434"/>
      <c r="V399" s="1434"/>
      <c r="W399" s="1434"/>
      <c r="X399" s="1434"/>
      <c r="Y399" s="1434"/>
      <c r="Z399" s="1434"/>
      <c r="AA399" s="1434"/>
      <c r="AB399" s="1434"/>
      <c r="AC399" s="1434"/>
      <c r="AD399" s="1434"/>
      <c r="AE399" s="1434"/>
      <c r="AF399" s="1434"/>
      <c r="AG399" s="1434"/>
      <c r="AH399" s="1434"/>
      <c r="AI399" s="1434"/>
      <c r="AJ399" s="1434"/>
    </row>
    <row r="400" spans="4:36" ht="13.25" customHeight="1">
      <c r="AG400" s="456"/>
      <c r="AH400" s="456"/>
      <c r="AI400" s="456"/>
      <c r="AJ400" s="456"/>
    </row>
    <row r="401" spans="1:36" ht="13.25" customHeight="1">
      <c r="D401" s="3" t="s">
        <v>1660</v>
      </c>
      <c r="S401" s="1434" t="s">
        <v>669</v>
      </c>
      <c r="T401" s="1434"/>
      <c r="U401" s="1434"/>
      <c r="V401" t="s">
        <v>1661</v>
      </c>
      <c r="AG401" s="1526"/>
      <c r="AH401" s="1526"/>
      <c r="AI401" s="1526"/>
      <c r="AJ401" s="1526"/>
    </row>
    <row r="402" spans="1:36" ht="13.25" customHeight="1">
      <c r="D402" s="3" t="s">
        <v>1658</v>
      </c>
      <c r="S402" s="1434" t="s">
        <v>591</v>
      </c>
      <c r="T402" s="1434"/>
      <c r="U402" s="1434"/>
      <c r="V402" t="s">
        <v>1663</v>
      </c>
      <c r="AE402" s="1519"/>
      <c r="AF402" s="1519"/>
      <c r="AG402" s="1519"/>
      <c r="AH402" s="1519"/>
      <c r="AI402" s="1519"/>
      <c r="AJ402" s="1519"/>
    </row>
    <row r="403" spans="1:36" ht="13.25" customHeight="1">
      <c r="D403" s="3" t="s">
        <v>1659</v>
      </c>
      <c r="K403" s="1522" t="s">
        <v>591</v>
      </c>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25" customHeight="1">
      <c r="D404" s="3" t="s">
        <v>1662</v>
      </c>
      <c r="K404" s="1522" t="s">
        <v>591</v>
      </c>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25" customHeight="1">
      <c r="D405" s="3" t="s">
        <v>1665</v>
      </c>
      <c r="E405" s="477"/>
      <c r="F405" s="477"/>
      <c r="G405" s="477"/>
      <c r="H405" s="477"/>
      <c r="I405" s="477"/>
      <c r="J405" s="477"/>
      <c r="K405" s="477"/>
      <c r="L405" s="477"/>
      <c r="M405" s="477"/>
      <c r="N405" s="477"/>
      <c r="O405" s="477"/>
      <c r="P405" s="477"/>
      <c r="Q405" s="477"/>
      <c r="R405" s="477"/>
      <c r="S405" s="1446" t="s">
        <v>2666</v>
      </c>
      <c r="T405" s="1446"/>
      <c r="U405" s="1446"/>
      <c r="V405" s="1446"/>
      <c r="W405" s="1446"/>
      <c r="X405" s="1446"/>
      <c r="Y405" s="1446"/>
      <c r="Z405" s="1446"/>
      <c r="AA405" s="1446"/>
      <c r="AB405" s="1446"/>
      <c r="AC405" s="1446"/>
      <c r="AD405" s="1446"/>
      <c r="AE405" s="1446"/>
      <c r="AF405" s="1446"/>
      <c r="AG405" s="1446"/>
      <c r="AH405" s="1446"/>
      <c r="AI405" s="1446"/>
      <c r="AJ405" s="1446"/>
    </row>
    <row r="406" spans="1:36" ht="13.2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2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25" customHeight="1">
      <c r="AG408" s="456"/>
      <c r="AH408" s="456"/>
      <c r="AI408" s="456"/>
      <c r="AJ408" s="456"/>
    </row>
    <row r="409" spans="1:36" ht="13.25" customHeight="1">
      <c r="A409" s="2" t="s">
        <v>589</v>
      </c>
      <c r="B409" s="2"/>
      <c r="C409" s="2" t="s">
        <v>111</v>
      </c>
    </row>
    <row r="410" spans="1:36" ht="13.25" customHeight="1">
      <c r="B410" s="2"/>
      <c r="C410" s="2"/>
      <c r="D410" s="2" t="s">
        <v>1204</v>
      </c>
      <c r="I410" s="1525" t="s">
        <v>2667</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3.25" customHeight="1">
      <c r="E411" t="s">
        <v>106</v>
      </c>
      <c r="R411" s="1415" t="s">
        <v>591</v>
      </c>
      <c r="S411" s="1415"/>
      <c r="AC411" s="27" t="s">
        <v>570</v>
      </c>
      <c r="AD411" s="1390"/>
      <c r="AE411" s="1390"/>
    </row>
    <row r="412" spans="1:36" ht="13.25" customHeight="1">
      <c r="E412" t="s">
        <v>107</v>
      </c>
      <c r="R412" s="1415" t="s">
        <v>591</v>
      </c>
      <c r="S412" s="1415"/>
      <c r="AC412" s="27" t="s">
        <v>570</v>
      </c>
      <c r="AD412" s="1390"/>
      <c r="AE412" s="1390"/>
    </row>
    <row r="413" spans="1:36" ht="13.25" customHeight="1">
      <c r="E413" t="s">
        <v>108</v>
      </c>
      <c r="S413" s="1415" t="s">
        <v>591</v>
      </c>
      <c r="T413" s="1415"/>
    </row>
    <row r="414" spans="1:36" ht="13.25" customHeight="1">
      <c r="E414" t="s">
        <v>170</v>
      </c>
      <c r="H414" s="1587" t="s">
        <v>334</v>
      </c>
      <c r="I414" s="1587"/>
      <c r="J414" s="1587"/>
      <c r="K414" s="1587"/>
      <c r="L414" s="1587"/>
      <c r="M414" s="1587"/>
      <c r="N414" s="1587"/>
      <c r="O414" s="1587"/>
      <c r="P414" s="1587"/>
      <c r="Q414" s="1587"/>
      <c r="R414" s="1587"/>
      <c r="S414" s="1587"/>
      <c r="T414" s="1587"/>
      <c r="U414" s="1587"/>
      <c r="V414" s="1587"/>
      <c r="W414" s="1587"/>
      <c r="X414" s="1587"/>
      <c r="Y414" s="1587"/>
      <c r="Z414" s="1587"/>
      <c r="AA414" s="1587"/>
      <c r="AB414" s="1587"/>
      <c r="AC414" s="1587"/>
      <c r="AD414" s="1587"/>
      <c r="AE414" s="1587"/>
    </row>
    <row r="415" spans="1:36" ht="13.25" customHeight="1">
      <c r="H415" s="1588"/>
      <c r="I415" s="1588"/>
      <c r="J415" s="1588"/>
      <c r="K415" s="1588"/>
      <c r="L415" s="1588"/>
      <c r="M415" s="1588"/>
      <c r="N415" s="1588"/>
      <c r="O415" s="1588"/>
      <c r="P415" s="1588"/>
      <c r="Q415" s="1588"/>
      <c r="R415" s="1588"/>
      <c r="S415" s="1588"/>
      <c r="T415" s="1588"/>
      <c r="U415" s="1588"/>
      <c r="V415" s="1588"/>
      <c r="W415" s="1588"/>
      <c r="X415" s="1588"/>
      <c r="Y415" s="1588"/>
      <c r="Z415" s="1588"/>
      <c r="AA415" s="1588"/>
      <c r="AB415" s="1588"/>
      <c r="AC415" s="1588"/>
      <c r="AD415" s="1588"/>
      <c r="AE415" s="1588"/>
    </row>
    <row r="416" spans="1:36" ht="13.25" customHeight="1"/>
    <row r="417" spans="1:39" ht="13.25" customHeight="1">
      <c r="A417" s="2" t="s">
        <v>590</v>
      </c>
      <c r="B417" s="2"/>
      <c r="C417" s="2"/>
      <c r="D417" s="2" t="s">
        <v>114</v>
      </c>
      <c r="AF417" s="2" t="s">
        <v>957</v>
      </c>
    </row>
    <row r="418" spans="1:39" ht="13.25" customHeight="1">
      <c r="E418" s="1443"/>
      <c r="F418" s="1443"/>
      <c r="G418" s="1443"/>
      <c r="H418" s="13" t="s">
        <v>115</v>
      </c>
      <c r="I418" s="1443"/>
      <c r="J418" s="1443"/>
      <c r="K418" s="1443"/>
      <c r="L418" t="s">
        <v>116</v>
      </c>
      <c r="N418" s="27" t="s">
        <v>575</v>
      </c>
      <c r="P418" s="1590">
        <v>36.4</v>
      </c>
      <c r="Q418" s="1590"/>
      <c r="R418" s="1590"/>
      <c r="S418" t="s">
        <v>117</v>
      </c>
      <c r="W418" s="1444">
        <f>IF(E418&gt;0,(E418*I418),(P418*43560))</f>
        <v>1585584</v>
      </c>
      <c r="X418" s="1444"/>
      <c r="Y418" s="1444"/>
      <c r="Z418" t="s">
        <v>118</v>
      </c>
      <c r="AF418" s="1591">
        <f>IFERROR(IF(P418&gt;0,(AG437/P418),(AG437/(W418/43560))),0)</f>
        <v>5.9065934065934069</v>
      </c>
      <c r="AG418" s="1591"/>
      <c r="AH418" s="1591"/>
      <c r="AM418" s="3"/>
    </row>
    <row r="419" spans="1:39" ht="13.25" customHeight="1">
      <c r="E419" t="s">
        <v>51</v>
      </c>
    </row>
    <row r="420" spans="1:39" ht="13.2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25" customHeight="1">
      <c r="E421" s="118" t="s">
        <v>1736</v>
      </c>
      <c r="F421" s="1013"/>
      <c r="G421" s="1013"/>
      <c r="H421" s="1013"/>
      <c r="I421" s="1589">
        <v>36.4</v>
      </c>
      <c r="J421" s="1589"/>
      <c r="K421" s="1589"/>
      <c r="L421" s="1013"/>
      <c r="M421" s="118"/>
      <c r="N421" s="1013"/>
      <c r="O421" s="1013"/>
      <c r="P421" s="1840">
        <f>(DU755+DU778+DU800)/I421</f>
        <v>15.357142857142858</v>
      </c>
      <c r="Q421" s="1840"/>
      <c r="R421" s="184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25" customHeight="1"/>
    <row r="423" spans="1:39" ht="13.25" customHeight="1">
      <c r="A423" s="2" t="s">
        <v>592</v>
      </c>
      <c r="B423" s="2"/>
      <c r="C423" s="2"/>
      <c r="D423" s="2" t="s">
        <v>120</v>
      </c>
    </row>
    <row r="424" spans="1:39" ht="13.25" customHeight="1">
      <c r="E424" t="s">
        <v>121</v>
      </c>
      <c r="P424" s="1415">
        <v>172</v>
      </c>
      <c r="Q424" s="1415"/>
      <c r="S424" t="s">
        <v>189</v>
      </c>
      <c r="AE424" s="1415">
        <v>172</v>
      </c>
      <c r="AF424" s="1415"/>
    </row>
    <row r="425" spans="1:39" ht="13.25" customHeight="1">
      <c r="E425" t="s">
        <v>190</v>
      </c>
      <c r="P425" s="1415">
        <v>0</v>
      </c>
      <c r="Q425" s="1415"/>
      <c r="S425" t="s">
        <v>131</v>
      </c>
      <c r="AE425" s="1415" t="s">
        <v>591</v>
      </c>
      <c r="AF425" s="1415"/>
    </row>
    <row r="426" spans="1:39" ht="13.25" customHeight="1">
      <c r="F426" s="28" t="s">
        <v>132</v>
      </c>
    </row>
    <row r="427" spans="1:39" ht="13.25" customHeight="1">
      <c r="F427" s="1532"/>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3.25"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3.25" customHeight="1">
      <c r="E429" t="s">
        <v>608</v>
      </c>
      <c r="P429" s="1"/>
      <c r="Q429" s="1415" t="s">
        <v>545</v>
      </c>
      <c r="R429" s="1415"/>
    </row>
    <row r="430" spans="1:39" ht="13.25" customHeight="1">
      <c r="F430" t="s">
        <v>609</v>
      </c>
      <c r="P430" s="1"/>
      <c r="Q430" s="1"/>
      <c r="AF430" s="1415" t="s">
        <v>591</v>
      </c>
      <c r="AG430" s="1507"/>
    </row>
    <row r="431" spans="1:39" ht="13.25" customHeight="1"/>
    <row r="432" spans="1:39" ht="13.25" customHeight="1">
      <c r="A432" s="2"/>
      <c r="B432" s="2"/>
      <c r="C432" s="2"/>
      <c r="E432" s="4" t="s">
        <v>308</v>
      </c>
      <c r="Z432" s="1415" t="s">
        <v>545</v>
      </c>
      <c r="AA432" s="1415"/>
    </row>
    <row r="433" spans="1:55" ht="13.2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25" customHeight="1">
      <c r="F434" t="s">
        <v>707</v>
      </c>
      <c r="G434" s="40"/>
      <c r="I434" s="40"/>
      <c r="J434" s="40"/>
      <c r="K434" s="40"/>
      <c r="L434" s="40"/>
      <c r="M434" s="40"/>
      <c r="N434" s="40"/>
      <c r="O434" s="28"/>
      <c r="P434" s="40"/>
      <c r="Q434" s="40"/>
      <c r="R434" s="40"/>
      <c r="S434" s="40"/>
      <c r="T434" s="40"/>
      <c r="U434" s="40"/>
      <c r="V434" s="40"/>
      <c r="W434" s="40"/>
      <c r="Z434" s="1415" t="s">
        <v>669</v>
      </c>
      <c r="AA434" s="1415"/>
    </row>
    <row r="435" spans="1:55" ht="13.25" customHeight="1"/>
    <row r="436" spans="1:55" ht="13.25" customHeight="1">
      <c r="A436" s="2" t="s">
        <v>467</v>
      </c>
      <c r="B436" s="2"/>
      <c r="C436" s="2"/>
      <c r="D436" s="2" t="s">
        <v>764</v>
      </c>
      <c r="AF436" s="48"/>
    </row>
    <row r="437" spans="1:55" ht="13.25"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215</v>
      </c>
      <c r="AH437" s="1385"/>
      <c r="AI437" s="1385"/>
      <c r="AJ437" s="1385"/>
    </row>
    <row r="438" spans="1:55" ht="13.2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5">
        <v>0</v>
      </c>
      <c r="AH438" s="1466"/>
      <c r="AI438" s="1466"/>
      <c r="AJ438" s="1466"/>
    </row>
    <row r="439" spans="1:55" ht="13.2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213</v>
      </c>
      <c r="AH439" s="1385"/>
      <c r="AI439" s="1385"/>
      <c r="AJ439" s="1385"/>
    </row>
    <row r="440" spans="1:55" ht="13.2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213</v>
      </c>
      <c r="AH440" s="1385"/>
      <c r="AI440" s="1385"/>
      <c r="AJ440" s="1385"/>
    </row>
    <row r="441" spans="1:55" ht="13.2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2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248462</v>
      </c>
      <c r="AH442" s="1416"/>
      <c r="AI442" s="1416"/>
      <c r="AJ442" s="1416"/>
    </row>
    <row r="443" spans="1:55" ht="13.2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AG442</f>
        <v>248462</v>
      </c>
      <c r="AH443" s="1416"/>
      <c r="AI443" s="1416"/>
      <c r="AJ443" s="1416"/>
    </row>
    <row r="444" spans="1:55" ht="13.2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2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2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2000</v>
      </c>
      <c r="AH446" s="1416"/>
      <c r="AI446" s="1416"/>
      <c r="AJ446" s="1416"/>
      <c r="AZ446" s="34"/>
      <c r="BA446" s="34"/>
      <c r="BB446" s="34"/>
      <c r="BC446" s="34"/>
    </row>
    <row r="447" spans="1:55" ht="13.25" customHeight="1">
      <c r="D447" s="1506"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2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4400</v>
      </c>
      <c r="AH448" s="1416"/>
      <c r="AI448" s="1416"/>
      <c r="AJ448" s="1416"/>
      <c r="AZ448" s="3"/>
      <c r="BA448" s="3"/>
      <c r="BB448" s="3"/>
      <c r="BC448" s="3"/>
    </row>
    <row r="449" spans="1:55" ht="13.2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25" customHeight="1">
      <c r="D450" s="1582" t="s">
        <v>1039</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29">
        <f>AG442+AG446+AG448+AG449</f>
        <v>254862</v>
      </c>
      <c r="AH450" s="1429"/>
      <c r="AI450" s="1429"/>
      <c r="AJ450" s="1429"/>
      <c r="AZ450" s="3"/>
      <c r="BA450" s="3"/>
      <c r="BB450" s="3"/>
      <c r="BC450" s="3"/>
    </row>
    <row r="451" spans="1:55" ht="13.25" customHeight="1">
      <c r="D451" s="1592" t="s">
        <v>1206</v>
      </c>
      <c r="E451" s="1592"/>
      <c r="F451" s="1592"/>
      <c r="G451" s="1592"/>
      <c r="H451" s="1592"/>
      <c r="I451" s="1592"/>
      <c r="J451" s="1592"/>
      <c r="K451" s="1592"/>
      <c r="L451" s="1592"/>
      <c r="M451" s="1592"/>
      <c r="N451" s="1592"/>
      <c r="O451" s="1592"/>
      <c r="P451" s="1592"/>
      <c r="Q451" s="1592"/>
      <c r="R451" s="1592"/>
      <c r="S451" s="1592"/>
      <c r="T451" s="1592"/>
      <c r="U451" s="1592"/>
      <c r="V451" s="1592"/>
      <c r="W451" s="1592"/>
      <c r="X451" s="1592"/>
      <c r="Y451" s="1592"/>
      <c r="Z451" s="1592"/>
      <c r="AA451" s="1592"/>
      <c r="AB451" s="1592"/>
      <c r="AC451" s="1592"/>
      <c r="AD451" s="1592"/>
      <c r="AE451" s="1592"/>
      <c r="AF451" s="1592"/>
      <c r="AG451" s="1592"/>
      <c r="AH451" s="1592"/>
      <c r="AI451" s="1592"/>
      <c r="AJ451" s="1592"/>
      <c r="AZ451" s="3"/>
      <c r="BA451" s="3"/>
      <c r="BB451" s="3"/>
      <c r="BC451" s="3"/>
    </row>
    <row r="452" spans="1:55" ht="13.25" customHeight="1">
      <c r="D452" s="1593"/>
      <c r="E452" s="1593"/>
      <c r="F452" s="1593"/>
      <c r="G452" s="1593"/>
      <c r="H452" s="1593"/>
      <c r="I452" s="1593"/>
      <c r="J452" s="1593"/>
      <c r="K452" s="1593"/>
      <c r="L452" s="1593"/>
      <c r="M452" s="1593"/>
      <c r="N452" s="1593"/>
      <c r="O452" s="1593"/>
      <c r="P452" s="1593"/>
      <c r="Q452" s="1593"/>
      <c r="R452" s="1593"/>
      <c r="S452" s="1593"/>
      <c r="T452" s="1593"/>
      <c r="U452" s="1593"/>
      <c r="V452" s="1593"/>
      <c r="W452" s="1593"/>
      <c r="X452" s="1593"/>
      <c r="Y452" s="1593"/>
      <c r="Z452" s="1593"/>
      <c r="AA452" s="1593"/>
      <c r="AB452" s="1593"/>
      <c r="AC452" s="1593"/>
      <c r="AD452" s="1593"/>
      <c r="AE452" s="1593"/>
      <c r="AF452" s="1593"/>
      <c r="AG452" s="1593"/>
      <c r="AH452" s="1593"/>
      <c r="AI452" s="1593"/>
      <c r="AJ452" s="1593"/>
      <c r="AZ452" s="3"/>
      <c r="BA452" s="3"/>
      <c r="BB452" s="3"/>
      <c r="BC452" s="3"/>
    </row>
    <row r="453" spans="1:55" ht="13.2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2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535053.08837209304</v>
      </c>
      <c r="AD454" s="1373"/>
      <c r="AE454" s="1373"/>
      <c r="AF454" s="1373"/>
      <c r="AG454" s="177"/>
      <c r="AH454" s="177"/>
      <c r="AI454" s="177"/>
      <c r="AJ454" s="183"/>
      <c r="AZ454" s="3"/>
      <c r="BA454" s="3" t="str">
        <f>AG575</f>
        <v>Yes</v>
      </c>
      <c r="BB454" s="3"/>
      <c r="BC454" s="3"/>
    </row>
    <row r="455" spans="1:55" ht="13.2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535053.08837209304</v>
      </c>
      <c r="AD455" s="1373"/>
      <c r="AE455" s="1373"/>
      <c r="AF455" s="1373"/>
      <c r="AG455" s="177"/>
      <c r="AH455" s="177"/>
      <c r="AI455" s="177"/>
      <c r="AJ455" s="183"/>
      <c r="AZ455" s="3"/>
      <c r="BA455" s="3"/>
      <c r="BB455" s="3"/>
      <c r="BC455" s="3"/>
    </row>
    <row r="456" spans="1:55" ht="13.2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487769.10232558142</v>
      </c>
      <c r="AD456" s="1373"/>
      <c r="AE456" s="1373"/>
      <c r="AF456" s="1373"/>
      <c r="AG456" s="177"/>
      <c r="AH456" s="177"/>
      <c r="AI456" s="177"/>
      <c r="AJ456" s="183"/>
      <c r="AZ456" s="3"/>
      <c r="BA456" s="3"/>
      <c r="BB456" s="3"/>
      <c r="BC456" s="3"/>
    </row>
    <row r="457" spans="1:55" ht="13.2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2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2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2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2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2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2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2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2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2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2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2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2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2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3.2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2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2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33</v>
      </c>
      <c r="X473" s="1392"/>
      <c r="Y473" s="1393"/>
      <c r="Z473" s="184"/>
      <c r="AA473" s="184"/>
      <c r="AB473" s="184"/>
      <c r="AC473" s="184"/>
      <c r="AD473" s="177"/>
      <c r="AE473" s="177"/>
      <c r="AF473" s="177"/>
      <c r="AG473" s="177"/>
      <c r="AH473" s="177"/>
      <c r="AI473" s="177"/>
      <c r="AJ473" s="183"/>
      <c r="AZ473" s="3"/>
      <c r="BA473" s="3"/>
      <c r="BB473" s="3"/>
      <c r="BC473" s="3"/>
    </row>
    <row r="474" spans="1:55" ht="13.25" customHeight="1">
      <c r="A474" s="3"/>
      <c r="B474" s="3"/>
      <c r="C474" s="3"/>
      <c r="D474" s="243" t="s">
        <v>170</v>
      </c>
      <c r="E474" s="244"/>
      <c r="F474" s="245"/>
      <c r="G474" s="1677"/>
      <c r="H474" s="1678"/>
      <c r="I474" s="1678"/>
      <c r="J474" s="1678"/>
      <c r="K474" s="1678"/>
      <c r="L474" s="1678"/>
      <c r="M474" s="1678"/>
      <c r="N474" s="1678"/>
      <c r="O474" s="1678"/>
      <c r="P474" s="1678"/>
      <c r="Q474" s="1678"/>
      <c r="R474" s="1678"/>
      <c r="S474" s="1678"/>
      <c r="T474" s="1678"/>
      <c r="U474" s="1678"/>
      <c r="V474" s="1679"/>
      <c r="W474" s="1391">
        <v>0</v>
      </c>
      <c r="X474" s="1392"/>
      <c r="Y474" s="1393"/>
      <c r="Z474" s="184"/>
      <c r="AA474" s="184"/>
      <c r="AB474" s="184"/>
      <c r="AC474" s="184"/>
      <c r="AD474" s="177"/>
      <c r="AE474" s="177"/>
      <c r="AF474" s="177"/>
      <c r="AG474" s="177"/>
      <c r="AH474" s="177"/>
      <c r="AI474" s="177"/>
      <c r="AJ474" s="183"/>
      <c r="AZ474" s="3"/>
      <c r="BA474" s="3"/>
      <c r="BB474" s="3"/>
      <c r="BC474" s="3"/>
    </row>
    <row r="475" spans="1:55" ht="13.2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2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2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2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25" customHeight="1">
      <c r="AU479" s="95"/>
      <c r="AV479" s="95"/>
      <c r="AW479" s="95"/>
      <c r="AX479" s="95"/>
      <c r="AY479" s="95"/>
      <c r="AZ479" s="3"/>
      <c r="BA479" s="3" t="str">
        <f>AG599</f>
        <v>No</v>
      </c>
      <c r="BB479" s="3"/>
      <c r="BC479" s="3"/>
    </row>
    <row r="480" spans="1:55" ht="13.25" customHeight="1">
      <c r="A480" s="1539" t="s">
        <v>810</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3.2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3.25" customHeight="1">
      <c r="AZ482" s="3"/>
      <c r="BB482" s="3"/>
      <c r="BC482" s="3"/>
    </row>
    <row r="483" spans="1:55" ht="13.25" customHeight="1">
      <c r="A483" s="2" t="s">
        <v>319</v>
      </c>
      <c r="C483" s="2" t="s">
        <v>808</v>
      </c>
      <c r="AZ483" s="3"/>
      <c r="BB483" s="3"/>
      <c r="BC483" s="3"/>
    </row>
    <row r="484" spans="1:55" ht="13.25" customHeight="1">
      <c r="AZ484" s="3"/>
      <c r="BB484" s="3"/>
      <c r="BC484" s="3"/>
    </row>
    <row r="485" spans="1:55" ht="13.2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25" customHeight="1">
      <c r="B486" s="45" t="s">
        <v>394</v>
      </c>
      <c r="C486" s="5"/>
      <c r="D486" s="5"/>
      <c r="E486" s="5"/>
      <c r="F486" s="5"/>
      <c r="G486" s="5"/>
      <c r="H486" s="5"/>
      <c r="I486" s="5"/>
      <c r="J486" s="5"/>
      <c r="K486" s="5"/>
      <c r="L486" s="5"/>
      <c r="M486" s="5"/>
      <c r="N486" s="5"/>
      <c r="O486" s="5"/>
      <c r="P486" s="5"/>
      <c r="Q486" s="1581" t="s">
        <v>2715</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25" customHeight="1">
      <c r="B487" s="45" t="s">
        <v>395</v>
      </c>
      <c r="C487" s="5"/>
      <c r="D487" s="5"/>
      <c r="E487" s="5"/>
      <c r="F487" s="5"/>
      <c r="G487" s="5"/>
      <c r="H487" s="5"/>
      <c r="I487" s="5"/>
      <c r="J487" s="5"/>
      <c r="K487" s="5"/>
      <c r="L487" s="5"/>
      <c r="M487" s="5"/>
      <c r="N487" s="5"/>
      <c r="O487" s="5"/>
      <c r="P487" s="5"/>
      <c r="Q487" s="1581" t="s">
        <v>2715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25" customHeight="1">
      <c r="B488" s="45" t="s">
        <v>396</v>
      </c>
      <c r="C488" s="5"/>
      <c r="D488" s="5"/>
      <c r="E488" s="5"/>
      <c r="F488" s="5"/>
      <c r="G488" s="5"/>
      <c r="H488" s="5"/>
      <c r="I488" s="5"/>
      <c r="J488" s="5"/>
      <c r="K488" s="5"/>
      <c r="L488" s="5"/>
      <c r="M488" s="5"/>
      <c r="N488" s="5"/>
      <c r="O488" s="5"/>
      <c r="P488" s="5"/>
      <c r="Q488" s="1370" t="s">
        <v>2668</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25" customHeight="1">
      <c r="B489" s="1455" t="s">
        <v>397</v>
      </c>
      <c r="C489" s="1456"/>
      <c r="D489" s="1456"/>
      <c r="E489" s="1456"/>
      <c r="F489" s="1456"/>
      <c r="G489" s="1456"/>
      <c r="H489" s="1456"/>
      <c r="I489" s="1456"/>
      <c r="J489" s="1456"/>
      <c r="K489" s="1456"/>
      <c r="L489" s="1456"/>
      <c r="M489" s="1456"/>
      <c r="N489" s="1456"/>
      <c r="O489" s="1456"/>
      <c r="P489" s="1457"/>
      <c r="Q489" s="1461" t="s">
        <v>669</v>
      </c>
      <c r="R489" s="1462"/>
      <c r="S489" s="1575" t="s">
        <v>166</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3.25" customHeight="1">
      <c r="B490" s="1458"/>
      <c r="C490" s="1459"/>
      <c r="D490" s="1459"/>
      <c r="E490" s="1459"/>
      <c r="F490" s="1459"/>
      <c r="G490" s="1459"/>
      <c r="H490" s="1459"/>
      <c r="I490" s="1459"/>
      <c r="J490" s="1459"/>
      <c r="K490" s="1459"/>
      <c r="L490" s="1459"/>
      <c r="M490" s="1459"/>
      <c r="N490" s="1459"/>
      <c r="O490" s="1459"/>
      <c r="P490" s="1460"/>
      <c r="Q490" s="1463"/>
      <c r="R490" s="1464"/>
      <c r="S490" s="1578"/>
      <c r="T490" s="1533"/>
      <c r="U490" s="1533"/>
      <c r="V490" s="1533"/>
      <c r="W490" s="1533"/>
      <c r="X490" s="1533"/>
      <c r="Y490" s="1533"/>
      <c r="Z490" s="1533"/>
      <c r="AA490" s="1533"/>
      <c r="AB490" s="1533"/>
      <c r="AC490" s="1533"/>
      <c r="AD490" s="1533"/>
      <c r="AE490" s="1533"/>
      <c r="AF490" s="1533"/>
      <c r="AG490" s="1533"/>
      <c r="AH490" s="1533"/>
      <c r="AI490" s="1533"/>
      <c r="AJ490" s="1533"/>
      <c r="AK490" s="1579"/>
      <c r="AZ490" s="3"/>
      <c r="BA490" s="3"/>
      <c r="BB490" s="3"/>
      <c r="BC490" s="3"/>
    </row>
    <row r="491" spans="1:55" ht="13.25"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25" customHeight="1">
      <c r="B492" s="45" t="s">
        <v>398</v>
      </c>
      <c r="C492" s="5"/>
      <c r="D492" s="5"/>
      <c r="E492" s="5"/>
      <c r="F492" s="5"/>
      <c r="G492" s="5"/>
      <c r="H492" s="5"/>
      <c r="I492" s="5"/>
      <c r="J492" s="5"/>
      <c r="K492" s="5"/>
      <c r="L492" s="5"/>
      <c r="M492" s="5"/>
      <c r="N492" s="5"/>
      <c r="O492" s="5"/>
      <c r="P492" s="5"/>
      <c r="Q492" s="1370" t="s">
        <v>2669</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25" customHeight="1">
      <c r="B493" s="45" t="s">
        <v>399</v>
      </c>
      <c r="C493" s="5"/>
      <c r="D493" s="5"/>
      <c r="E493" s="5"/>
      <c r="F493" s="5"/>
      <c r="G493" s="5"/>
      <c r="H493" s="5"/>
      <c r="I493" s="5"/>
      <c r="J493" s="5"/>
      <c r="K493" s="5"/>
      <c r="L493" s="5"/>
      <c r="M493" s="5"/>
      <c r="N493" s="5"/>
      <c r="O493" s="5"/>
      <c r="P493" s="5"/>
      <c r="Q493" s="1581" t="s">
        <v>2722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25" customHeight="1">
      <c r="B494" s="121" t="s">
        <v>1668</v>
      </c>
      <c r="C494" s="5"/>
      <c r="D494" s="5"/>
      <c r="E494" s="5"/>
      <c r="F494" s="5"/>
      <c r="G494" s="5"/>
      <c r="H494" s="5"/>
      <c r="I494" s="5"/>
      <c r="J494" s="5"/>
      <c r="K494" s="5"/>
      <c r="L494" s="5"/>
      <c r="M494" s="5"/>
      <c r="N494" s="5"/>
      <c r="O494" s="5"/>
      <c r="P494" s="5"/>
      <c r="Q494" s="1370">
        <v>488</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25" customHeight="1">
      <c r="B495" s="121" t="s">
        <v>1669</v>
      </c>
      <c r="C495" s="5"/>
      <c r="D495" s="5"/>
      <c r="E495" s="5"/>
      <c r="F495" s="5"/>
      <c r="G495" s="5"/>
      <c r="H495" s="5"/>
      <c r="I495" s="5"/>
      <c r="J495" s="5"/>
      <c r="K495" s="5"/>
      <c r="L495" s="5"/>
      <c r="M495" s="1381">
        <v>172</v>
      </c>
      <c r="N495" s="1382"/>
      <c r="O495" s="1382"/>
      <c r="P495" s="1383"/>
      <c r="Q495" s="121" t="s">
        <v>1670</v>
      </c>
      <c r="R495" s="5"/>
      <c r="S495" s="5"/>
      <c r="T495" s="5"/>
      <c r="U495" s="5"/>
      <c r="V495" s="5"/>
      <c r="W495" s="5"/>
      <c r="X495" s="5"/>
      <c r="Y495" s="5"/>
      <c r="Z495" s="5"/>
      <c r="AA495" s="5"/>
      <c r="AB495" s="5"/>
      <c r="AC495" s="5"/>
      <c r="AD495" s="5"/>
      <c r="AE495" s="5"/>
      <c r="AF495" s="5"/>
      <c r="AG495" s="5"/>
      <c r="AH495" s="1381">
        <v>172</v>
      </c>
      <c r="AI495" s="1382"/>
      <c r="AJ495" s="1382"/>
      <c r="AK495" s="1383"/>
      <c r="AZ495" s="3"/>
      <c r="BA495" s="3"/>
      <c r="BB495" s="3"/>
      <c r="BC495" s="3"/>
    </row>
    <row r="496" spans="1:55" ht="13.2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2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2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2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2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2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591</v>
      </c>
      <c r="AD501" s="1390"/>
      <c r="AE501" s="1390"/>
      <c r="AF501" s="1390"/>
      <c r="AG501" s="13" t="s">
        <v>403</v>
      </c>
      <c r="AH501" s="1427"/>
      <c r="AI501" s="1427"/>
      <c r="AJ501" s="1427"/>
      <c r="AK501" s="1428"/>
      <c r="AZ501" s="3"/>
      <c r="BA501" s="3"/>
      <c r="BB501" s="3"/>
      <c r="BC501" s="3"/>
      <c r="BD501" s="3"/>
      <c r="BE501" s="3"/>
      <c r="BF501" s="3"/>
      <c r="BG501" s="3"/>
      <c r="BH501" s="3"/>
      <c r="BI501" s="3"/>
      <c r="BJ501" s="3"/>
      <c r="BK501" s="3"/>
      <c r="BL501" s="3"/>
      <c r="BM501" s="3"/>
      <c r="BN501" s="3"/>
    </row>
    <row r="502" spans="1:66" ht="13.2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3.2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591</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25"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25" customHeight="1">
      <c r="B505" s="1399"/>
      <c r="C505" s="1400"/>
      <c r="D505" s="1400"/>
      <c r="E505" s="1400"/>
      <c r="F505" s="1400"/>
      <c r="G505" s="1400"/>
      <c r="H505" s="1401"/>
      <c r="I505" t="s">
        <v>411</v>
      </c>
      <c r="AC505" s="1389">
        <v>1</v>
      </c>
      <c r="AD505" s="1390"/>
      <c r="AE505" s="1390"/>
      <c r="AF505" s="1390"/>
      <c r="AG505" s="13" t="s">
        <v>403</v>
      </c>
      <c r="AH505" s="1427">
        <v>2026</v>
      </c>
      <c r="AI505" s="1427"/>
      <c r="AJ505" s="1427"/>
      <c r="AK505" s="1428"/>
      <c r="AZ505" s="3"/>
      <c r="BA505" s="3"/>
      <c r="BB505" s="3"/>
      <c r="BC505" s="3"/>
      <c r="BD505" s="3"/>
      <c r="BE505" s="3"/>
      <c r="BF505" s="3"/>
      <c r="BG505" s="3"/>
      <c r="BH505" s="3"/>
      <c r="BI505" s="3"/>
      <c r="BJ505" s="3"/>
      <c r="BK505" s="3"/>
      <c r="BL505" s="3"/>
      <c r="BM505" s="3"/>
      <c r="BN505" s="3"/>
    </row>
    <row r="506" spans="1:66" ht="13.25" customHeight="1">
      <c r="B506" s="1399"/>
      <c r="C506" s="1400"/>
      <c r="D506" s="1400"/>
      <c r="E506" s="1400"/>
      <c r="F506" s="1400"/>
      <c r="G506" s="1400"/>
      <c r="H506" s="1401"/>
      <c r="I506" t="s">
        <v>412</v>
      </c>
      <c r="AC506" s="1389">
        <v>5</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3.25" customHeight="1">
      <c r="B507" s="1399"/>
      <c r="C507" s="1400"/>
      <c r="D507" s="1400"/>
      <c r="E507" s="1400"/>
      <c r="F507" s="1400"/>
      <c r="G507" s="1400"/>
      <c r="H507" s="1401"/>
      <c r="I507" s="3" t="s">
        <v>413</v>
      </c>
      <c r="AC507" s="1355">
        <v>5</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3.2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25" customHeight="1">
      <c r="B509" s="871"/>
      <c r="C509" s="130"/>
      <c r="D509" s="130"/>
      <c r="E509" s="130"/>
      <c r="F509" s="130"/>
      <c r="G509" s="130"/>
      <c r="H509" s="872"/>
      <c r="I509" s="3" t="s">
        <v>1675</v>
      </c>
      <c r="AC509" s="1385" t="s">
        <v>545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25" customHeight="1">
      <c r="B510" s="871"/>
      <c r="C510" s="130"/>
      <c r="D510" s="130"/>
      <c r="E510" s="130"/>
      <c r="F510" s="130"/>
      <c r="G510" s="130"/>
      <c r="H510" s="872"/>
      <c r="I510" t="s">
        <v>1672</v>
      </c>
      <c r="AC510" s="1355">
        <v>1</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2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2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4"/>
      <c r="AI512" s="1594"/>
      <c r="AJ512" s="1594"/>
      <c r="AK512" s="1595"/>
      <c r="AZ512" s="3"/>
      <c r="BA512" s="3"/>
      <c r="BB512" s="3"/>
      <c r="BC512" s="3"/>
      <c r="BD512" s="3"/>
      <c r="BE512" s="3"/>
      <c r="BF512" s="3"/>
      <c r="BG512" s="3"/>
      <c r="BH512" s="3"/>
      <c r="BI512" s="3"/>
      <c r="BJ512" s="3"/>
      <c r="BK512" s="3"/>
      <c r="BL512" s="3"/>
      <c r="BM512" s="3"/>
      <c r="BN512" s="3" t="s">
        <v>1184</v>
      </c>
    </row>
    <row r="513" spans="2:66" ht="13.2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2104</v>
      </c>
    </row>
    <row r="514" spans="2:66" ht="13.2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3.25" customHeight="1">
      <c r="B515" s="1399"/>
      <c r="C515" s="1400"/>
      <c r="D515" s="1400"/>
      <c r="E515" s="1400"/>
      <c r="F515" s="1400"/>
      <c r="G515" s="1400"/>
      <c r="H515" s="1401"/>
      <c r="I515" t="s">
        <v>416</v>
      </c>
      <c r="AC515" s="1389">
        <v>9</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3.2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6</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3.2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2108</v>
      </c>
    </row>
    <row r="518" spans="2:66" ht="13.25" customHeight="1">
      <c r="B518" s="1399"/>
      <c r="C518" s="1400"/>
      <c r="D518" s="1400"/>
      <c r="E518" s="1400"/>
      <c r="F518" s="1400"/>
      <c r="G518" s="1400"/>
      <c r="H518" s="1401"/>
      <c r="I518" t="s">
        <v>416</v>
      </c>
      <c r="AC518" s="1389">
        <v>9</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2109</v>
      </c>
    </row>
    <row r="519" spans="2:66" ht="13.2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2110</v>
      </c>
    </row>
    <row r="520" spans="2:66" ht="13.25" customHeight="1">
      <c r="B520" s="1396" t="s">
        <v>419</v>
      </c>
      <c r="C520" s="1397"/>
      <c r="D520" s="1397"/>
      <c r="E520" s="1397"/>
      <c r="F520" s="1397"/>
      <c r="G520" s="1397"/>
      <c r="H520" s="1398"/>
      <c r="I520" s="41" t="s">
        <v>420</v>
      </c>
      <c r="J520" s="42"/>
      <c r="K520" s="42"/>
      <c r="L520" s="42"/>
      <c r="M520" s="42"/>
      <c r="N520" s="42"/>
      <c r="O520" s="1433" t="s">
        <v>2716</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2111</v>
      </c>
    </row>
    <row r="521" spans="2:66" ht="13.25" customHeight="1">
      <c r="B521" s="1399"/>
      <c r="C521" s="1400"/>
      <c r="D521" s="1400"/>
      <c r="E521" s="1400"/>
      <c r="F521" s="1400"/>
      <c r="G521" s="1400"/>
      <c r="H521" s="1401"/>
      <c r="I521" s="114" t="s">
        <v>421</v>
      </c>
      <c r="AB521" s="65"/>
      <c r="AC521" s="1389">
        <v>8</v>
      </c>
      <c r="AD521" s="1390"/>
      <c r="AE521" s="1390"/>
      <c r="AF521" s="1390"/>
      <c r="AG521" s="13" t="s">
        <v>403</v>
      </c>
      <c r="AH521" s="1427">
        <v>2025</v>
      </c>
      <c r="AI521" s="1427"/>
      <c r="AJ521" s="1427"/>
      <c r="AK521" s="1428"/>
      <c r="AZ521" s="3"/>
      <c r="BB521" s="3"/>
      <c r="BC521" s="3"/>
      <c r="BD521" s="3"/>
      <c r="BE521" s="3"/>
      <c r="BF521" s="3"/>
      <c r="BG521" s="3"/>
      <c r="BH521" s="3"/>
      <c r="BI521" s="3"/>
      <c r="BJ521" s="3"/>
      <c r="BK521" s="3"/>
      <c r="BL521" s="3"/>
      <c r="BM521" s="3"/>
      <c r="BN521" s="3" t="s">
        <v>2112</v>
      </c>
    </row>
    <row r="522" spans="2:66" ht="13.2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7">
        <v>2026</v>
      </c>
      <c r="AI522" s="1427"/>
      <c r="AJ522" s="1427"/>
      <c r="AK522" s="1428"/>
      <c r="AZ522" s="3"/>
      <c r="BA522" s="3"/>
      <c r="BB522" s="3"/>
      <c r="BC522" s="3"/>
      <c r="BD522" s="3"/>
      <c r="BE522" s="3"/>
      <c r="BF522" s="3"/>
      <c r="BG522" s="3"/>
      <c r="BH522" s="3"/>
      <c r="BI522" s="3"/>
      <c r="BJ522" s="3"/>
      <c r="BK522" s="3"/>
      <c r="BL522" s="3"/>
      <c r="BM522" s="3"/>
      <c r="BN522" s="3" t="s">
        <v>2113</v>
      </c>
    </row>
    <row r="523" spans="2:66" ht="13.2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3.25" customHeight="1">
      <c r="B524" s="1399"/>
      <c r="C524" s="1400"/>
      <c r="D524" s="1400"/>
      <c r="E524" s="1400"/>
      <c r="F524" s="1400"/>
      <c r="G524" s="1400"/>
      <c r="H524" s="1401"/>
      <c r="I524" t="s">
        <v>421</v>
      </c>
      <c r="AC524" s="1389" t="s">
        <v>591</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3.2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591</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2116</v>
      </c>
    </row>
    <row r="526" spans="2:66" ht="13.2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3.25" customHeight="1">
      <c r="B527" s="1399"/>
      <c r="C527" s="1400"/>
      <c r="D527" s="1400"/>
      <c r="E527" s="1400"/>
      <c r="F527" s="1400"/>
      <c r="G527" s="1400"/>
      <c r="H527" s="1401"/>
      <c r="I527" t="s">
        <v>421</v>
      </c>
      <c r="AC527" s="1389" t="s">
        <v>591</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3.2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3.2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3.25" customHeight="1">
      <c r="B530" s="1399"/>
      <c r="C530" s="1400"/>
      <c r="D530" s="1400"/>
      <c r="E530" s="1400"/>
      <c r="F530" s="1400"/>
      <c r="G530" s="1400"/>
      <c r="H530" s="1401"/>
      <c r="I530" t="s">
        <v>421</v>
      </c>
      <c r="AC530" s="1389" t="s">
        <v>591</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3.2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3.2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3.25" customHeight="1">
      <c r="B533" s="1399"/>
      <c r="C533" s="1400"/>
      <c r="D533" s="1400"/>
      <c r="E533" s="1400"/>
      <c r="F533" s="1400"/>
      <c r="G533" s="1400"/>
      <c r="H533" s="1401"/>
      <c r="I533" t="s">
        <v>421</v>
      </c>
      <c r="AC533" s="1389" t="s">
        <v>591</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3.2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3.2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3.25"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3.2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3.2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12</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3.25" customHeight="1">
      <c r="B539" s="1399"/>
      <c r="C539" s="1400"/>
      <c r="D539" s="1400"/>
      <c r="E539" s="1400"/>
      <c r="F539" s="1400"/>
      <c r="G539" s="1400"/>
      <c r="H539" s="1401"/>
      <c r="I539" t="s">
        <v>563</v>
      </c>
      <c r="AC539" s="1389">
        <v>7</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25" customHeight="1">
      <c r="B540" s="1399"/>
      <c r="C540" s="1400"/>
      <c r="D540" s="1400"/>
      <c r="E540" s="1400"/>
      <c r="F540" s="1400"/>
      <c r="G540" s="1400"/>
      <c r="H540" s="1401"/>
      <c r="I540" t="s">
        <v>564</v>
      </c>
      <c r="AC540" s="1389">
        <v>6</v>
      </c>
      <c r="AD540" s="1390"/>
      <c r="AE540" s="1390"/>
      <c r="AF540" s="1390"/>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3.25" customHeight="1">
      <c r="B541" s="1399"/>
      <c r="C541" s="1400"/>
      <c r="D541" s="1400"/>
      <c r="E541" s="1400"/>
      <c r="F541" s="1400"/>
      <c r="G541" s="1400"/>
      <c r="H541" s="1401"/>
      <c r="I541" t="s">
        <v>565</v>
      </c>
      <c r="AC541" s="1389">
        <v>6</v>
      </c>
      <c r="AD541" s="1390"/>
      <c r="AE541" s="1390"/>
      <c r="AF541" s="1390"/>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3.2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4</v>
      </c>
      <c r="AD542" s="1390"/>
      <c r="AE542" s="1390"/>
      <c r="AF542" s="1390"/>
      <c r="AG542" s="38" t="s">
        <v>403</v>
      </c>
      <c r="AH542" s="1427">
        <v>2029</v>
      </c>
      <c r="AI542" s="1427"/>
      <c r="AJ542" s="1427"/>
      <c r="AK542" s="1428"/>
      <c r="BB542" s="3"/>
      <c r="BC542" s="3"/>
      <c r="BD542" s="3"/>
      <c r="BE542" s="3"/>
      <c r="BF542" s="3"/>
      <c r="BG542" s="3"/>
      <c r="BH542" s="3" t="s">
        <v>112</v>
      </c>
      <c r="BI542" s="3" t="str">
        <f>N649</f>
        <v>Yes</v>
      </c>
      <c r="BJ542" s="3"/>
      <c r="BK542" s="3"/>
      <c r="BL542" s="3"/>
      <c r="BM542" s="3"/>
      <c r="BN542" s="3"/>
    </row>
    <row r="543" spans="1:66" ht="13.2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2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2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25" customHeight="1">
      <c r="BB546" s="3"/>
      <c r="BC546" s="3"/>
      <c r="BD546" s="3"/>
      <c r="BE546" s="3"/>
      <c r="BF546" s="3"/>
      <c r="BG546" s="3"/>
      <c r="BH546" s="3"/>
      <c r="BI546" s="3"/>
    </row>
    <row r="547" spans="1:61" ht="13.25" customHeight="1">
      <c r="A547" s="2" t="s">
        <v>319</v>
      </c>
      <c r="B547" s="2"/>
      <c r="C547" s="2" t="s">
        <v>452</v>
      </c>
      <c r="BB547" s="3"/>
      <c r="BC547" s="3"/>
      <c r="BD547" s="3"/>
      <c r="BE547" s="3"/>
      <c r="BF547" s="3"/>
      <c r="BG547" s="3"/>
      <c r="BH547" s="3"/>
      <c r="BI547" s="3"/>
    </row>
    <row r="548" spans="1:61" ht="13.25" customHeight="1">
      <c r="A548" s="2"/>
      <c r="B548" s="2"/>
      <c r="C548" s="2"/>
      <c r="BB548" s="3"/>
      <c r="BC548" s="3"/>
      <c r="BD548" s="3"/>
      <c r="BE548" s="3"/>
      <c r="BF548" s="3"/>
      <c r="BG548" s="3"/>
      <c r="BH548" s="3"/>
      <c r="BI548" s="3"/>
    </row>
    <row r="549" spans="1:61" ht="13.25" customHeight="1">
      <c r="A549" s="2"/>
      <c r="B549" s="2"/>
      <c r="C549" s="2"/>
      <c r="D549" s="2" t="s">
        <v>2100</v>
      </c>
      <c r="AC549" s="98"/>
      <c r="BB549" s="3"/>
      <c r="BC549" s="3"/>
      <c r="BD549" s="3"/>
      <c r="BE549" s="3"/>
      <c r="BF549" s="3"/>
      <c r="BG549" s="3"/>
      <c r="BH549" s="3"/>
      <c r="BI549" s="3"/>
    </row>
    <row r="550" spans="1:61" ht="13.25" customHeight="1">
      <c r="B550" s="512"/>
      <c r="BB550" s="3"/>
      <c r="BC550" s="3"/>
      <c r="BD550" s="3"/>
      <c r="BE550" s="3"/>
      <c r="BF550" s="3"/>
      <c r="BG550" s="3"/>
      <c r="BH550" s="3" t="s">
        <v>119</v>
      </c>
      <c r="BI550" s="3" t="str">
        <f>N657</f>
        <v>Yes</v>
      </c>
    </row>
    <row r="551" spans="1:61" ht="13.2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3.2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2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25" customHeight="1">
      <c r="B554" s="51" t="s">
        <v>112</v>
      </c>
      <c r="C554" s="1439" t="s">
        <v>2670</v>
      </c>
      <c r="D554" s="1439"/>
      <c r="E554" s="1439"/>
      <c r="F554" s="1439"/>
      <c r="G554" s="1439"/>
      <c r="H554" s="1439"/>
      <c r="I554" s="1439"/>
      <c r="J554" s="1439"/>
      <c r="K554" s="1439"/>
      <c r="L554" s="1439"/>
      <c r="M554" s="1439" t="s">
        <v>2119</v>
      </c>
      <c r="N554" s="1439"/>
      <c r="O554" s="1439"/>
      <c r="P554" s="1439"/>
      <c r="Q554" s="1425">
        <v>36</v>
      </c>
      <c r="R554" s="1425"/>
      <c r="S554" s="1426"/>
      <c r="T554" s="1424">
        <v>36</v>
      </c>
      <c r="U554" s="1425"/>
      <c r="V554" s="1426"/>
      <c r="W554" s="1421">
        <v>5.8499999999999996E-2</v>
      </c>
      <c r="X554" s="1422"/>
      <c r="Y554" s="1423"/>
      <c r="Z554" s="1430" t="s">
        <v>2671</v>
      </c>
      <c r="AA554" s="1430"/>
      <c r="AB554" s="1430"/>
      <c r="AC554" s="1430"/>
      <c r="AD554" s="1430"/>
      <c r="AE554" s="1412">
        <v>1</v>
      </c>
      <c r="AF554" s="1413"/>
      <c r="AG554" s="1413"/>
      <c r="AH554" s="1414"/>
      <c r="AI554" s="1436"/>
      <c r="AJ554" s="1437"/>
      <c r="AK554" s="1437"/>
      <c r="AL554" s="1438"/>
      <c r="AM554" s="1467">
        <v>31300000</v>
      </c>
      <c r="AN554" s="1468"/>
      <c r="AO554" s="1468"/>
      <c r="AP554" s="1468"/>
      <c r="AQ554" s="1468"/>
      <c r="AR554" s="1468"/>
      <c r="AS554" s="1469"/>
      <c r="AT554" s="1148"/>
      <c r="AU554" s="1147"/>
      <c r="BB554" s="3"/>
      <c r="BC554" s="3"/>
      <c r="BD554" s="3"/>
      <c r="BE554" s="3"/>
      <c r="BF554" s="3"/>
      <c r="BG554" s="3"/>
      <c r="BH554" s="3"/>
      <c r="BI554" s="3"/>
    </row>
    <row r="555" spans="1:61" ht="13.25" customHeight="1">
      <c r="B555" s="52" t="s">
        <v>113</v>
      </c>
      <c r="C555" s="1440" t="s">
        <v>2670</v>
      </c>
      <c r="D555" s="1440"/>
      <c r="E555" s="1440"/>
      <c r="F555" s="1440"/>
      <c r="G555" s="1440"/>
      <c r="H555" s="1440"/>
      <c r="I555" s="1440"/>
      <c r="J555" s="1440"/>
      <c r="K555" s="1440"/>
      <c r="L555" s="1440"/>
      <c r="M555" s="1439" t="s">
        <v>2113</v>
      </c>
      <c r="N555" s="1439"/>
      <c r="O555" s="1439"/>
      <c r="P555" s="1439"/>
      <c r="Q555" s="1424">
        <v>36</v>
      </c>
      <c r="R555" s="1425"/>
      <c r="S555" s="1426"/>
      <c r="T555" s="1424">
        <v>36</v>
      </c>
      <c r="U555" s="1425"/>
      <c r="V555" s="1426"/>
      <c r="W555" s="1421">
        <v>6.3500000000000001E-2</v>
      </c>
      <c r="X555" s="1422"/>
      <c r="Y555" s="1423"/>
      <c r="Z555" s="1430" t="s">
        <v>2671</v>
      </c>
      <c r="AA555" s="1430"/>
      <c r="AB555" s="1430"/>
      <c r="AC555" s="1430"/>
      <c r="AD555" s="1430"/>
      <c r="AE555" s="1412">
        <v>1</v>
      </c>
      <c r="AF555" s="1413"/>
      <c r="AG555" s="1413"/>
      <c r="AH555" s="1414"/>
      <c r="AI555" s="1436"/>
      <c r="AJ555" s="1437"/>
      <c r="AK555" s="1437"/>
      <c r="AL555" s="1438"/>
      <c r="AM555" s="1467">
        <v>40482309.972314492</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3.25" customHeight="1">
      <c r="B556" s="52" t="s">
        <v>119</v>
      </c>
      <c r="C556" s="1440" t="s">
        <v>2672</v>
      </c>
      <c r="D556" s="1440"/>
      <c r="E556" s="1440"/>
      <c r="F556" s="1440"/>
      <c r="G556" s="1440"/>
      <c r="H556" s="1440"/>
      <c r="I556" s="1440"/>
      <c r="J556" s="1440"/>
      <c r="K556" s="1440"/>
      <c r="L556" s="1440"/>
      <c r="M556" s="1439" t="s">
        <v>2109</v>
      </c>
      <c r="N556" s="1439"/>
      <c r="O556" s="1439"/>
      <c r="P556" s="1439"/>
      <c r="Q556" s="1424"/>
      <c r="R556" s="1425"/>
      <c r="S556" s="1426"/>
      <c r="T556" s="1424"/>
      <c r="U556" s="1425"/>
      <c r="V556" s="1426"/>
      <c r="W556" s="1421"/>
      <c r="X556" s="1422"/>
      <c r="Y556" s="1423"/>
      <c r="Z556" s="1430" t="s">
        <v>591</v>
      </c>
      <c r="AA556" s="1430"/>
      <c r="AB556" s="1430"/>
      <c r="AC556" s="1430"/>
      <c r="AD556" s="1430"/>
      <c r="AE556" s="1412"/>
      <c r="AF556" s="1413"/>
      <c r="AG556" s="1413"/>
      <c r="AH556" s="1414"/>
      <c r="AI556" s="1436"/>
      <c r="AJ556" s="1437"/>
      <c r="AK556" s="1437"/>
      <c r="AL556" s="1438"/>
      <c r="AM556" s="1467">
        <v>100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3.25" customHeight="1">
      <c r="B557" s="52" t="s">
        <v>581</v>
      </c>
      <c r="C557" s="1440" t="s">
        <v>2673</v>
      </c>
      <c r="D557" s="1440"/>
      <c r="E557" s="1440"/>
      <c r="F557" s="1440"/>
      <c r="G557" s="1440"/>
      <c r="H557" s="1440"/>
      <c r="I557" s="1440"/>
      <c r="J557" s="1440"/>
      <c r="K557" s="1440"/>
      <c r="L557" s="1440"/>
      <c r="M557" s="1439" t="s">
        <v>2110</v>
      </c>
      <c r="N557" s="1439"/>
      <c r="O557" s="1439"/>
      <c r="P557" s="1439"/>
      <c r="Q557" s="1424"/>
      <c r="R557" s="1425"/>
      <c r="S557" s="1426"/>
      <c r="T557" s="1424"/>
      <c r="U557" s="1425"/>
      <c r="V557" s="1426"/>
      <c r="W557" s="1421"/>
      <c r="X557" s="1422"/>
      <c r="Y557" s="1423"/>
      <c r="Z557" s="1430" t="s">
        <v>591</v>
      </c>
      <c r="AA557" s="1430"/>
      <c r="AB557" s="1430"/>
      <c r="AC557" s="1430"/>
      <c r="AD557" s="1430"/>
      <c r="AE557" s="1412"/>
      <c r="AF557" s="1413"/>
      <c r="AG557" s="1413"/>
      <c r="AH557" s="1414"/>
      <c r="AI557" s="1436"/>
      <c r="AJ557" s="1437"/>
      <c r="AK557" s="1437"/>
      <c r="AL557" s="1438"/>
      <c r="AM557" s="1467">
        <v>3607179.5</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3.25" customHeight="1">
      <c r="B558" s="52" t="s">
        <v>763</v>
      </c>
      <c r="C558" s="1440" t="s">
        <v>2674</v>
      </c>
      <c r="D558" s="1440"/>
      <c r="E558" s="1440"/>
      <c r="F558" s="1440"/>
      <c r="G558" s="1440"/>
      <c r="H558" s="1440"/>
      <c r="I558" s="1440"/>
      <c r="J558" s="1440"/>
      <c r="K558" s="1440"/>
      <c r="L558" s="1440"/>
      <c r="M558" s="1439" t="s">
        <v>2105</v>
      </c>
      <c r="N558" s="1439"/>
      <c r="O558" s="1439"/>
      <c r="P558" s="1439"/>
      <c r="Q558" s="1424"/>
      <c r="R558" s="1425"/>
      <c r="S558" s="1426"/>
      <c r="T558" s="1424"/>
      <c r="U558" s="1425"/>
      <c r="V558" s="1426"/>
      <c r="W558" s="1421"/>
      <c r="X558" s="1422"/>
      <c r="Y558" s="1423"/>
      <c r="Z558" s="1430" t="s">
        <v>591</v>
      </c>
      <c r="AA558" s="1430"/>
      <c r="AB558" s="1430"/>
      <c r="AC558" s="1430"/>
      <c r="AD558" s="1430"/>
      <c r="AE558" s="1412"/>
      <c r="AF558" s="1413"/>
      <c r="AG558" s="1413"/>
      <c r="AH558" s="1414"/>
      <c r="AI558" s="1436"/>
      <c r="AJ558" s="1437"/>
      <c r="AK558" s="1437"/>
      <c r="AL558" s="1438"/>
      <c r="AM558" s="1467">
        <v>2166936.7331738127</v>
      </c>
      <c r="AN558" s="1468"/>
      <c r="AO558" s="1468"/>
      <c r="AP558" s="1468"/>
      <c r="AQ558" s="1468"/>
      <c r="AR558" s="1468"/>
      <c r="AS558" s="1469"/>
      <c r="AT558" s="1148" t="str">
        <f t="shared" ref="AT558:AT565" si="0">IF(AND(NOT(C557=""),C558="",NOT(C559="")),"!","")</f>
        <v/>
      </c>
      <c r="AU558" s="1147"/>
      <c r="BB558" s="3"/>
      <c r="BC558" s="3"/>
      <c r="BD558" s="3"/>
      <c r="BE558" s="3"/>
      <c r="BF558" s="3"/>
      <c r="BG558" s="3"/>
      <c r="BH558" s="3" t="s">
        <v>763</v>
      </c>
      <c r="BI558" s="3" t="str">
        <f>N665</f>
        <v>Yes</v>
      </c>
    </row>
    <row r="559" spans="1:61" ht="13.25" customHeight="1">
      <c r="B559" s="52" t="s">
        <v>584</v>
      </c>
      <c r="C559" s="1440" t="s">
        <v>2320</v>
      </c>
      <c r="D559" s="1440"/>
      <c r="E559" s="1440"/>
      <c r="F559" s="1440"/>
      <c r="G559" s="1440"/>
      <c r="H559" s="1440"/>
      <c r="I559" s="1440"/>
      <c r="J559" s="1440"/>
      <c r="K559" s="1440"/>
      <c r="L559" s="1440"/>
      <c r="M559" s="1439" t="s">
        <v>2106</v>
      </c>
      <c r="N559" s="1439"/>
      <c r="O559" s="1439"/>
      <c r="P559" s="1439"/>
      <c r="Q559" s="1424"/>
      <c r="R559" s="1425"/>
      <c r="S559" s="1426"/>
      <c r="T559" s="1424"/>
      <c r="U559" s="1425"/>
      <c r="V559" s="1426"/>
      <c r="W559" s="1421"/>
      <c r="X559" s="1422"/>
      <c r="Y559" s="1423"/>
      <c r="Z559" s="1430" t="s">
        <v>591</v>
      </c>
      <c r="AA559" s="1430"/>
      <c r="AB559" s="1430"/>
      <c r="AC559" s="1430"/>
      <c r="AD559" s="1430"/>
      <c r="AE559" s="1412"/>
      <c r="AF559" s="1413"/>
      <c r="AG559" s="1413"/>
      <c r="AH559" s="1414"/>
      <c r="AI559" s="1436"/>
      <c r="AJ559" s="1437"/>
      <c r="AK559" s="1437"/>
      <c r="AL559" s="1438"/>
      <c r="AM559" s="1467">
        <v>12379887.794511709</v>
      </c>
      <c r="AN559" s="1468"/>
      <c r="AO559" s="1468"/>
      <c r="AP559" s="1468"/>
      <c r="AQ559" s="1468"/>
      <c r="AR559" s="1468"/>
      <c r="AS559" s="1469"/>
      <c r="AT559" s="1148" t="str">
        <f t="shared" si="0"/>
        <v/>
      </c>
      <c r="AU559" s="1147"/>
      <c r="BB559" s="3"/>
      <c r="BC559" s="3"/>
      <c r="BD559" s="3"/>
      <c r="BE559" s="3"/>
      <c r="BF559" s="3"/>
      <c r="BG559" s="3"/>
      <c r="BH559" s="3" t="s">
        <v>584</v>
      </c>
      <c r="BI559" s="3" t="str">
        <f>AG665</f>
        <v>Yes</v>
      </c>
    </row>
    <row r="560" spans="1:61" ht="13.25" customHeight="1">
      <c r="B560" s="52" t="s">
        <v>455</v>
      </c>
      <c r="C560" s="1440" t="s">
        <v>2685</v>
      </c>
      <c r="D560" s="1440"/>
      <c r="E560" s="1440"/>
      <c r="F560" s="1440"/>
      <c r="G560" s="1440"/>
      <c r="H560" s="1440"/>
      <c r="I560" s="1440"/>
      <c r="J560" s="1440"/>
      <c r="K560" s="1440"/>
      <c r="L560" s="1440"/>
      <c r="M560" s="1439" t="s">
        <v>2117</v>
      </c>
      <c r="N560" s="1439"/>
      <c r="O560" s="1439"/>
      <c r="P560" s="1439"/>
      <c r="Q560" s="1424">
        <f>Q632</f>
        <v>240</v>
      </c>
      <c r="R560" s="1425"/>
      <c r="S560" s="1426"/>
      <c r="T560" s="1424"/>
      <c r="U560" s="1425"/>
      <c r="V560" s="1426"/>
      <c r="W560" s="1421">
        <f>W632</f>
        <v>0.05</v>
      </c>
      <c r="X560" s="1422"/>
      <c r="Y560" s="1423"/>
      <c r="Z560" s="1430" t="s">
        <v>591</v>
      </c>
      <c r="AA560" s="1430"/>
      <c r="AB560" s="1430"/>
      <c r="AC560" s="1430"/>
      <c r="AD560" s="1430"/>
      <c r="AE560" s="1412"/>
      <c r="AF560" s="1413"/>
      <c r="AG560" s="1413"/>
      <c r="AH560" s="1414"/>
      <c r="AI560" s="1436"/>
      <c r="AJ560" s="1437"/>
      <c r="AK560" s="1437"/>
      <c r="AL560" s="1438"/>
      <c r="AM560" s="1467">
        <v>14600000</v>
      </c>
      <c r="AN560" s="1468"/>
      <c r="AO560" s="1468"/>
      <c r="AP560" s="1468"/>
      <c r="AQ560" s="1468"/>
      <c r="AR560" s="1468"/>
      <c r="AS560" s="1469"/>
      <c r="AT560" s="1148" t="str">
        <f t="shared" si="0"/>
        <v/>
      </c>
      <c r="AU560" s="1147"/>
      <c r="BB560" s="3"/>
      <c r="BC560" s="3"/>
      <c r="BD560" s="3"/>
      <c r="BE560" s="3"/>
      <c r="BF560" s="3"/>
      <c r="BG560" s="3"/>
      <c r="BH560" s="3"/>
      <c r="BI560" s="3"/>
    </row>
    <row r="561" spans="1:61" ht="13.25" customHeight="1">
      <c r="B561" s="52" t="s">
        <v>456</v>
      </c>
      <c r="C561" s="1440" t="s">
        <v>2670</v>
      </c>
      <c r="D561" s="1440"/>
      <c r="E561" s="1440"/>
      <c r="F561" s="1440"/>
      <c r="G561" s="1440"/>
      <c r="H561" s="1440"/>
      <c r="I561" s="1440"/>
      <c r="J561" s="1440"/>
      <c r="K561" s="1440"/>
      <c r="L561" s="1440"/>
      <c r="M561" s="1439" t="s">
        <v>2120</v>
      </c>
      <c r="N561" s="1439"/>
      <c r="O561" s="1439"/>
      <c r="P561" s="1439"/>
      <c r="Q561" s="1424">
        <v>36</v>
      </c>
      <c r="R561" s="1425"/>
      <c r="S561" s="1426"/>
      <c r="T561" s="1424">
        <v>36</v>
      </c>
      <c r="U561" s="1425"/>
      <c r="V561" s="1426"/>
      <c r="W561" s="1421">
        <v>5.8499999999999996E-2</v>
      </c>
      <c r="X561" s="1422"/>
      <c r="Y561" s="1423"/>
      <c r="Z561" s="1430" t="s">
        <v>2671</v>
      </c>
      <c r="AA561" s="1430"/>
      <c r="AB561" s="1430"/>
      <c r="AC561" s="1430"/>
      <c r="AD561" s="1430"/>
      <c r="AE561" s="1412">
        <v>1</v>
      </c>
      <c r="AF561" s="1413"/>
      <c r="AG561" s="1413"/>
      <c r="AH561" s="1414"/>
      <c r="AI561" s="1436"/>
      <c r="AJ561" s="1437"/>
      <c r="AK561" s="1437"/>
      <c r="AL561" s="1438"/>
      <c r="AM561" s="1467">
        <v>10500000</v>
      </c>
      <c r="AN561" s="1468"/>
      <c r="AO561" s="1468"/>
      <c r="AP561" s="1468"/>
      <c r="AQ561" s="1468"/>
      <c r="AR561" s="1468"/>
      <c r="AS561" s="1469"/>
      <c r="AT561" s="1148" t="str">
        <f t="shared" si="0"/>
        <v/>
      </c>
      <c r="AU561" s="1147"/>
      <c r="BB561" s="3"/>
      <c r="BC561" s="3"/>
      <c r="BD561" s="3"/>
      <c r="BE561" s="3"/>
      <c r="BF561" s="3"/>
      <c r="BG561" s="3"/>
      <c r="BH561" s="3"/>
      <c r="BI561" s="3"/>
    </row>
    <row r="562" spans="1:61" ht="13.25" customHeight="1">
      <c r="B562" s="52" t="s">
        <v>461</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3.25"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7"/>
      <c r="AN563" s="1468"/>
      <c r="AO563" s="1468"/>
      <c r="AP563" s="1468"/>
      <c r="AQ563" s="1468"/>
      <c r="AR563" s="1468"/>
      <c r="AS563" s="1469"/>
      <c r="AT563" s="1148" t="str">
        <f t="shared" si="0"/>
        <v/>
      </c>
      <c r="BB563" s="3"/>
      <c r="BC563" s="3"/>
      <c r="BD563" s="3"/>
      <c r="BE563" s="3"/>
      <c r="BF563" s="3"/>
      <c r="BG563" s="3"/>
      <c r="BH563" s="3"/>
      <c r="BI563" s="3"/>
    </row>
    <row r="564" spans="1:61" ht="13.2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7"/>
      <c r="AN564" s="1468"/>
      <c r="AO564" s="1468"/>
      <c r="AP564" s="1468"/>
      <c r="AQ564" s="1468"/>
      <c r="AR564" s="1468"/>
      <c r="AS564" s="1469"/>
      <c r="AT564" s="1148" t="str">
        <f t="shared" si="0"/>
        <v/>
      </c>
      <c r="BB564" s="3"/>
      <c r="BC564" s="3"/>
      <c r="BD564" s="3"/>
      <c r="BE564" s="3"/>
      <c r="BF564" s="3"/>
      <c r="BG564" s="3"/>
      <c r="BH564" s="3"/>
      <c r="BI564" s="3"/>
    </row>
    <row r="565" spans="1:61" ht="13.2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7"/>
      <c r="AN565" s="1468"/>
      <c r="AO565" s="1468"/>
      <c r="AP565" s="1468"/>
      <c r="AQ565" s="1468"/>
      <c r="AR565" s="1468"/>
      <c r="AS565" s="1469"/>
      <c r="AT565" s="1148" t="str">
        <f t="shared" si="0"/>
        <v/>
      </c>
      <c r="BB565" s="3"/>
      <c r="BC565" s="3"/>
      <c r="BD565" s="3"/>
      <c r="BE565" s="3"/>
      <c r="BF565" s="3"/>
      <c r="BG565" s="3"/>
      <c r="BH565" s="3"/>
      <c r="BI565" s="3"/>
    </row>
    <row r="566" spans="1:61" ht="13.2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4">
        <f>SUM(AM554:AS565)</f>
        <v>115036414.00000001</v>
      </c>
      <c r="AN566" s="1475"/>
      <c r="AO566" s="1475"/>
      <c r="AP566" s="1475"/>
      <c r="AQ566" s="1475"/>
      <c r="AR566" s="1475"/>
      <c r="AS566" s="1476"/>
      <c r="BB566" s="3"/>
      <c r="BC566" s="3"/>
      <c r="BD566" s="3"/>
      <c r="BE566" s="3"/>
      <c r="BF566" s="3"/>
      <c r="BG566" s="3"/>
      <c r="BH566" s="3" t="s">
        <v>455</v>
      </c>
      <c r="BI566" s="3" t="str">
        <f>N673</f>
        <v>No</v>
      </c>
    </row>
    <row r="567" spans="1:61" ht="13.2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25" customHeight="1">
      <c r="A568" s="55" t="s">
        <v>112</v>
      </c>
      <c r="B568" t="s">
        <v>463</v>
      </c>
      <c r="G568" s="1485" t="str">
        <f>C554</f>
        <v>Citibank, N.A.</v>
      </c>
      <c r="H568" s="1485"/>
      <c r="I568" s="1485"/>
      <c r="J568" s="1485"/>
      <c r="K568" s="1485"/>
      <c r="L568" s="1485"/>
      <c r="M568" s="1485"/>
      <c r="N568" s="1485"/>
      <c r="O568" s="1485"/>
      <c r="P568" s="1485"/>
      <c r="Q568" s="1485"/>
      <c r="R568" s="1485"/>
      <c r="S568" s="8"/>
      <c r="T568" s="55" t="s">
        <v>113</v>
      </c>
      <c r="U568" t="s">
        <v>463</v>
      </c>
      <c r="Z568" s="1485" t="str">
        <f>C555</f>
        <v>Citibank, N.A.</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25" customHeight="1">
      <c r="A569" s="22"/>
      <c r="B569" t="s">
        <v>85</v>
      </c>
      <c r="G569" s="1407" t="s">
        <v>2677</v>
      </c>
      <c r="H569" s="1407"/>
      <c r="I569" s="1407"/>
      <c r="J569" s="1407"/>
      <c r="K569" s="1407"/>
      <c r="L569" s="1407"/>
      <c r="M569" s="1407"/>
      <c r="N569" s="1407"/>
      <c r="O569" s="1407"/>
      <c r="P569" s="1407"/>
      <c r="Q569" s="1407"/>
      <c r="R569" s="1407"/>
      <c r="S569" s="8"/>
      <c r="T569" s="22"/>
      <c r="U569" t="s">
        <v>85</v>
      </c>
      <c r="Z569" s="1407" t="s">
        <v>2677</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25" customHeight="1">
      <c r="A570" s="22"/>
      <c r="B570" t="s">
        <v>580</v>
      </c>
      <c r="G570" s="1407" t="s">
        <v>2678</v>
      </c>
      <c r="H570" s="1407"/>
      <c r="I570" s="1407"/>
      <c r="J570" s="1407"/>
      <c r="K570" s="1407"/>
      <c r="L570" s="1407"/>
      <c r="M570" s="1407"/>
      <c r="N570" s="1407"/>
      <c r="O570" s="1407"/>
      <c r="P570" s="1407"/>
      <c r="Q570" s="1407"/>
      <c r="R570" s="1407"/>
      <c r="T570" s="22"/>
      <c r="U570" t="s">
        <v>580</v>
      </c>
      <c r="Z570" s="1371" t="s">
        <v>2678</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25" customHeight="1">
      <c r="A571" s="22"/>
      <c r="B571" t="s">
        <v>17</v>
      </c>
      <c r="G571" s="1407" t="s">
        <v>2679</v>
      </c>
      <c r="H571" s="1407"/>
      <c r="I571" s="1407"/>
      <c r="J571" s="1407"/>
      <c r="K571" s="1407"/>
      <c r="L571" s="1407"/>
      <c r="M571" s="1407"/>
      <c r="N571" s="1407"/>
      <c r="O571" s="1407"/>
      <c r="P571" s="1407"/>
      <c r="Q571" s="1407"/>
      <c r="R571" s="1407"/>
      <c r="S571" s="8"/>
      <c r="T571" s="22"/>
      <c r="U571" t="s">
        <v>17</v>
      </c>
      <c r="Z571" s="1371" t="s">
        <v>2679</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25" customHeight="1">
      <c r="A572" s="22"/>
      <c r="B572" t="s">
        <v>316</v>
      </c>
      <c r="G572" s="1489">
        <v>8053585673</v>
      </c>
      <c r="H572" s="1489"/>
      <c r="I572" s="1489"/>
      <c r="J572" s="1489"/>
      <c r="K572" s="1489"/>
      <c r="L572" s="1489"/>
      <c r="O572" s="33" t="s">
        <v>206</v>
      </c>
      <c r="P572" s="1473"/>
      <c r="Q572" s="1473"/>
      <c r="R572" s="1473"/>
      <c r="S572" s="10"/>
      <c r="T572" s="22"/>
      <c r="U572" t="s">
        <v>316</v>
      </c>
      <c r="Z572" s="1489">
        <v>8053585673</v>
      </c>
      <c r="AA572" s="1489"/>
      <c r="AB572" s="1489"/>
      <c r="AC572" s="1489"/>
      <c r="AD572" s="1489"/>
      <c r="AE572" s="1489"/>
      <c r="AH572" s="33" t="s">
        <v>206</v>
      </c>
      <c r="AI572" s="1473"/>
      <c r="AJ572" s="1473"/>
      <c r="AK572" s="1473"/>
      <c r="BB572" s="3"/>
      <c r="BC572" s="3"/>
      <c r="BD572" s="3"/>
      <c r="BE572" s="3"/>
      <c r="BF572" s="3"/>
      <c r="BG572" s="3"/>
      <c r="BH572" s="3"/>
      <c r="BI572" s="3"/>
    </row>
    <row r="573" spans="1:61" ht="13.25" customHeight="1">
      <c r="A573" s="22"/>
      <c r="B573" t="s">
        <v>18</v>
      </c>
      <c r="H573" s="1407" t="s">
        <v>2675</v>
      </c>
      <c r="I573" s="1407"/>
      <c r="J573" s="1407"/>
      <c r="K573" s="1407"/>
      <c r="L573" s="1407"/>
      <c r="M573" s="1407"/>
      <c r="N573" s="1407"/>
      <c r="O573" s="1407"/>
      <c r="P573" s="1407"/>
      <c r="Q573" s="1407"/>
      <c r="R573" s="1407"/>
      <c r="S573" s="8"/>
      <c r="T573" s="22"/>
      <c r="U573" t="s">
        <v>18</v>
      </c>
      <c r="AA573" s="1407" t="s">
        <v>2676</v>
      </c>
      <c r="AB573" s="1407"/>
      <c r="AC573" s="1407"/>
      <c r="AD573" s="1407"/>
      <c r="AE573" s="1407"/>
      <c r="AF573" s="1407"/>
      <c r="AG573" s="1407"/>
      <c r="AH573" s="1407"/>
      <c r="AI573" s="1407"/>
      <c r="AJ573" s="1407"/>
      <c r="AK573" s="1407"/>
      <c r="BB573" s="3"/>
      <c r="BC573" s="3"/>
      <c r="BD573" s="3"/>
      <c r="BE573" s="3"/>
      <c r="BF573" s="3"/>
      <c r="BG573" s="3"/>
      <c r="BH573" s="3"/>
      <c r="BI573" s="3"/>
    </row>
    <row r="574" spans="1:61" ht="13.25" customHeight="1">
      <c r="A574" s="22"/>
      <c r="B574" s="320" t="s">
        <v>1185</v>
      </c>
      <c r="H574" s="8"/>
      <c r="I574" s="8"/>
      <c r="J574" s="8"/>
      <c r="K574" s="8"/>
      <c r="L574" s="8"/>
      <c r="M574" s="1606"/>
      <c r="N574" s="1606"/>
      <c r="O574" s="1606"/>
      <c r="P574" s="1606"/>
      <c r="Q574" s="1606"/>
      <c r="R574" s="1606"/>
      <c r="S574" s="8"/>
      <c r="T574" s="22"/>
      <c r="U574" s="320" t="s">
        <v>1185</v>
      </c>
      <c r="AA574" s="8"/>
      <c r="AB574" s="8"/>
      <c r="AC574" s="8"/>
      <c r="AD574" s="8"/>
      <c r="AE574" s="8"/>
      <c r="AF574" s="1606"/>
      <c r="AG574" s="1606"/>
      <c r="AH574" s="1606"/>
      <c r="AI574" s="1606"/>
      <c r="AJ574" s="1606"/>
      <c r="AK574" s="1606"/>
      <c r="BB574" s="3"/>
      <c r="BC574" s="3"/>
      <c r="BD574" s="3"/>
      <c r="BE574" s="3"/>
      <c r="BF574" s="3"/>
      <c r="BG574" s="3"/>
      <c r="BH574" s="3"/>
      <c r="BI574" s="3"/>
    </row>
    <row r="575" spans="1:61" ht="13.25" customHeight="1">
      <c r="A575" s="22"/>
      <c r="B575" t="s">
        <v>20</v>
      </c>
      <c r="N575" s="1415" t="s">
        <v>545</v>
      </c>
      <c r="O575" s="1415"/>
      <c r="T575" s="22"/>
      <c r="U575" t="s">
        <v>20</v>
      </c>
      <c r="AG575" s="1415" t="s">
        <v>545</v>
      </c>
      <c r="AH575" s="1415"/>
      <c r="BB575" s="3"/>
      <c r="BC575" s="3"/>
      <c r="BD575" s="3"/>
      <c r="BE575" s="3"/>
      <c r="BF575" s="3"/>
      <c r="BG575" s="3"/>
      <c r="BH575" s="3"/>
      <c r="BI575" s="3"/>
    </row>
    <row r="576" spans="1:61" ht="13.25" customHeight="1">
      <c r="A576" s="22"/>
      <c r="T576" s="22"/>
      <c r="BB576" s="3"/>
      <c r="BC576" s="3"/>
      <c r="BD576" s="3"/>
      <c r="BE576" s="3"/>
      <c r="BF576" s="3"/>
      <c r="BG576" s="3"/>
      <c r="BH576" s="3"/>
      <c r="BI576" s="3"/>
    </row>
    <row r="577" spans="1:55" ht="13.25" customHeight="1">
      <c r="A577" s="55" t="s">
        <v>119</v>
      </c>
      <c r="B577" t="s">
        <v>463</v>
      </c>
      <c r="G577" s="1485" t="str">
        <f>C556</f>
        <v>GP Capital Contribution</v>
      </c>
      <c r="H577" s="1485"/>
      <c r="I577" s="1485"/>
      <c r="J577" s="1485"/>
      <c r="K577" s="1485"/>
      <c r="L577" s="1485"/>
      <c r="M577" s="1485"/>
      <c r="N577" s="1485"/>
      <c r="O577" s="1485"/>
      <c r="P577" s="1485"/>
      <c r="Q577" s="1485"/>
      <c r="R577" s="1485"/>
      <c r="T577" s="55" t="s">
        <v>581</v>
      </c>
      <c r="U577" t="s">
        <v>463</v>
      </c>
      <c r="Z577" s="1485" t="str">
        <f>C557</f>
        <v>National Equity Fund</v>
      </c>
      <c r="AA577" s="1485"/>
      <c r="AB577" s="1485"/>
      <c r="AC577" s="1485"/>
      <c r="AD577" s="1485"/>
      <c r="AE577" s="1485"/>
      <c r="AF577" s="1485"/>
      <c r="AG577" s="1485"/>
      <c r="AH577" s="1485"/>
      <c r="AI577" s="1485"/>
      <c r="AJ577" s="1485"/>
      <c r="AK577" s="1485"/>
      <c r="BB577" s="3"/>
      <c r="BC577" s="3"/>
    </row>
    <row r="578" spans="1:55" ht="13.25" customHeight="1">
      <c r="A578" s="22"/>
      <c r="B578" t="s">
        <v>85</v>
      </c>
      <c r="G578" s="1407" t="s">
        <v>2620</v>
      </c>
      <c r="H578" s="1407"/>
      <c r="I578" s="1407"/>
      <c r="J578" s="1407"/>
      <c r="K578" s="1407"/>
      <c r="L578" s="1407"/>
      <c r="M578" s="1407"/>
      <c r="N578" s="1407"/>
      <c r="O578" s="1407"/>
      <c r="P578" s="1407"/>
      <c r="Q578" s="1407"/>
      <c r="R578" s="1407"/>
      <c r="T578" s="22"/>
      <c r="U578" t="s">
        <v>85</v>
      </c>
      <c r="Z578" s="1407" t="s">
        <v>2681</v>
      </c>
      <c r="AA578" s="1407"/>
      <c r="AB578" s="1407"/>
      <c r="AC578" s="1407"/>
      <c r="AD578" s="1407"/>
      <c r="AE578" s="1407"/>
      <c r="AF578" s="1407"/>
      <c r="AG578" s="1407"/>
      <c r="AH578" s="1407"/>
      <c r="AI578" s="1407"/>
      <c r="AJ578" s="1407"/>
      <c r="AK578" s="1407"/>
      <c r="BB578" s="3"/>
      <c r="BC578" s="3"/>
    </row>
    <row r="579" spans="1:55" ht="13.25" customHeight="1">
      <c r="A579" s="22"/>
      <c r="B579" t="s">
        <v>580</v>
      </c>
      <c r="G579" s="1371" t="s">
        <v>2680</v>
      </c>
      <c r="H579" s="1371"/>
      <c r="I579" s="1371"/>
      <c r="J579" s="1371"/>
      <c r="K579" s="1371"/>
      <c r="L579" s="1371"/>
      <c r="M579" s="1371"/>
      <c r="N579" s="1371"/>
      <c r="O579" s="1371"/>
      <c r="P579" s="1371"/>
      <c r="Q579" s="1371"/>
      <c r="R579" s="1371"/>
      <c r="T579" s="22"/>
      <c r="U579" t="s">
        <v>580</v>
      </c>
      <c r="Z579" s="1371" t="s">
        <v>2637</v>
      </c>
      <c r="AA579" s="1371"/>
      <c r="AB579" s="1371"/>
      <c r="AC579" s="1371"/>
      <c r="AD579" s="1371"/>
      <c r="AE579" s="1371"/>
      <c r="AF579" s="1371"/>
      <c r="AG579" s="1371"/>
      <c r="AH579" s="1371"/>
      <c r="AI579" s="1371"/>
      <c r="AJ579" s="1371"/>
      <c r="AK579" s="1371"/>
      <c r="BB579" s="3"/>
      <c r="BC579" s="3"/>
    </row>
    <row r="580" spans="1:55" ht="13.25" customHeight="1">
      <c r="A580" s="22"/>
      <c r="B580" t="s">
        <v>17</v>
      </c>
      <c r="G580" s="1371" t="s">
        <v>2623</v>
      </c>
      <c r="H580" s="1371"/>
      <c r="I580" s="1371"/>
      <c r="J580" s="1371"/>
      <c r="K580" s="1371"/>
      <c r="L580" s="1371"/>
      <c r="M580" s="1371"/>
      <c r="N580" s="1371"/>
      <c r="O580" s="1371"/>
      <c r="P580" s="1371"/>
      <c r="Q580" s="1371"/>
      <c r="R580" s="1371"/>
      <c r="T580" s="22"/>
      <c r="U580" t="s">
        <v>17</v>
      </c>
      <c r="Z580" s="1371" t="s">
        <v>2638</v>
      </c>
      <c r="AA580" s="1371"/>
      <c r="AB580" s="1371"/>
      <c r="AC580" s="1371"/>
      <c r="AD580" s="1371"/>
      <c r="AE580" s="1371"/>
      <c r="AF580" s="1371"/>
      <c r="AG580" s="1371"/>
      <c r="AH580" s="1371"/>
      <c r="AI580" s="1371"/>
      <c r="AJ580" s="1371"/>
      <c r="AK580" s="1371"/>
      <c r="BB580" s="3"/>
      <c r="BC580" s="3"/>
    </row>
    <row r="581" spans="1:55" ht="13.25" customHeight="1">
      <c r="A581" s="22"/>
      <c r="B581" t="s">
        <v>316</v>
      </c>
      <c r="G581" s="1489">
        <v>4242228253</v>
      </c>
      <c r="H581" s="1489"/>
      <c r="I581" s="1489"/>
      <c r="J581" s="1489"/>
      <c r="K581" s="1489"/>
      <c r="L581" s="1489"/>
      <c r="O581" s="33" t="s">
        <v>206</v>
      </c>
      <c r="P581" s="1473"/>
      <c r="Q581" s="1473"/>
      <c r="R581" s="1473"/>
      <c r="T581" s="22"/>
      <c r="U581" t="s">
        <v>316</v>
      </c>
      <c r="Z581" s="1489">
        <v>9727415150</v>
      </c>
      <c r="AA581" s="1489"/>
      <c r="AB581" s="1489"/>
      <c r="AC581" s="1489"/>
      <c r="AD581" s="1489"/>
      <c r="AE581" s="1489"/>
      <c r="AH581" s="33" t="s">
        <v>206</v>
      </c>
      <c r="AI581" s="1473"/>
      <c r="AJ581" s="1473"/>
      <c r="AK581" s="1473"/>
      <c r="BB581" s="3"/>
      <c r="BC581" s="3"/>
    </row>
    <row r="582" spans="1:55" ht="13.25" customHeight="1">
      <c r="A582" s="22"/>
      <c r="B582" t="s">
        <v>18</v>
      </c>
      <c r="H582" s="1407" t="s">
        <v>2672</v>
      </c>
      <c r="I582" s="1407"/>
      <c r="J582" s="1407"/>
      <c r="K582" s="1407"/>
      <c r="L582" s="1407"/>
      <c r="M582" s="1407"/>
      <c r="N582" s="1407"/>
      <c r="O582" s="1407"/>
      <c r="P582" s="1407"/>
      <c r="Q582" s="1407"/>
      <c r="R582" s="1407"/>
      <c r="T582" s="22"/>
      <c r="U582" t="s">
        <v>18</v>
      </c>
      <c r="AA582" s="1407" t="s">
        <v>2682</v>
      </c>
      <c r="AB582" s="1407"/>
      <c r="AC582" s="1407"/>
      <c r="AD582" s="1407"/>
      <c r="AE582" s="1407"/>
      <c r="AF582" s="1407"/>
      <c r="AG582" s="1407"/>
      <c r="AH582" s="1407"/>
      <c r="AI582" s="1407"/>
      <c r="AJ582" s="1407"/>
      <c r="AK582" s="1407"/>
      <c r="BB582" s="3"/>
      <c r="BC582" s="3"/>
    </row>
    <row r="583" spans="1:55" ht="13.25" customHeight="1">
      <c r="A583" s="22"/>
      <c r="B583" t="s">
        <v>20</v>
      </c>
      <c r="N583" s="1415" t="s">
        <v>545</v>
      </c>
      <c r="O583" s="1415"/>
      <c r="T583" s="22"/>
      <c r="U583" t="s">
        <v>20</v>
      </c>
      <c r="AG583" s="1415" t="s">
        <v>545</v>
      </c>
      <c r="AH583" s="1415"/>
      <c r="BB583" s="3"/>
      <c r="BC583" s="3"/>
    </row>
    <row r="584" spans="1:55" ht="13.25" customHeight="1">
      <c r="A584" s="22"/>
      <c r="T584" s="22"/>
      <c r="BB584" s="3"/>
      <c r="BC584" s="3"/>
    </row>
    <row r="585" spans="1:55" ht="13.25" customHeight="1">
      <c r="A585" s="55" t="s">
        <v>763</v>
      </c>
      <c r="B585" t="s">
        <v>463</v>
      </c>
      <c r="G585" s="1485" t="str">
        <f>C558</f>
        <v>Deferred Costs</v>
      </c>
      <c r="H585" s="1485"/>
      <c r="I585" s="1485"/>
      <c r="J585" s="1485"/>
      <c r="K585" s="1485"/>
      <c r="L585" s="1485"/>
      <c r="M585" s="1485"/>
      <c r="N585" s="1485"/>
      <c r="O585" s="1485"/>
      <c r="P585" s="1485"/>
      <c r="Q585" s="1485"/>
      <c r="R585" s="1485"/>
      <c r="T585" s="55" t="s">
        <v>584</v>
      </c>
      <c r="U585" t="s">
        <v>463</v>
      </c>
      <c r="Z585" s="1485" t="str">
        <f>C559</f>
        <v>Deferred Developer Fee</v>
      </c>
      <c r="AA585" s="1485"/>
      <c r="AB585" s="1485"/>
      <c r="AC585" s="1485"/>
      <c r="AD585" s="1485"/>
      <c r="AE585" s="1485"/>
      <c r="AF585" s="1485"/>
      <c r="AG585" s="1485"/>
      <c r="AH585" s="1485"/>
      <c r="AI585" s="1485"/>
      <c r="AJ585" s="1485"/>
      <c r="AK585" s="1485"/>
      <c r="BB585" s="3"/>
      <c r="BC585" s="3"/>
    </row>
    <row r="586" spans="1:55" ht="13.25" customHeight="1">
      <c r="A586" s="22"/>
      <c r="B586" t="s">
        <v>85</v>
      </c>
      <c r="G586" s="1407" t="s">
        <v>2620</v>
      </c>
      <c r="H586" s="1407"/>
      <c r="I586" s="1407"/>
      <c r="J586" s="1407"/>
      <c r="K586" s="1407"/>
      <c r="L586" s="1407"/>
      <c r="M586" s="1407"/>
      <c r="N586" s="1407"/>
      <c r="O586" s="1407"/>
      <c r="P586" s="1407"/>
      <c r="Q586" s="1407"/>
      <c r="R586" s="1407"/>
      <c r="T586" s="22"/>
      <c r="U586" t="s">
        <v>85</v>
      </c>
      <c r="Z586" s="1407" t="s">
        <v>2620</v>
      </c>
      <c r="AA586" s="1407"/>
      <c r="AB586" s="1407"/>
      <c r="AC586" s="1407"/>
      <c r="AD586" s="1407"/>
      <c r="AE586" s="1407"/>
      <c r="AF586" s="1407"/>
      <c r="AG586" s="1407"/>
      <c r="AH586" s="1407"/>
      <c r="AI586" s="1407"/>
      <c r="AJ586" s="1407"/>
      <c r="AK586" s="1407"/>
      <c r="BB586" s="3"/>
      <c r="BC586" s="3"/>
    </row>
    <row r="587" spans="1:55" ht="13.25" customHeight="1">
      <c r="A587" s="22"/>
      <c r="B587" t="s">
        <v>580</v>
      </c>
      <c r="G587" s="1407" t="s">
        <v>2627</v>
      </c>
      <c r="H587" s="1407"/>
      <c r="I587" s="1407"/>
      <c r="J587" s="1407"/>
      <c r="K587" s="1407"/>
      <c r="L587" s="1407"/>
      <c r="M587" s="1407"/>
      <c r="N587" s="1407"/>
      <c r="O587" s="1407"/>
      <c r="P587" s="1407"/>
      <c r="Q587" s="1407"/>
      <c r="R587" s="1407"/>
      <c r="T587" s="22"/>
      <c r="U587" t="s">
        <v>580</v>
      </c>
      <c r="Z587" s="1371" t="s">
        <v>2627</v>
      </c>
      <c r="AA587" s="1371"/>
      <c r="AB587" s="1371"/>
      <c r="AC587" s="1371"/>
      <c r="AD587" s="1371"/>
      <c r="AE587" s="1371"/>
      <c r="AF587" s="1371"/>
      <c r="AG587" s="1371"/>
      <c r="AH587" s="1371"/>
      <c r="AI587" s="1371"/>
      <c r="AJ587" s="1371"/>
      <c r="AK587" s="1371"/>
      <c r="BB587" s="3"/>
      <c r="BC587" s="3"/>
    </row>
    <row r="588" spans="1:55" ht="13.25" customHeight="1">
      <c r="A588" s="22"/>
      <c r="B588" t="s">
        <v>17</v>
      </c>
      <c r="G588" s="1407" t="s">
        <v>2623</v>
      </c>
      <c r="H588" s="1407"/>
      <c r="I588" s="1407"/>
      <c r="J588" s="1407"/>
      <c r="K588" s="1407"/>
      <c r="L588" s="1407"/>
      <c r="M588" s="1407"/>
      <c r="N588" s="1407"/>
      <c r="O588" s="1407"/>
      <c r="P588" s="1407"/>
      <c r="Q588" s="1407"/>
      <c r="R588" s="1407"/>
      <c r="T588" s="22"/>
      <c r="U588" t="s">
        <v>17</v>
      </c>
      <c r="Z588" s="1371" t="s">
        <v>2623</v>
      </c>
      <c r="AA588" s="1371"/>
      <c r="AB588" s="1371"/>
      <c r="AC588" s="1371"/>
      <c r="AD588" s="1371"/>
      <c r="AE588" s="1371"/>
      <c r="AF588" s="1371"/>
      <c r="AG588" s="1371"/>
      <c r="AH588" s="1371"/>
      <c r="AI588" s="1371"/>
      <c r="AJ588" s="1371"/>
      <c r="AK588" s="1371"/>
    </row>
    <row r="589" spans="1:55" ht="13.25" customHeight="1">
      <c r="A589" s="22"/>
      <c r="B589" t="s">
        <v>316</v>
      </c>
      <c r="G589" s="1489">
        <v>4242228253</v>
      </c>
      <c r="H589" s="1489"/>
      <c r="I589" s="1489"/>
      <c r="J589" s="1489"/>
      <c r="K589" s="1489"/>
      <c r="L589" s="1489"/>
      <c r="O589" s="33" t="s">
        <v>206</v>
      </c>
      <c r="P589" s="1473"/>
      <c r="Q589" s="1473"/>
      <c r="R589" s="1473"/>
      <c r="T589" s="22"/>
      <c r="U589" t="s">
        <v>316</v>
      </c>
      <c r="Z589" s="1489">
        <v>4242228253</v>
      </c>
      <c r="AA589" s="1489"/>
      <c r="AB589" s="1489"/>
      <c r="AC589" s="1489"/>
      <c r="AD589" s="1489"/>
      <c r="AE589" s="1489"/>
      <c r="AH589" s="33" t="s">
        <v>206</v>
      </c>
      <c r="AI589" s="1473"/>
      <c r="AJ589" s="1473"/>
      <c r="AK589" s="1473"/>
      <c r="AZ589" s="3"/>
      <c r="BA589" s="3"/>
      <c r="BB589" s="3"/>
      <c r="BC589" s="3"/>
    </row>
    <row r="590" spans="1:55" ht="13.25" customHeight="1">
      <c r="A590" s="22"/>
      <c r="B590" t="s">
        <v>18</v>
      </c>
      <c r="H590" s="1407" t="s">
        <v>2683</v>
      </c>
      <c r="I590" s="1407"/>
      <c r="J590" s="1407"/>
      <c r="K590" s="1407"/>
      <c r="L590" s="1407"/>
      <c r="M590" s="1407"/>
      <c r="N590" s="1407"/>
      <c r="O590" s="1407"/>
      <c r="P590" s="1407"/>
      <c r="Q590" s="1407"/>
      <c r="R590" s="1407"/>
      <c r="T590" s="22"/>
      <c r="U590" t="s">
        <v>18</v>
      </c>
      <c r="AA590" s="1525" t="s">
        <v>2320</v>
      </c>
      <c r="AB590" s="1407"/>
      <c r="AC590" s="1407"/>
      <c r="AD590" s="1407"/>
      <c r="AE590" s="1407"/>
      <c r="AF590" s="1407"/>
      <c r="AG590" s="1407"/>
      <c r="AH590" s="1407"/>
      <c r="AI590" s="1407"/>
      <c r="AJ590" s="1407"/>
      <c r="AK590" s="1407"/>
      <c r="AZ590" s="3"/>
      <c r="BA590" s="3"/>
      <c r="BB590" s="3"/>
      <c r="BC590" s="3"/>
    </row>
    <row r="591" spans="1:55" ht="13.25" customHeight="1">
      <c r="A591" s="22"/>
      <c r="B591" t="s">
        <v>20</v>
      </c>
      <c r="N591" s="1415" t="s">
        <v>545</v>
      </c>
      <c r="O591" s="1415"/>
      <c r="T591" s="22"/>
      <c r="U591" t="s">
        <v>20</v>
      </c>
      <c r="AG591" s="1415" t="s">
        <v>669</v>
      </c>
      <c r="AH591" s="1415"/>
      <c r="AZ591" s="3"/>
      <c r="BA591" s="3"/>
      <c r="BB591" s="3"/>
      <c r="BC591" s="3"/>
    </row>
    <row r="592" spans="1:55" ht="13.25" customHeight="1">
      <c r="A592" s="22"/>
      <c r="T592" s="22"/>
      <c r="AZ592" s="3"/>
      <c r="BA592" s="3"/>
      <c r="BB592" s="3"/>
      <c r="BC592" s="3"/>
    </row>
    <row r="593" spans="1:55" ht="13.25" customHeight="1">
      <c r="A593" s="55" t="s">
        <v>455</v>
      </c>
      <c r="B593" t="s">
        <v>463</v>
      </c>
      <c r="G593" s="1485" t="str">
        <f>C560</f>
        <v>GP Note</v>
      </c>
      <c r="H593" s="1485"/>
      <c r="I593" s="1485"/>
      <c r="J593" s="1485"/>
      <c r="K593" s="1485"/>
      <c r="L593" s="1485"/>
      <c r="M593" s="1485"/>
      <c r="N593" s="1485"/>
      <c r="O593" s="1485"/>
      <c r="P593" s="1485"/>
      <c r="Q593" s="1485"/>
      <c r="R593" s="1485"/>
      <c r="T593" s="55" t="s">
        <v>456</v>
      </c>
      <c r="U593" t="s">
        <v>463</v>
      </c>
      <c r="Z593" s="1485" t="str">
        <f>C561</f>
        <v>Citibank, N.A.</v>
      </c>
      <c r="AA593" s="1485"/>
      <c r="AB593" s="1485"/>
      <c r="AC593" s="1485"/>
      <c r="AD593" s="1485"/>
      <c r="AE593" s="1485"/>
      <c r="AF593" s="1485"/>
      <c r="AG593" s="1485"/>
      <c r="AH593" s="1485"/>
      <c r="AI593" s="1485"/>
      <c r="AJ593" s="1485"/>
      <c r="AK593" s="1485"/>
      <c r="AZ593" s="3"/>
      <c r="BA593" s="3"/>
      <c r="BB593" s="3"/>
      <c r="BC593" s="3"/>
    </row>
    <row r="594" spans="1:55" s="4" customFormat="1" ht="13.25" customHeight="1">
      <c r="A594" s="22"/>
      <c r="B594" t="s">
        <v>85</v>
      </c>
      <c r="C594"/>
      <c r="D594"/>
      <c r="E594"/>
      <c r="F594"/>
      <c r="G594" s="1407" t="s">
        <v>2620</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25" customHeight="1">
      <c r="A595" s="22"/>
      <c r="B595" t="s">
        <v>580</v>
      </c>
      <c r="C595"/>
      <c r="D595"/>
      <c r="E595"/>
      <c r="F595"/>
      <c r="G595" s="1407" t="s">
        <v>2627</v>
      </c>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25" customHeight="1">
      <c r="A596" s="22"/>
      <c r="B596" t="s">
        <v>17</v>
      </c>
      <c r="C596"/>
      <c r="D596"/>
      <c r="E596"/>
      <c r="F596"/>
      <c r="G596" s="1407" t="s">
        <v>2623</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25" customHeight="1">
      <c r="A597" s="22"/>
      <c r="B597" t="s">
        <v>316</v>
      </c>
      <c r="C597"/>
      <c r="D597"/>
      <c r="E597"/>
      <c r="F597"/>
      <c r="G597" s="1489">
        <v>4242228253</v>
      </c>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3.25" customHeight="1">
      <c r="A598" s="22"/>
      <c r="B598" t="s">
        <v>18</v>
      </c>
      <c r="C598"/>
      <c r="D598"/>
      <c r="E598"/>
      <c r="F598"/>
      <c r="G598"/>
      <c r="H598" s="1525" t="s">
        <v>2685</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25" customHeight="1">
      <c r="A599" s="22"/>
      <c r="B599" t="s">
        <v>20</v>
      </c>
      <c r="N599" s="1415" t="s">
        <v>669</v>
      </c>
      <c r="O599" s="1415"/>
      <c r="T599" s="22"/>
      <c r="U599" t="s">
        <v>20</v>
      </c>
      <c r="AG599" s="1415" t="s">
        <v>669</v>
      </c>
      <c r="AH599" s="1415"/>
      <c r="BB599" s="3"/>
      <c r="BC599" s="3"/>
    </row>
    <row r="600" spans="1:55" ht="13.25" customHeight="1">
      <c r="A600" s="22"/>
      <c r="T600" s="22"/>
      <c r="BB600" s="3"/>
      <c r="BC600" s="3"/>
    </row>
    <row r="601" spans="1:55" ht="13.25" customHeight="1">
      <c r="A601" s="55" t="s">
        <v>461</v>
      </c>
      <c r="B601" t="s">
        <v>463</v>
      </c>
      <c r="G601" s="1485">
        <f>C562</f>
        <v>0</v>
      </c>
      <c r="H601" s="1485"/>
      <c r="I601" s="1485"/>
      <c r="J601" s="1485"/>
      <c r="K601" s="1485"/>
      <c r="L601" s="1485"/>
      <c r="M601" s="1485"/>
      <c r="N601" s="1485"/>
      <c r="O601" s="1485"/>
      <c r="P601" s="1485"/>
      <c r="Q601" s="1485"/>
      <c r="R601" s="1485"/>
      <c r="T601" s="55" t="s">
        <v>646</v>
      </c>
      <c r="U601" t="s">
        <v>463</v>
      </c>
      <c r="Z601" s="1485">
        <f>C563</f>
        <v>0</v>
      </c>
      <c r="AA601" s="1485"/>
      <c r="AB601" s="1485"/>
      <c r="AC601" s="1485"/>
      <c r="AD601" s="1485"/>
      <c r="AE601" s="1485"/>
      <c r="AF601" s="1485"/>
      <c r="AG601" s="1485"/>
      <c r="AH601" s="1485"/>
      <c r="AI601" s="1485"/>
      <c r="AJ601" s="1485"/>
      <c r="AK601" s="1485"/>
      <c r="BB601" s="3"/>
      <c r="BC601" s="3"/>
    </row>
    <row r="602" spans="1:55" ht="13.2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25"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3.2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2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3.2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25"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3.25" customHeight="1">
      <c r="A608" s="22"/>
      <c r="T608" s="22"/>
      <c r="AZ608" s="3"/>
      <c r="BA608" s="3"/>
      <c r="BB608" s="3"/>
      <c r="BC608" s="3"/>
    </row>
    <row r="609" spans="1:55" ht="13.25" customHeight="1">
      <c r="A609" s="55" t="s">
        <v>362</v>
      </c>
      <c r="B609" t="s">
        <v>463</v>
      </c>
      <c r="G609" s="1485">
        <f>C564</f>
        <v>0</v>
      </c>
      <c r="H609" s="1485"/>
      <c r="I609" s="1485"/>
      <c r="J609" s="1485"/>
      <c r="K609" s="1485"/>
      <c r="L609" s="1485"/>
      <c r="M609" s="1485"/>
      <c r="N609" s="1485"/>
      <c r="O609" s="1485"/>
      <c r="P609" s="1485"/>
      <c r="Q609" s="1485"/>
      <c r="R609" s="1485"/>
      <c r="T609" s="55" t="s">
        <v>363</v>
      </c>
      <c r="U609" t="s">
        <v>463</v>
      </c>
      <c r="Z609" s="1485">
        <f>C565</f>
        <v>0</v>
      </c>
      <c r="AA609" s="1485"/>
      <c r="AB609" s="1485"/>
      <c r="AC609" s="1485"/>
      <c r="AD609" s="1485"/>
      <c r="AE609" s="1485"/>
      <c r="AF609" s="1485"/>
      <c r="AG609" s="1485"/>
      <c r="AH609" s="1485"/>
      <c r="AI609" s="1485"/>
      <c r="AJ609" s="1485"/>
      <c r="AK609" s="1485"/>
      <c r="AZ609" s="3"/>
      <c r="BA609" s="3"/>
      <c r="BB609" s="3"/>
      <c r="BC609" s="3"/>
    </row>
    <row r="610" spans="1:55" ht="13.2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2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3.2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2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3.2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25" customHeight="1">
      <c r="B615" t="s">
        <v>20</v>
      </c>
      <c r="N615" s="1415" t="s">
        <v>669</v>
      </c>
      <c r="O615" s="1415"/>
      <c r="U615" t="s">
        <v>20</v>
      </c>
      <c r="AG615" s="1415" t="s">
        <v>669</v>
      </c>
      <c r="AH615" s="1415"/>
      <c r="AU615" s="899"/>
      <c r="AV615" s="899"/>
      <c r="AW615" s="899"/>
      <c r="AX615" s="899"/>
      <c r="AY615" s="899"/>
      <c r="AZ615" s="3"/>
      <c r="BA615" s="3"/>
      <c r="BB615" s="3"/>
      <c r="BC615" s="3"/>
    </row>
    <row r="616" spans="1:55" ht="13.25" customHeight="1">
      <c r="AZ616" s="3"/>
      <c r="BA616" s="3"/>
      <c r="BB616" s="3"/>
      <c r="BC616" s="3"/>
    </row>
    <row r="617" spans="1:55" ht="13.2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2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25" customHeight="1">
      <c r="AZ619" s="3"/>
      <c r="BA619" s="3"/>
      <c r="BB619" s="3"/>
      <c r="BC619" s="3"/>
    </row>
    <row r="620" spans="1:55" ht="13.25" customHeight="1">
      <c r="A620" s="2" t="s">
        <v>319</v>
      </c>
      <c r="B620" s="2"/>
      <c r="C620" s="2" t="s">
        <v>21</v>
      </c>
      <c r="AZ620" s="3"/>
      <c r="BA620" s="3"/>
      <c r="BB620" s="3"/>
      <c r="BC620" s="3"/>
    </row>
    <row r="621" spans="1:55" ht="13.25" customHeight="1">
      <c r="A621" s="2"/>
      <c r="B621" s="2"/>
      <c r="C621" s="2"/>
      <c r="AZ621" s="3"/>
      <c r="BA621" s="3"/>
      <c r="BB621" s="3"/>
      <c r="BC621" s="3"/>
    </row>
    <row r="622" spans="1:55" ht="13.25" customHeight="1">
      <c r="C622" s="2" t="s">
        <v>2100</v>
      </c>
      <c r="AZ622" s="3"/>
      <c r="BA622" s="3"/>
      <c r="BB622" s="3"/>
      <c r="BC622" s="3"/>
    </row>
    <row r="623" spans="1:55" ht="13.25" customHeight="1">
      <c r="B623" s="512"/>
      <c r="C623" s="2"/>
      <c r="AU623" s="3"/>
      <c r="AZ623" s="3"/>
      <c r="BA623" s="3"/>
      <c r="BB623" s="3"/>
      <c r="BC623" s="3"/>
    </row>
    <row r="624" spans="1:55" ht="13.25" customHeight="1">
      <c r="B624" s="1675" t="s">
        <v>2102</v>
      </c>
      <c r="C624" s="1675"/>
      <c r="D624" s="1675"/>
      <c r="E624" s="1675"/>
      <c r="F624" s="1675"/>
      <c r="G624" s="1675"/>
      <c r="H624" s="1675"/>
      <c r="I624" s="1675"/>
      <c r="J624" s="1675"/>
      <c r="K624" s="1675"/>
      <c r="L624" s="1675"/>
      <c r="M624" s="1680" t="s">
        <v>2103</v>
      </c>
      <c r="N624" s="1680"/>
      <c r="O624" s="1680"/>
      <c r="P624" s="1680"/>
      <c r="Q624" s="1680" t="s">
        <v>1852</v>
      </c>
      <c r="R624" s="1680"/>
      <c r="S624" s="1680"/>
      <c r="T624" s="1680" t="s">
        <v>1850</v>
      </c>
      <c r="U624" s="1680"/>
      <c r="V624" s="1680"/>
      <c r="W624" s="1676" t="s">
        <v>453</v>
      </c>
      <c r="X624" s="1676"/>
      <c r="Y624" s="1676"/>
      <c r="Z624" s="1397" t="s">
        <v>2132</v>
      </c>
      <c r="AA624" s="1397"/>
      <c r="AB624" s="1398"/>
      <c r="AC624" s="1681" t="s">
        <v>1676</v>
      </c>
      <c r="AD624" s="1682"/>
      <c r="AE624" s="1683"/>
      <c r="AF624" s="1396" t="s">
        <v>1930</v>
      </c>
      <c r="AG624" s="1397"/>
      <c r="AH624" s="1397"/>
      <c r="AI624" s="1397"/>
      <c r="AJ624" s="1398"/>
      <c r="AK624" s="1597" t="s">
        <v>1931</v>
      </c>
      <c r="AL624" s="1598"/>
      <c r="AM624" s="1598"/>
      <c r="AN624" s="1599"/>
      <c r="AO624" s="1680" t="s">
        <v>454</v>
      </c>
      <c r="AP624" s="1680"/>
      <c r="AQ624" s="1680"/>
      <c r="AR624" s="1680"/>
      <c r="AS624" s="1680"/>
      <c r="AU624" s="3"/>
      <c r="AZ624" s="3"/>
      <c r="BA624" s="3"/>
      <c r="BB624" s="3"/>
      <c r="BC624" s="3"/>
    </row>
    <row r="625" spans="2:157" ht="13.25" customHeight="1">
      <c r="B625" s="1675"/>
      <c r="C625" s="1675"/>
      <c r="D625" s="1675"/>
      <c r="E625" s="1675"/>
      <c r="F625" s="1675"/>
      <c r="G625" s="1675"/>
      <c r="H625" s="1675"/>
      <c r="I625" s="1675"/>
      <c r="J625" s="1675"/>
      <c r="K625" s="1675"/>
      <c r="L625" s="1675"/>
      <c r="M625" s="1680"/>
      <c r="N625" s="1680"/>
      <c r="O625" s="1680"/>
      <c r="P625" s="1680"/>
      <c r="Q625" s="1680"/>
      <c r="R625" s="1680"/>
      <c r="S625" s="1680"/>
      <c r="T625" s="1680"/>
      <c r="U625" s="1680"/>
      <c r="V625" s="1680"/>
      <c r="W625" s="1676"/>
      <c r="X625" s="1676"/>
      <c r="Y625" s="1676"/>
      <c r="Z625" s="1400"/>
      <c r="AA625" s="1400"/>
      <c r="AB625" s="1401"/>
      <c r="AC625" s="1684"/>
      <c r="AD625" s="1685"/>
      <c r="AE625" s="1686"/>
      <c r="AF625" s="1399"/>
      <c r="AG625" s="1400"/>
      <c r="AH625" s="1400"/>
      <c r="AI625" s="1400"/>
      <c r="AJ625" s="1401"/>
      <c r="AK625" s="1600"/>
      <c r="AL625" s="1601"/>
      <c r="AM625" s="1601"/>
      <c r="AN625" s="1602"/>
      <c r="AO625" s="1680"/>
      <c r="AP625" s="1680"/>
      <c r="AQ625" s="1680"/>
      <c r="AR625" s="1680"/>
      <c r="AS625" s="1680"/>
      <c r="AU625" s="3"/>
      <c r="AZ625" s="3"/>
      <c r="BA625" s="3"/>
      <c r="BB625" s="3"/>
      <c r="BC625" s="3"/>
      <c r="BD625" s="3"/>
    </row>
    <row r="626" spans="2:157" ht="13.25" customHeight="1">
      <c r="B626" s="1675"/>
      <c r="C626" s="1675"/>
      <c r="D626" s="1675"/>
      <c r="E626" s="1675"/>
      <c r="F626" s="1675"/>
      <c r="G626" s="1675"/>
      <c r="H626" s="1675"/>
      <c r="I626" s="1675"/>
      <c r="J626" s="1675"/>
      <c r="K626" s="1675"/>
      <c r="L626" s="1675"/>
      <c r="M626" s="1680"/>
      <c r="N626" s="1680"/>
      <c r="O626" s="1680"/>
      <c r="P626" s="1680"/>
      <c r="Q626" s="1680"/>
      <c r="R626" s="1680"/>
      <c r="S626" s="1680"/>
      <c r="T626" s="1680"/>
      <c r="U626" s="1680"/>
      <c r="V626" s="1680"/>
      <c r="W626" s="1676"/>
      <c r="X626" s="1676"/>
      <c r="Y626" s="1676"/>
      <c r="Z626" s="1403"/>
      <c r="AA626" s="1403"/>
      <c r="AB626" s="1404"/>
      <c r="AC626" s="1687"/>
      <c r="AD626" s="1688"/>
      <c r="AE626" s="1689"/>
      <c r="AF626" s="1402"/>
      <c r="AG626" s="1403"/>
      <c r="AH626" s="1403"/>
      <c r="AI626" s="1403"/>
      <c r="AJ626" s="1404"/>
      <c r="AK626" s="1603"/>
      <c r="AL626" s="1604"/>
      <c r="AM626" s="1604"/>
      <c r="AN626" s="1605"/>
      <c r="AO626" s="1680"/>
      <c r="AP626" s="1680"/>
      <c r="AQ626" s="1680"/>
      <c r="AR626" s="1680"/>
      <c r="AS626" s="1680"/>
      <c r="AT626" s="3"/>
      <c r="AU626" s="3"/>
      <c r="AZ626" s="3"/>
      <c r="BA626" s="3"/>
      <c r="BB626" s="3"/>
      <c r="BC626" s="3"/>
      <c r="BD626" s="3"/>
    </row>
    <row r="627" spans="2:157" ht="13.25" customHeight="1">
      <c r="B627" s="51" t="s">
        <v>112</v>
      </c>
      <c r="C627" s="1481" t="s">
        <v>2670</v>
      </c>
      <c r="D627" s="1481"/>
      <c r="E627" s="1481"/>
      <c r="F627" s="1481"/>
      <c r="G627" s="1481"/>
      <c r="H627" s="1481"/>
      <c r="I627" s="1481"/>
      <c r="J627" s="1481"/>
      <c r="K627" s="1481"/>
      <c r="L627" s="1481"/>
      <c r="M627" s="1495" t="s">
        <v>2119</v>
      </c>
      <c r="N627" s="1495"/>
      <c r="O627" s="1495"/>
      <c r="P627" s="1495"/>
      <c r="Q627" s="1511">
        <v>204</v>
      </c>
      <c r="R627" s="1511"/>
      <c r="S627" s="1512"/>
      <c r="T627" s="1510">
        <v>480</v>
      </c>
      <c r="U627" s="1511"/>
      <c r="V627" s="1512"/>
      <c r="W627" s="1482">
        <v>5.5000000000000007E-2</v>
      </c>
      <c r="X627" s="1483"/>
      <c r="Y627" s="1484"/>
      <c r="Z627" s="1478" t="s">
        <v>2131</v>
      </c>
      <c r="AA627" s="1479"/>
      <c r="AB627" s="1480"/>
      <c r="AC627" s="1381">
        <v>1</v>
      </c>
      <c r="AD627" s="1382"/>
      <c r="AE627" s="1383"/>
      <c r="AF627" s="1492">
        <v>2587103.7311200579</v>
      </c>
      <c r="AG627" s="1493"/>
      <c r="AH627" s="1493"/>
      <c r="AI627" s="1493"/>
      <c r="AJ627" s="1494"/>
      <c r="AK627" s="1486">
        <v>0</v>
      </c>
      <c r="AL627" s="1487"/>
      <c r="AM627" s="1487"/>
      <c r="AN627" s="1488"/>
      <c r="AO627" s="1645">
        <v>41800000</v>
      </c>
      <c r="AP627" s="1645"/>
      <c r="AQ627" s="1645"/>
      <c r="AR627" s="1645"/>
      <c r="AS627" s="1645"/>
      <c r="AT627" s="3"/>
      <c r="AU627" s="3"/>
      <c r="AZ627" s="3"/>
      <c r="BA627" s="3"/>
      <c r="BB627" s="3"/>
      <c r="BC627" s="3"/>
      <c r="BD627" s="3"/>
    </row>
    <row r="628" spans="2:157" ht="13.25" customHeight="1">
      <c r="B628" s="52" t="s">
        <v>113</v>
      </c>
      <c r="C628" s="1481" t="s">
        <v>2670</v>
      </c>
      <c r="D628" s="1481"/>
      <c r="E628" s="1481"/>
      <c r="F628" s="1481"/>
      <c r="G628" s="1481"/>
      <c r="H628" s="1481"/>
      <c r="I628" s="1481"/>
      <c r="J628" s="1481"/>
      <c r="K628" s="1481"/>
      <c r="L628" s="1481"/>
      <c r="M628" s="1495" t="s">
        <v>2118</v>
      </c>
      <c r="N628" s="1495"/>
      <c r="O628" s="1495"/>
      <c r="P628" s="1495"/>
      <c r="Q628" s="1510">
        <v>204</v>
      </c>
      <c r="R628" s="1511"/>
      <c r="S628" s="1512"/>
      <c r="T628" s="1510">
        <v>480</v>
      </c>
      <c r="U628" s="1511"/>
      <c r="V628" s="1512"/>
      <c r="W628" s="1482">
        <v>5.800000000000001E-2</v>
      </c>
      <c r="X628" s="1483"/>
      <c r="Y628" s="1484"/>
      <c r="Z628" s="1478" t="s">
        <v>2131</v>
      </c>
      <c r="AA628" s="1479"/>
      <c r="AB628" s="1480"/>
      <c r="AC628" s="1381"/>
      <c r="AD628" s="1382"/>
      <c r="AE628" s="1383"/>
      <c r="AF628" s="1492">
        <v>785196.52994999837</v>
      </c>
      <c r="AG628" s="1493"/>
      <c r="AH628" s="1493"/>
      <c r="AI628" s="1493"/>
      <c r="AJ628" s="1494"/>
      <c r="AK628" s="1486">
        <v>0</v>
      </c>
      <c r="AL628" s="1487"/>
      <c r="AM628" s="1487"/>
      <c r="AN628" s="1488"/>
      <c r="AO628" s="1477">
        <v>12200000</v>
      </c>
      <c r="AP628" s="1338"/>
      <c r="AQ628" s="1338"/>
      <c r="AR628" s="1338"/>
      <c r="AS628" s="1339"/>
      <c r="AT628" s="1148" t="str">
        <f>IF(AND(NOT(C627=""),C628="",NOT(C629="")),"!","")</f>
        <v/>
      </c>
      <c r="AU628" s="3"/>
      <c r="AZ628" s="3"/>
      <c r="BA628" s="3"/>
      <c r="BB628" s="3"/>
      <c r="BC628" s="3"/>
      <c r="BD628" s="3"/>
    </row>
    <row r="629" spans="2:157" ht="13.25" customHeight="1">
      <c r="B629" s="52" t="s">
        <v>119</v>
      </c>
      <c r="C629" s="1481" t="s">
        <v>2672</v>
      </c>
      <c r="D629" s="1481"/>
      <c r="E629" s="1481"/>
      <c r="F629" s="1481"/>
      <c r="G629" s="1481"/>
      <c r="H629" s="1481"/>
      <c r="I629" s="1481"/>
      <c r="J629" s="1481"/>
      <c r="K629" s="1481"/>
      <c r="L629" s="1481"/>
      <c r="M629" s="1495" t="s">
        <v>2109</v>
      </c>
      <c r="N629" s="1495"/>
      <c r="O629" s="1495"/>
      <c r="P629" s="1495"/>
      <c r="Q629" s="1510"/>
      <c r="R629" s="1511"/>
      <c r="S629" s="1512"/>
      <c r="T629" s="1510"/>
      <c r="U629" s="1511"/>
      <c r="V629" s="1512"/>
      <c r="W629" s="1482"/>
      <c r="X629" s="1483"/>
      <c r="Y629" s="1484"/>
      <c r="Z629" s="1478" t="s">
        <v>2131</v>
      </c>
      <c r="AA629" s="1479"/>
      <c r="AB629" s="1480"/>
      <c r="AC629" s="1381"/>
      <c r="AD629" s="1382"/>
      <c r="AE629" s="1383"/>
      <c r="AF629" s="1492"/>
      <c r="AG629" s="1493"/>
      <c r="AH629" s="1493"/>
      <c r="AI629" s="1493"/>
      <c r="AJ629" s="1494"/>
      <c r="AK629" s="1486"/>
      <c r="AL629" s="1487"/>
      <c r="AM629" s="1487"/>
      <c r="AN629" s="1488"/>
      <c r="AO629" s="1477">
        <v>100</v>
      </c>
      <c r="AP629" s="1338"/>
      <c r="AQ629" s="1338"/>
      <c r="AR629" s="1338"/>
      <c r="AS629" s="1339"/>
      <c r="AT629" s="1148" t="str">
        <f t="shared" ref="AT629:AT638" si="1">IF(AND(NOT(C628=""),C629="",NOT(C630="")),"!","")</f>
        <v/>
      </c>
      <c r="AU629" s="3"/>
      <c r="AZ629" s="3"/>
      <c r="BA629" s="3"/>
      <c r="BB629" s="3"/>
      <c r="BC629" s="3"/>
      <c r="BD629" s="3"/>
    </row>
    <row r="630" spans="2:157" ht="13.25" customHeight="1">
      <c r="B630" s="52" t="s">
        <v>581</v>
      </c>
      <c r="C630" s="1481" t="s">
        <v>2320</v>
      </c>
      <c r="D630" s="1491"/>
      <c r="E630" s="1491"/>
      <c r="F630" s="1491"/>
      <c r="G630" s="1491"/>
      <c r="H630" s="1491"/>
      <c r="I630" s="1491"/>
      <c r="J630" s="1491"/>
      <c r="K630" s="1491"/>
      <c r="L630" s="1491"/>
      <c r="M630" s="1495" t="s">
        <v>2106</v>
      </c>
      <c r="N630" s="1495"/>
      <c r="O630" s="1495"/>
      <c r="P630" s="1495"/>
      <c r="Q630" s="1510"/>
      <c r="R630" s="1511"/>
      <c r="S630" s="1512"/>
      <c r="T630" s="1510"/>
      <c r="U630" s="1511"/>
      <c r="V630" s="1512"/>
      <c r="W630" s="1482"/>
      <c r="X630" s="1483"/>
      <c r="Y630" s="1484"/>
      <c r="Z630" s="1478" t="s">
        <v>458</v>
      </c>
      <c r="AA630" s="1479"/>
      <c r="AB630" s="1480"/>
      <c r="AC630" s="1381"/>
      <c r="AD630" s="1382"/>
      <c r="AE630" s="1383"/>
      <c r="AF630" s="1492"/>
      <c r="AG630" s="1493"/>
      <c r="AH630" s="1493"/>
      <c r="AI630" s="1493"/>
      <c r="AJ630" s="1494"/>
      <c r="AK630" s="1486"/>
      <c r="AL630" s="1487"/>
      <c r="AM630" s="1487"/>
      <c r="AN630" s="1488"/>
      <c r="AO630" s="1477">
        <v>8483325</v>
      </c>
      <c r="AP630" s="1338"/>
      <c r="AQ630" s="1338"/>
      <c r="AR630" s="1338"/>
      <c r="AS630" s="1339"/>
      <c r="AT630" s="1148" t="str">
        <f t="shared" si="1"/>
        <v/>
      </c>
      <c r="AU630" s="3"/>
      <c r="AZ630" s="3"/>
      <c r="BA630" s="3"/>
      <c r="BB630" s="3"/>
      <c r="BC630" s="3"/>
      <c r="BD630" s="3"/>
    </row>
    <row r="631" spans="2:157" ht="13.25" customHeight="1">
      <c r="B631" s="52" t="s">
        <v>763</v>
      </c>
      <c r="C631" s="1481" t="s">
        <v>2684</v>
      </c>
      <c r="D631" s="1491"/>
      <c r="E631" s="1491"/>
      <c r="F631" s="1491"/>
      <c r="G631" s="1491"/>
      <c r="H631" s="1491"/>
      <c r="I631" s="1491"/>
      <c r="J631" s="1491"/>
      <c r="K631" s="1491"/>
      <c r="L631" s="1491"/>
      <c r="M631" s="1495" t="s">
        <v>2122</v>
      </c>
      <c r="N631" s="1495"/>
      <c r="O631" s="1495"/>
      <c r="P631" s="1495"/>
      <c r="Q631" s="1510"/>
      <c r="R631" s="1511"/>
      <c r="S631" s="1512"/>
      <c r="T631" s="1510"/>
      <c r="U631" s="1511"/>
      <c r="V631" s="1512"/>
      <c r="W631" s="1482"/>
      <c r="X631" s="1483"/>
      <c r="Y631" s="1484"/>
      <c r="Z631" s="1478" t="s">
        <v>458</v>
      </c>
      <c r="AA631" s="1479"/>
      <c r="AB631" s="1480"/>
      <c r="AC631" s="1381"/>
      <c r="AD631" s="1382"/>
      <c r="AE631" s="1383"/>
      <c r="AF631" s="1492"/>
      <c r="AG631" s="1493"/>
      <c r="AH631" s="1493"/>
      <c r="AI631" s="1493"/>
      <c r="AJ631" s="1494"/>
      <c r="AK631" s="1486"/>
      <c r="AL631" s="1487"/>
      <c r="AM631" s="1487"/>
      <c r="AN631" s="1488"/>
      <c r="AO631" s="1477">
        <v>1881194</v>
      </c>
      <c r="AP631" s="1338"/>
      <c r="AQ631" s="1338"/>
      <c r="AR631" s="1338"/>
      <c r="AS631" s="1339"/>
      <c r="AT631" s="1148" t="str">
        <f t="shared" si="1"/>
        <v/>
      </c>
      <c r="AU631" s="3"/>
      <c r="AZ631" s="3"/>
      <c r="BA631" s="3"/>
      <c r="BB631" s="3"/>
      <c r="BC631" s="3"/>
      <c r="BD631" s="3"/>
    </row>
    <row r="632" spans="2:157" ht="13.25" customHeight="1">
      <c r="B632" s="52" t="s">
        <v>584</v>
      </c>
      <c r="C632" s="1481" t="s">
        <v>2685</v>
      </c>
      <c r="D632" s="1491"/>
      <c r="E632" s="1491"/>
      <c r="F632" s="1491"/>
      <c r="G632" s="1491"/>
      <c r="H632" s="1491"/>
      <c r="I632" s="1491"/>
      <c r="J632" s="1491"/>
      <c r="K632" s="1491"/>
      <c r="L632" s="1491"/>
      <c r="M632" s="1495" t="s">
        <v>2117</v>
      </c>
      <c r="N632" s="1495"/>
      <c r="O632" s="1495"/>
      <c r="P632" s="1495"/>
      <c r="Q632" s="1510">
        <f>204+36</f>
        <v>240</v>
      </c>
      <c r="R632" s="1511"/>
      <c r="S632" s="1512"/>
      <c r="T632" s="1510"/>
      <c r="U632" s="1511"/>
      <c r="V632" s="1512"/>
      <c r="W632" s="1482">
        <v>0.05</v>
      </c>
      <c r="X632" s="1483"/>
      <c r="Y632" s="1484"/>
      <c r="Z632" s="1478" t="s">
        <v>458</v>
      </c>
      <c r="AA632" s="1479"/>
      <c r="AB632" s="1480"/>
      <c r="AC632" s="1381"/>
      <c r="AD632" s="1382"/>
      <c r="AE632" s="1383"/>
      <c r="AF632" s="1492"/>
      <c r="AG632" s="1493"/>
      <c r="AH632" s="1493"/>
      <c r="AI632" s="1493"/>
      <c r="AJ632" s="1494"/>
      <c r="AK632" s="1486"/>
      <c r="AL632" s="1487"/>
      <c r="AM632" s="1487"/>
      <c r="AN632" s="1488"/>
      <c r="AO632" s="1477">
        <v>14600000</v>
      </c>
      <c r="AP632" s="1338"/>
      <c r="AQ632" s="1338"/>
      <c r="AR632" s="1338"/>
      <c r="AS632" s="1339"/>
      <c r="AT632" s="1148" t="str">
        <f t="shared" si="1"/>
        <v/>
      </c>
      <c r="AU632" s="3"/>
      <c r="AZ632" s="3"/>
      <c r="BA632" s="3"/>
      <c r="BB632" s="3"/>
      <c r="BC632" s="3"/>
      <c r="BD632" s="3"/>
    </row>
    <row r="633" spans="2:157" ht="13.25" customHeight="1">
      <c r="B633" s="52" t="s">
        <v>455</v>
      </c>
      <c r="C633" s="1491"/>
      <c r="D633" s="1491"/>
      <c r="E633" s="1491"/>
      <c r="F633" s="1491"/>
      <c r="G633" s="1491"/>
      <c r="H633" s="1491"/>
      <c r="I633" s="1491"/>
      <c r="J633" s="1491"/>
      <c r="K633" s="1491"/>
      <c r="L633" s="1491"/>
      <c r="M633" s="1495" t="s">
        <v>1184</v>
      </c>
      <c r="N633" s="1495"/>
      <c r="O633" s="1495"/>
      <c r="P633" s="1495"/>
      <c r="Q633" s="1510"/>
      <c r="R633" s="1511"/>
      <c r="S633" s="1512"/>
      <c r="T633" s="1510"/>
      <c r="U633" s="1511"/>
      <c r="V633" s="1512"/>
      <c r="W633" s="1482"/>
      <c r="X633" s="1483"/>
      <c r="Y633" s="1484"/>
      <c r="Z633" s="1478" t="s">
        <v>1184</v>
      </c>
      <c r="AA633" s="1479"/>
      <c r="AB633" s="1480"/>
      <c r="AC633" s="1381"/>
      <c r="AD633" s="1382"/>
      <c r="AE633" s="1383"/>
      <c r="AF633" s="1492"/>
      <c r="AG633" s="1493"/>
      <c r="AH633" s="1493"/>
      <c r="AI633" s="1493"/>
      <c r="AJ633" s="1494"/>
      <c r="AK633" s="1486"/>
      <c r="AL633" s="1487"/>
      <c r="AM633" s="1487"/>
      <c r="AN633" s="1488"/>
      <c r="AO633" s="1477"/>
      <c r="AP633" s="1338"/>
      <c r="AQ633" s="1338"/>
      <c r="AR633" s="1338"/>
      <c r="AS633" s="1339"/>
      <c r="AT633" s="1148" t="str">
        <f t="shared" si="1"/>
        <v/>
      </c>
      <c r="AU633" s="3"/>
      <c r="AV633" s="3"/>
      <c r="AW633" s="3"/>
      <c r="AX633" s="3"/>
      <c r="AY633" s="3"/>
      <c r="AZ633" s="3"/>
      <c r="BA633" s="3"/>
      <c r="BB633" s="3"/>
      <c r="BC633" s="3"/>
      <c r="BD633" s="3"/>
    </row>
    <row r="634" spans="2:157" ht="13.25" customHeight="1">
      <c r="B634" s="52" t="s">
        <v>456</v>
      </c>
      <c r="C634" s="1491"/>
      <c r="D634" s="1491"/>
      <c r="E634" s="1491"/>
      <c r="F634" s="1491"/>
      <c r="G634" s="1491"/>
      <c r="H634" s="1491"/>
      <c r="I634" s="1491"/>
      <c r="J634" s="1491"/>
      <c r="K634" s="1491"/>
      <c r="L634" s="1491"/>
      <c r="M634" s="1495" t="s">
        <v>1184</v>
      </c>
      <c r="N634" s="1495"/>
      <c r="O634" s="1495"/>
      <c r="P634" s="1495"/>
      <c r="Q634" s="1510"/>
      <c r="R634" s="1511"/>
      <c r="S634" s="1512"/>
      <c r="T634" s="1510"/>
      <c r="U634" s="1511"/>
      <c r="V634" s="1512"/>
      <c r="W634" s="1482"/>
      <c r="X634" s="1483"/>
      <c r="Y634" s="1484"/>
      <c r="Z634" s="1478" t="s">
        <v>1184</v>
      </c>
      <c r="AA634" s="1479"/>
      <c r="AB634" s="1480"/>
      <c r="AC634" s="1381"/>
      <c r="AD634" s="1382"/>
      <c r="AE634" s="1383"/>
      <c r="AF634" s="1492"/>
      <c r="AG634" s="1493"/>
      <c r="AH634" s="1493"/>
      <c r="AI634" s="1493"/>
      <c r="AJ634" s="1494"/>
      <c r="AK634" s="1486"/>
      <c r="AL634" s="1487"/>
      <c r="AM634" s="1487"/>
      <c r="AN634" s="1488"/>
      <c r="AO634" s="1477"/>
      <c r="AP634" s="1338"/>
      <c r="AQ634" s="1338"/>
      <c r="AR634" s="1338"/>
      <c r="AS634" s="1339"/>
      <c r="AT634" s="1148" t="str">
        <f t="shared" si="1"/>
        <v/>
      </c>
      <c r="AU634" s="3"/>
      <c r="AV634" s="3"/>
      <c r="AW634" s="3"/>
      <c r="AX634" s="3"/>
      <c r="AY634" s="3"/>
      <c r="AZ634" s="3"/>
      <c r="BA634" s="3" t="s">
        <v>1184</v>
      </c>
      <c r="BB634" s="3"/>
      <c r="BC634" s="3"/>
      <c r="BD634" s="3"/>
    </row>
    <row r="635" spans="2:157" ht="13.25" customHeight="1">
      <c r="B635" s="52" t="s">
        <v>461</v>
      </c>
      <c r="C635" s="1491"/>
      <c r="D635" s="1491"/>
      <c r="E635" s="1491"/>
      <c r="F635" s="1491"/>
      <c r="G635" s="1491"/>
      <c r="H635" s="1491"/>
      <c r="I635" s="1491"/>
      <c r="J635" s="1491"/>
      <c r="K635" s="1491"/>
      <c r="L635" s="1491"/>
      <c r="M635" s="1495" t="s">
        <v>1184</v>
      </c>
      <c r="N635" s="1495"/>
      <c r="O635" s="1495"/>
      <c r="P635" s="1495"/>
      <c r="Q635" s="1510"/>
      <c r="R635" s="1511"/>
      <c r="S635" s="1512"/>
      <c r="T635" s="1510"/>
      <c r="U635" s="1511"/>
      <c r="V635" s="1512"/>
      <c r="W635" s="1482"/>
      <c r="X635" s="1483"/>
      <c r="Y635" s="1484"/>
      <c r="Z635" s="1478" t="s">
        <v>1184</v>
      </c>
      <c r="AA635" s="1479"/>
      <c r="AB635" s="1480"/>
      <c r="AC635" s="1381"/>
      <c r="AD635" s="1382"/>
      <c r="AE635" s="1383"/>
      <c r="AF635" s="1492"/>
      <c r="AG635" s="1493"/>
      <c r="AH635" s="1493"/>
      <c r="AI635" s="1493"/>
      <c r="AJ635" s="1494"/>
      <c r="AK635" s="1486"/>
      <c r="AL635" s="1487"/>
      <c r="AM635" s="1487"/>
      <c r="AN635" s="1488"/>
      <c r="AO635" s="1477"/>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108.48837209302326</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25" customHeight="1">
      <c r="B636" s="52" t="s">
        <v>646</v>
      </c>
      <c r="C636" s="1491"/>
      <c r="D636" s="1491"/>
      <c r="E636" s="1491"/>
      <c r="F636" s="1491"/>
      <c r="G636" s="1491"/>
      <c r="H636" s="1491"/>
      <c r="I636" s="1491"/>
      <c r="J636" s="1491"/>
      <c r="K636" s="1491"/>
      <c r="L636" s="1491"/>
      <c r="M636" s="1495" t="s">
        <v>1184</v>
      </c>
      <c r="N636" s="1495"/>
      <c r="O636" s="1495"/>
      <c r="P636" s="1495"/>
      <c r="Q636" s="1510"/>
      <c r="R636" s="1511"/>
      <c r="S636" s="1512"/>
      <c r="T636" s="1510"/>
      <c r="U636" s="1511"/>
      <c r="V636" s="1512"/>
      <c r="W636" s="1482"/>
      <c r="X636" s="1483"/>
      <c r="Y636" s="1484"/>
      <c r="Z636" s="1478" t="s">
        <v>1184</v>
      </c>
      <c r="AA636" s="1479"/>
      <c r="AB636" s="1480"/>
      <c r="AC636" s="1381"/>
      <c r="AD636" s="1382"/>
      <c r="AE636" s="1383"/>
      <c r="AF636" s="1492"/>
      <c r="AG636" s="1493"/>
      <c r="AH636" s="1493"/>
      <c r="AI636" s="1493"/>
      <c r="AJ636" s="1494"/>
      <c r="AK636" s="1486"/>
      <c r="AL636" s="1487"/>
      <c r="AM636" s="1487"/>
      <c r="AN636" s="1488"/>
      <c r="AO636" s="1477"/>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502.48837209302326</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25" customHeight="1">
      <c r="B637" s="52" t="s">
        <v>362</v>
      </c>
      <c r="C637" s="1491"/>
      <c r="D637" s="1491"/>
      <c r="E637" s="1491"/>
      <c r="F637" s="1491"/>
      <c r="G637" s="1491"/>
      <c r="H637" s="1491"/>
      <c r="I637" s="1491"/>
      <c r="J637" s="1491"/>
      <c r="K637" s="1491"/>
      <c r="L637" s="1491"/>
      <c r="M637" s="1495" t="s">
        <v>1184</v>
      </c>
      <c r="N637" s="1495"/>
      <c r="O637" s="1495"/>
      <c r="P637" s="1495"/>
      <c r="Q637" s="1510"/>
      <c r="R637" s="1511"/>
      <c r="S637" s="1512"/>
      <c r="T637" s="1510"/>
      <c r="U637" s="1511"/>
      <c r="V637" s="1512"/>
      <c r="W637" s="1482"/>
      <c r="X637" s="1483"/>
      <c r="Y637" s="1484"/>
      <c r="Z637" s="1478" t="s">
        <v>1184</v>
      </c>
      <c r="AA637" s="1479"/>
      <c r="AB637" s="1480"/>
      <c r="AC637" s="1381"/>
      <c r="AD637" s="1382"/>
      <c r="AE637" s="1383"/>
      <c r="AF637" s="1492"/>
      <c r="AG637" s="1493"/>
      <c r="AH637" s="1493"/>
      <c r="AI637" s="1493"/>
      <c r="AJ637" s="1494"/>
      <c r="AK637" s="1486"/>
      <c r="AL637" s="1487"/>
      <c r="AM637" s="1487"/>
      <c r="AN637" s="1488"/>
      <c r="AO637" s="1477"/>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376.02325581395343</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25" customHeight="1">
      <c r="B638" s="52" t="s">
        <v>363</v>
      </c>
      <c r="C638" s="1491"/>
      <c r="D638" s="1491"/>
      <c r="E638" s="1491"/>
      <c r="F638" s="1491"/>
      <c r="G638" s="1491"/>
      <c r="H638" s="1491"/>
      <c r="I638" s="1491"/>
      <c r="J638" s="1491"/>
      <c r="K638" s="1491"/>
      <c r="L638" s="1491"/>
      <c r="M638" s="1495" t="s">
        <v>1184</v>
      </c>
      <c r="N638" s="1495"/>
      <c r="O638" s="1495"/>
      <c r="P638" s="1495"/>
      <c r="Q638" s="1510"/>
      <c r="R638" s="1511"/>
      <c r="S638" s="1512"/>
      <c r="T638" s="1510"/>
      <c r="U638" s="1511"/>
      <c r="V638" s="1512"/>
      <c r="W638" s="1482"/>
      <c r="X638" s="1483"/>
      <c r="Y638" s="1484"/>
      <c r="Z638" s="1478" t="s">
        <v>1184</v>
      </c>
      <c r="AA638" s="1479"/>
      <c r="AB638" s="1480"/>
      <c r="AC638" s="1381"/>
      <c r="AD638" s="1382"/>
      <c r="AE638" s="1383"/>
      <c r="AF638" s="1492"/>
      <c r="AG638" s="1493"/>
      <c r="AH638" s="1493"/>
      <c r="AI638" s="1493"/>
      <c r="AJ638" s="1494"/>
      <c r="AK638" s="1486"/>
      <c r="AL638" s="1487"/>
      <c r="AM638" s="1487"/>
      <c r="AN638" s="1488"/>
      <c r="AO638" s="1477"/>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f t="shared" si="4"/>
        <v>1422.8372093023256</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2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4">
        <f>SUM(AO627:AR638)</f>
        <v>78964619</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175.93023255813952</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2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7">
        <v>36071795</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255.23255813953489</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25" customHeight="1">
      <c r="B641" s="1838"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9"/>
      <c r="AO641" s="1474">
        <f>AO639+AO640</f>
        <v>115036414</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f t="shared" si="5"/>
        <v>202.57142857142856</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2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103.1547619047619</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25" customHeight="1">
      <c r="A643" s="55" t="s">
        <v>112</v>
      </c>
      <c r="B643" t="s">
        <v>463</v>
      </c>
      <c r="G643" s="1485" t="str">
        <f>C627</f>
        <v>Citibank, N.A.</v>
      </c>
      <c r="H643" s="1485"/>
      <c r="I643" s="1485"/>
      <c r="J643" s="1485"/>
      <c r="K643" s="1485"/>
      <c r="L643" s="1485"/>
      <c r="M643" s="1485"/>
      <c r="N643" s="1485"/>
      <c r="O643" s="1485"/>
      <c r="P643" s="1485"/>
      <c r="Q643" s="1485"/>
      <c r="R643" s="1485"/>
      <c r="S643" s="8"/>
      <c r="T643" s="55" t="s">
        <v>113</v>
      </c>
      <c r="U643" t="s">
        <v>463</v>
      </c>
      <c r="Z643" s="1485" t="str">
        <f>C628</f>
        <v>Citibank, N.A.</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900.35714285714289</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25" customHeight="1">
      <c r="A644" s="22"/>
      <c r="B644" t="s">
        <v>85</v>
      </c>
      <c r="G644" s="1407" t="s">
        <v>2677</v>
      </c>
      <c r="H644" s="1407"/>
      <c r="I644" s="1407"/>
      <c r="J644" s="1407"/>
      <c r="K644" s="1407"/>
      <c r="L644" s="1407"/>
      <c r="M644" s="1407"/>
      <c r="N644" s="1407"/>
      <c r="O644" s="1407"/>
      <c r="P644" s="1407"/>
      <c r="Q644" s="1407"/>
      <c r="R644" s="1407"/>
      <c r="S644" s="8"/>
      <c r="T644" s="22"/>
      <c r="U644" t="s">
        <v>85</v>
      </c>
      <c r="Z644" s="1407" t="s">
        <v>2677</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177.25</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25" customHeight="1">
      <c r="A645" s="22"/>
      <c r="B645" t="s">
        <v>580</v>
      </c>
      <c r="G645" s="1407" t="s">
        <v>2678</v>
      </c>
      <c r="H645" s="1407"/>
      <c r="I645" s="1407"/>
      <c r="J645" s="1407"/>
      <c r="K645" s="1407"/>
      <c r="L645" s="1407"/>
      <c r="M645" s="1407"/>
      <c r="N645" s="1407"/>
      <c r="O645" s="1407"/>
      <c r="P645" s="1407"/>
      <c r="Q645" s="1407"/>
      <c r="R645" s="1407"/>
      <c r="T645" s="22"/>
      <c r="U645" t="s">
        <v>580</v>
      </c>
      <c r="Z645" s="1371" t="s">
        <v>2678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82.523809523809518</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25" customHeight="1">
      <c r="A646" s="22"/>
      <c r="B646" t="s">
        <v>17</v>
      </c>
      <c r="G646" s="1407" t="s">
        <v>2679</v>
      </c>
      <c r="H646" s="1407"/>
      <c r="I646" s="1407"/>
      <c r="J646" s="1407"/>
      <c r="K646" s="1407"/>
      <c r="L646" s="1407"/>
      <c r="M646" s="1407"/>
      <c r="N646" s="1407"/>
      <c r="O646" s="1407"/>
      <c r="P646" s="1407"/>
      <c r="Q646" s="1407"/>
      <c r="R646" s="1407"/>
      <c r="S646" s="8"/>
      <c r="T646" s="22"/>
      <c r="U646" t="s">
        <v>17</v>
      </c>
      <c r="Z646" s="1371" t="s">
        <v>2679</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900.35714285714289</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25" customHeight="1">
      <c r="A647" s="22"/>
      <c r="B647" t="s">
        <v>316</v>
      </c>
      <c r="G647" s="1489">
        <v>8053585673</v>
      </c>
      <c r="H647" s="1489"/>
      <c r="I647" s="1489"/>
      <c r="J647" s="1489"/>
      <c r="K647" s="1489"/>
      <c r="L647" s="1489"/>
      <c r="O647" s="33" t="s">
        <v>206</v>
      </c>
      <c r="P647" s="1473"/>
      <c r="Q647" s="1473"/>
      <c r="R647" s="1473"/>
      <c r="S647" s="10"/>
      <c r="T647" s="22"/>
      <c r="U647" t="s">
        <v>316</v>
      </c>
      <c r="Z647" s="1489">
        <v>8053585673</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f t="shared" si="6"/>
        <v>220.81395348837208</v>
      </c>
      <c r="ES647" s="1369"/>
      <c r="ET647" s="1369"/>
      <c r="EU647" s="1369"/>
      <c r="EV647" s="1369"/>
      <c r="EW647" s="1369" t="e">
        <f t="shared" si="7"/>
        <v>#VALUE!</v>
      </c>
      <c r="EX647" s="1369"/>
      <c r="EY647" s="1369"/>
      <c r="EZ647" s="1369"/>
      <c r="FA647" s="1369"/>
    </row>
    <row r="648" spans="1:157" ht="13.25" customHeight="1">
      <c r="A648" s="22"/>
      <c r="B648" t="s">
        <v>18</v>
      </c>
      <c r="H648" s="1407" t="s">
        <v>2686</v>
      </c>
      <c r="I648" s="1407"/>
      <c r="J648" s="1407"/>
      <c r="K648" s="1407"/>
      <c r="L648" s="1407"/>
      <c r="M648" s="1407"/>
      <c r="N648" s="1407"/>
      <c r="O648" s="1407"/>
      <c r="P648" s="1407"/>
      <c r="Q648" s="1407"/>
      <c r="R648" s="1407"/>
      <c r="S648" s="8"/>
      <c r="T648" s="22"/>
      <c r="U648" t="s">
        <v>18</v>
      </c>
      <c r="AA648" s="1407" t="s">
        <v>2687</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f t="shared" si="6"/>
        <v>2454.0930232558139</v>
      </c>
      <c r="ES648" s="1369"/>
      <c r="ET648" s="1369"/>
      <c r="EU648" s="1369"/>
      <c r="EV648" s="1369"/>
      <c r="EW648" s="1369" t="e">
        <f t="shared" si="7"/>
        <v>#VALUE!</v>
      </c>
      <c r="EX648" s="1369"/>
      <c r="EY648" s="1369"/>
      <c r="EZ648" s="1369"/>
      <c r="FA648" s="1369"/>
    </row>
    <row r="649" spans="1:157" ht="13.2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2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25" customHeight="1">
      <c r="A651" s="55" t="s">
        <v>119</v>
      </c>
      <c r="B651" t="s">
        <v>463</v>
      </c>
      <c r="G651" s="1485" t="str">
        <f>C629</f>
        <v>GP Capital Contribution</v>
      </c>
      <c r="H651" s="1485"/>
      <c r="I651" s="1485"/>
      <c r="J651" s="1485"/>
      <c r="K651" s="1485"/>
      <c r="L651" s="1485"/>
      <c r="M651" s="1485"/>
      <c r="N651" s="1485"/>
      <c r="O651" s="1485"/>
      <c r="P651" s="1485"/>
      <c r="Q651" s="1485"/>
      <c r="R651" s="1485"/>
      <c r="T651" s="55" t="s">
        <v>581</v>
      </c>
      <c r="U651" t="s">
        <v>463</v>
      </c>
      <c r="Z651" s="1485" t="str">
        <f>C630</f>
        <v>Deferred Developer Fee</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25" customHeight="1">
      <c r="A652" s="22"/>
      <c r="B652" t="s">
        <v>85</v>
      </c>
      <c r="G652" s="1407" t="s">
        <v>2620</v>
      </c>
      <c r="H652" s="1407"/>
      <c r="I652" s="1407"/>
      <c r="J652" s="1407"/>
      <c r="K652" s="1407"/>
      <c r="L652" s="1407"/>
      <c r="M652" s="1407"/>
      <c r="N652" s="1407"/>
      <c r="O652" s="1407"/>
      <c r="P652" s="1407"/>
      <c r="Q652" s="1407"/>
      <c r="R652" s="1407"/>
      <c r="T652" s="22"/>
      <c r="U652" t="s">
        <v>85</v>
      </c>
      <c r="Z652" s="1407" t="s">
        <v>2688</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25" customHeight="1">
      <c r="A653" s="22"/>
      <c r="B653" t="s">
        <v>580</v>
      </c>
      <c r="G653" s="1371" t="s">
        <v>2627</v>
      </c>
      <c r="H653" s="1371"/>
      <c r="I653" s="1371"/>
      <c r="J653" s="1371"/>
      <c r="K653" s="1371"/>
      <c r="L653" s="1371"/>
      <c r="M653" s="1371"/>
      <c r="N653" s="1371"/>
      <c r="O653" s="1371"/>
      <c r="P653" s="1371"/>
      <c r="Q653" s="1371"/>
      <c r="R653" s="1371"/>
      <c r="T653" s="22"/>
      <c r="U653" t="s">
        <v>580</v>
      </c>
      <c r="Z653" s="1371" t="s">
        <v>2627</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25" customHeight="1">
      <c r="A654" s="22"/>
      <c r="B654" t="s">
        <v>17</v>
      </c>
      <c r="G654" s="1371" t="s">
        <v>2623</v>
      </c>
      <c r="H654" s="1371"/>
      <c r="I654" s="1371"/>
      <c r="J654" s="1371"/>
      <c r="K654" s="1371"/>
      <c r="L654" s="1371"/>
      <c r="M654" s="1371"/>
      <c r="N654" s="1371"/>
      <c r="O654" s="1371"/>
      <c r="P654" s="1371"/>
      <c r="Q654" s="1371"/>
      <c r="R654" s="1371"/>
      <c r="T654" s="22"/>
      <c r="U654" t="s">
        <v>17</v>
      </c>
      <c r="Z654" s="1371" t="s">
        <v>2623</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25" customHeight="1">
      <c r="A655" s="22"/>
      <c r="B655" t="s">
        <v>316</v>
      </c>
      <c r="G655" s="1489">
        <v>4242228253</v>
      </c>
      <c r="H655" s="1489"/>
      <c r="I655" s="1489"/>
      <c r="J655" s="1489"/>
      <c r="K655" s="1489"/>
      <c r="L655" s="1489"/>
      <c r="O655" s="33" t="s">
        <v>206</v>
      </c>
      <c r="P655" s="1473"/>
      <c r="Q655" s="1473"/>
      <c r="R655" s="1473"/>
      <c r="T655" s="22"/>
      <c r="U655" t="s">
        <v>316</v>
      </c>
      <c r="Z655" s="1489">
        <v>4242228253</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25" customHeight="1">
      <c r="A656" s="22"/>
      <c r="B656" t="s">
        <v>18</v>
      </c>
      <c r="H656" s="1407" t="s">
        <v>2672</v>
      </c>
      <c r="I656" s="1407"/>
      <c r="J656" s="1407"/>
      <c r="K656" s="1407"/>
      <c r="L656" s="1407"/>
      <c r="M656" s="1407"/>
      <c r="N656" s="1407"/>
      <c r="O656" s="1407"/>
      <c r="P656" s="1407"/>
      <c r="Q656" s="1407"/>
      <c r="R656" s="1407"/>
      <c r="T656" s="22"/>
      <c r="U656" t="s">
        <v>18</v>
      </c>
      <c r="AA656" s="1407" t="s">
        <v>2320</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2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2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25" customHeight="1">
      <c r="A659" s="55" t="s">
        <v>763</v>
      </c>
      <c r="B659" t="s">
        <v>463</v>
      </c>
      <c r="G659" s="1485" t="str">
        <f>C631</f>
        <v>Cashflow From Operations</v>
      </c>
      <c r="H659" s="1485"/>
      <c r="I659" s="1485"/>
      <c r="J659" s="1485"/>
      <c r="K659" s="1485"/>
      <c r="L659" s="1485"/>
      <c r="M659" s="1485"/>
      <c r="N659" s="1485"/>
      <c r="O659" s="1485"/>
      <c r="P659" s="1485"/>
      <c r="Q659" s="1485"/>
      <c r="R659" s="1485"/>
      <c r="T659" s="55" t="s">
        <v>584</v>
      </c>
      <c r="U659" t="s">
        <v>463</v>
      </c>
      <c r="Z659" s="1485" t="str">
        <f>C632</f>
        <v>GP Note</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25" customHeight="1">
      <c r="A660" s="22"/>
      <c r="B660" t="s">
        <v>85</v>
      </c>
      <c r="G660" s="1407" t="s">
        <v>2688</v>
      </c>
      <c r="H660" s="1407"/>
      <c r="I660" s="1407"/>
      <c r="J660" s="1407"/>
      <c r="K660" s="1407"/>
      <c r="L660" s="1407"/>
      <c r="M660" s="1407"/>
      <c r="N660" s="1407"/>
      <c r="O660" s="1407"/>
      <c r="P660" s="1407"/>
      <c r="Q660" s="1407"/>
      <c r="R660" s="1407"/>
      <c r="T660" s="22"/>
      <c r="U660" t="s">
        <v>85</v>
      </c>
      <c r="Z660" s="1407" t="s">
        <v>2688</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25" customHeight="1">
      <c r="A661" s="22"/>
      <c r="B661" t="s">
        <v>580</v>
      </c>
      <c r="G661" s="1407" t="s">
        <v>2627</v>
      </c>
      <c r="H661" s="1407"/>
      <c r="I661" s="1407"/>
      <c r="J661" s="1407"/>
      <c r="K661" s="1407"/>
      <c r="L661" s="1407"/>
      <c r="M661" s="1407"/>
      <c r="N661" s="1407"/>
      <c r="O661" s="1407"/>
      <c r="P661" s="1407"/>
      <c r="Q661" s="1407"/>
      <c r="R661" s="1407"/>
      <c r="T661" s="22"/>
      <c r="U661" t="s">
        <v>580</v>
      </c>
      <c r="Z661" s="1371" t="s">
        <v>2627</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25" customHeight="1">
      <c r="A662" s="22"/>
      <c r="B662" t="s">
        <v>17</v>
      </c>
      <c r="G662" s="1407" t="s">
        <v>2623</v>
      </c>
      <c r="H662" s="1407"/>
      <c r="I662" s="1407"/>
      <c r="J662" s="1407"/>
      <c r="K662" s="1407"/>
      <c r="L662" s="1407"/>
      <c r="M662" s="1407"/>
      <c r="N662" s="1407"/>
      <c r="O662" s="1407"/>
      <c r="P662" s="1407"/>
      <c r="Q662" s="1407"/>
      <c r="R662" s="1407"/>
      <c r="T662" s="22"/>
      <c r="U662" t="s">
        <v>17</v>
      </c>
      <c r="Z662" s="1371" t="s">
        <v>2623</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25" customHeight="1">
      <c r="A663" s="22"/>
      <c r="B663" t="s">
        <v>316</v>
      </c>
      <c r="G663" s="1489">
        <v>4242228253</v>
      </c>
      <c r="H663" s="1489"/>
      <c r="I663" s="1489"/>
      <c r="J663" s="1489"/>
      <c r="K663" s="1489"/>
      <c r="L663" s="1489"/>
      <c r="O663" s="33" t="s">
        <v>206</v>
      </c>
      <c r="P663" s="1473"/>
      <c r="Q663" s="1473"/>
      <c r="R663" s="1473"/>
      <c r="T663" s="22"/>
      <c r="U663" t="s">
        <v>316</v>
      </c>
      <c r="Z663" s="1489">
        <v>4242228253</v>
      </c>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25" customHeight="1">
      <c r="A664" s="22"/>
      <c r="B664" t="s">
        <v>18</v>
      </c>
      <c r="H664" s="1407" t="s">
        <v>2689</v>
      </c>
      <c r="I664" s="1407"/>
      <c r="J664" s="1407"/>
      <c r="K664" s="1407"/>
      <c r="L664" s="1407"/>
      <c r="M664" s="1407"/>
      <c r="N664" s="1407"/>
      <c r="O664" s="1407"/>
      <c r="P664" s="1407"/>
      <c r="Q664" s="1407"/>
      <c r="R664" s="1407"/>
      <c r="T664" s="22"/>
      <c r="U664" t="s">
        <v>18</v>
      </c>
      <c r="AA664" s="1407" t="s">
        <v>2685</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25" customHeight="1">
      <c r="A665" s="22"/>
      <c r="B665" t="s">
        <v>20</v>
      </c>
      <c r="N665" s="1415" t="s">
        <v>545</v>
      </c>
      <c r="O665" s="1415"/>
      <c r="T665" s="22"/>
      <c r="U665" t="s">
        <v>20</v>
      </c>
      <c r="AG665" s="1415" t="s">
        <v>545</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2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25" customHeight="1">
      <c r="A667" s="55" t="s">
        <v>455</v>
      </c>
      <c r="B667" t="s">
        <v>463</v>
      </c>
      <c r="G667" s="1485">
        <f>C633</f>
        <v>0</v>
      </c>
      <c r="H667" s="1485"/>
      <c r="I667" s="1485"/>
      <c r="J667" s="1485"/>
      <c r="K667" s="1485"/>
      <c r="L667" s="1485"/>
      <c r="M667" s="1485"/>
      <c r="N667" s="1485"/>
      <c r="O667" s="1485"/>
      <c r="P667" s="1485"/>
      <c r="Q667" s="1485"/>
      <c r="R667" s="1485"/>
      <c r="T667" s="55" t="s">
        <v>456</v>
      </c>
      <c r="U667" t="s">
        <v>463</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2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25"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2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987</v>
      </c>
      <c r="ED670" s="1369"/>
      <c r="EE670" s="1369"/>
      <c r="EF670" s="1369"/>
      <c r="EG670" s="1369"/>
      <c r="EH670" s="1369">
        <f>SUMIF(EH635:EL669,"&gt;0")</f>
        <v>1854</v>
      </c>
      <c r="EI670" s="1369"/>
      <c r="EJ670" s="1369"/>
      <c r="EK670" s="1369"/>
      <c r="EL670" s="1369"/>
      <c r="EM670" s="1369">
        <f>SUMIF(EM635:EQ669,"&gt;0")</f>
        <v>2366.2142857142862</v>
      </c>
      <c r="EN670" s="1369"/>
      <c r="EO670" s="1369"/>
      <c r="EP670" s="1369"/>
      <c r="EQ670" s="1369"/>
      <c r="ER670" s="1369">
        <f>SUMIF(ER635:EV669,"&gt;0")</f>
        <v>2674.9069767441861</v>
      </c>
      <c r="ES670" s="1369"/>
      <c r="ET670" s="1369"/>
      <c r="EU670" s="1369"/>
      <c r="EV670" s="1369"/>
      <c r="EW670" s="1369">
        <f>SUMIF(EW635:FA669,"&gt;0")</f>
        <v>0</v>
      </c>
      <c r="EX670" s="1369"/>
      <c r="EY670" s="1369"/>
      <c r="EZ670" s="1369"/>
      <c r="FA670" s="1369"/>
    </row>
    <row r="671" spans="1:157" ht="13.2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5" customHeight="1">
      <c r="A673" s="22"/>
      <c r="B673" t="s">
        <v>20</v>
      </c>
      <c r="N673" s="1415" t="s">
        <v>669</v>
      </c>
      <c r="O673" s="1415"/>
      <c r="T673" s="22"/>
      <c r="U673" t="s">
        <v>20</v>
      </c>
      <c r="AG673" s="1415" t="s">
        <v>669</v>
      </c>
      <c r="AH673" s="1415"/>
      <c r="AZ673" s="3"/>
    </row>
    <row r="674" spans="1:52" ht="13.25" customHeight="1">
      <c r="A674" s="22"/>
      <c r="T674" s="22"/>
      <c r="AZ674" s="3"/>
    </row>
    <row r="675" spans="1:52" ht="13.25" customHeight="1">
      <c r="A675" s="55" t="s">
        <v>461</v>
      </c>
      <c r="B675" t="s">
        <v>463</v>
      </c>
      <c r="G675" s="1485">
        <f>C635</f>
        <v>0</v>
      </c>
      <c r="H675" s="1485"/>
      <c r="I675" s="1485"/>
      <c r="J675" s="1485"/>
      <c r="K675" s="1485"/>
      <c r="L675" s="1485"/>
      <c r="M675" s="1485"/>
      <c r="N675" s="1485"/>
      <c r="O675" s="1485"/>
      <c r="P675" s="1485"/>
      <c r="Q675" s="1485"/>
      <c r="R675" s="1485"/>
      <c r="T675" s="55" t="s">
        <v>646</v>
      </c>
      <c r="U675" t="s">
        <v>463</v>
      </c>
      <c r="Z675" s="1485">
        <f>C636</f>
        <v>0</v>
      </c>
      <c r="AA675" s="1485"/>
      <c r="AB675" s="1485"/>
      <c r="AC675" s="1485"/>
      <c r="AD675" s="1485"/>
      <c r="AE675" s="1485"/>
      <c r="AF675" s="1485"/>
      <c r="AG675" s="1485"/>
      <c r="AH675" s="1485"/>
      <c r="AI675" s="1485"/>
      <c r="AJ675" s="1485"/>
      <c r="AK675" s="1485"/>
      <c r="AZ675" s="3"/>
    </row>
    <row r="676" spans="1:52" ht="13.2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2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3.2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2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3.2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25" customHeight="1">
      <c r="A681" s="22"/>
      <c r="B681" t="s">
        <v>20</v>
      </c>
      <c r="N681" s="1415" t="s">
        <v>669</v>
      </c>
      <c r="O681" s="1415"/>
      <c r="T681" s="22"/>
      <c r="U681" t="s">
        <v>20</v>
      </c>
      <c r="AG681" s="1415" t="s">
        <v>669</v>
      </c>
      <c r="AH681" s="1415"/>
      <c r="AZ681" s="3"/>
    </row>
    <row r="682" spans="1:52" ht="13.25" customHeight="1">
      <c r="A682" s="22"/>
      <c r="T682" s="22"/>
      <c r="AZ682" s="3"/>
    </row>
    <row r="683" spans="1:52" ht="13.25" customHeight="1">
      <c r="A683" s="55" t="s">
        <v>362</v>
      </c>
      <c r="B683" t="s">
        <v>463</v>
      </c>
      <c r="G683" s="1485">
        <f>C637</f>
        <v>0</v>
      </c>
      <c r="H683" s="1485"/>
      <c r="I683" s="1485"/>
      <c r="J683" s="1485"/>
      <c r="K683" s="1485"/>
      <c r="L683" s="1485"/>
      <c r="M683" s="1485"/>
      <c r="N683" s="1485"/>
      <c r="O683" s="1485"/>
      <c r="P683" s="1485"/>
      <c r="Q683" s="1485"/>
      <c r="R683" s="1485"/>
      <c r="T683" s="55" t="s">
        <v>363</v>
      </c>
      <c r="U683" t="s">
        <v>463</v>
      </c>
      <c r="Z683" s="1485">
        <f>C638</f>
        <v>0</v>
      </c>
      <c r="AA683" s="1485"/>
      <c r="AB683" s="1485"/>
      <c r="AC683" s="1485"/>
      <c r="AD683" s="1485"/>
      <c r="AE683" s="1485"/>
      <c r="AF683" s="1485"/>
      <c r="AG683" s="1485"/>
      <c r="AH683" s="1485"/>
      <c r="AI683" s="1485"/>
      <c r="AJ683" s="1485"/>
      <c r="AK683" s="1485"/>
      <c r="AZ683" s="3"/>
    </row>
    <row r="684" spans="1:52" ht="13.2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2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3.2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2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3.2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25" customHeight="1">
      <c r="B689" t="s">
        <v>20</v>
      </c>
      <c r="N689" s="1415" t="s">
        <v>669</v>
      </c>
      <c r="O689" s="1415"/>
      <c r="U689" t="s">
        <v>20</v>
      </c>
      <c r="AG689" s="1415" t="s">
        <v>669</v>
      </c>
      <c r="AH689" s="1415"/>
      <c r="AZ689" s="3"/>
    </row>
    <row r="690" spans="1:67" ht="13.25" customHeight="1">
      <c r="AZ690" s="3"/>
    </row>
    <row r="691" spans="1:67" ht="13.25" customHeight="1">
      <c r="A691" s="2" t="s">
        <v>576</v>
      </c>
      <c r="C691" s="2" t="s">
        <v>327</v>
      </c>
      <c r="E691" s="130"/>
      <c r="F691" s="130"/>
      <c r="G691" s="130"/>
      <c r="H691" s="130"/>
      <c r="AZ691" s="3"/>
    </row>
    <row r="692" spans="1:67" ht="13.25" customHeight="1">
      <c r="B692" s="135"/>
      <c r="C692" s="135"/>
      <c r="D692" s="136" t="s">
        <v>434</v>
      </c>
      <c r="E692" s="135"/>
      <c r="F692" s="135"/>
      <c r="G692" s="135"/>
      <c r="H692" s="135"/>
      <c r="AZ692" s="3"/>
    </row>
    <row r="693" spans="1:67" ht="13.25" customHeight="1">
      <c r="B693" s="135"/>
      <c r="C693" s="135"/>
      <c r="E693" s="136" t="s">
        <v>435</v>
      </c>
      <c r="F693" s="135"/>
      <c r="G693" s="135"/>
      <c r="H693" s="135"/>
      <c r="AE693" s="1415" t="s">
        <v>669</v>
      </c>
      <c r="AF693" s="1415"/>
      <c r="AZ693" s="3"/>
    </row>
    <row r="694" spans="1:67" ht="13.25" customHeight="1">
      <c r="B694" s="135"/>
      <c r="C694" s="135"/>
      <c r="D694" s="136" t="s">
        <v>438</v>
      </c>
      <c r="E694" s="135"/>
      <c r="F694" s="135"/>
      <c r="G694" s="135"/>
      <c r="H694" s="135"/>
      <c r="AE694" s="1415" t="s">
        <v>545</v>
      </c>
      <c r="AF694" s="1415"/>
      <c r="AZ694" s="3"/>
    </row>
    <row r="695" spans="1:67" ht="13.25" customHeight="1">
      <c r="B695" s="135"/>
      <c r="C695" s="135"/>
      <c r="D695" s="136" t="s">
        <v>920</v>
      </c>
      <c r="E695" s="135"/>
      <c r="F695" s="135"/>
      <c r="G695" s="135"/>
      <c r="H695" s="135"/>
      <c r="AE695" s="1508">
        <v>45905</v>
      </c>
      <c r="AF695" s="1508"/>
      <c r="AG695" s="1508"/>
      <c r="AH695" s="1508"/>
      <c r="AI695" s="1508"/>
    </row>
    <row r="696" spans="1:67" ht="13.25" customHeight="1">
      <c r="B696" s="135"/>
      <c r="C696" s="135"/>
      <c r="D696" s="317" t="s">
        <v>983</v>
      </c>
      <c r="E696" s="135"/>
      <c r="F696" s="135"/>
      <c r="G696" s="135"/>
      <c r="H696" s="135"/>
      <c r="AE696" s="1671">
        <v>45980</v>
      </c>
      <c r="AF696" s="1671"/>
      <c r="AG696" s="1671"/>
      <c r="AH696" s="1671"/>
      <c r="AI696" s="1671"/>
    </row>
    <row r="697" spans="1:67" ht="13.25" customHeight="1">
      <c r="B697" s="135"/>
      <c r="C697" s="135"/>
    </row>
    <row r="698" spans="1:67" ht="13.25" customHeight="1">
      <c r="B698" s="135"/>
      <c r="C698" s="135"/>
      <c r="D698" s="136" t="s">
        <v>816</v>
      </c>
      <c r="E698" s="135"/>
      <c r="F698" s="135"/>
      <c r="G698" s="135"/>
      <c r="H698" s="135"/>
      <c r="AE698" s="1508">
        <v>46157</v>
      </c>
      <c r="AF698" s="1508"/>
      <c r="AG698" s="1508"/>
      <c r="AH698" s="1508"/>
      <c r="AI698" s="1508"/>
    </row>
    <row r="699" spans="1:67" ht="13.25" customHeight="1">
      <c r="B699" s="135"/>
      <c r="C699" s="135"/>
      <c r="D699" s="136" t="s">
        <v>436</v>
      </c>
      <c r="E699" s="135"/>
      <c r="F699" s="135"/>
      <c r="G699" s="135"/>
      <c r="H699" s="135"/>
      <c r="AE699" s="1691">
        <v>0.2795382697877104</v>
      </c>
      <c r="AF699" s="1691"/>
      <c r="AG699" s="1691"/>
      <c r="AH699" s="1691"/>
      <c r="AI699" s="1691"/>
    </row>
    <row r="700" spans="1:67" ht="13.25" customHeight="1">
      <c r="B700" s="135"/>
      <c r="C700" s="135"/>
      <c r="D700" s="136" t="s">
        <v>437</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3.25" customHeight="1">
      <c r="B701" s="135"/>
      <c r="C701" s="135"/>
      <c r="D701" s="136"/>
      <c r="E701" s="135"/>
      <c r="F701" s="135"/>
      <c r="G701" s="135"/>
      <c r="H701" s="135"/>
    </row>
    <row r="702" spans="1:67" ht="13.25" customHeight="1">
      <c r="B702" s="135"/>
      <c r="C702" s="135"/>
      <c r="D702" s="136" t="s">
        <v>439</v>
      </c>
      <c r="E702" s="135"/>
      <c r="F702" s="135"/>
      <c r="G702" s="135"/>
      <c r="H702" s="135"/>
      <c r="AE702" s="1415" t="s">
        <v>669</v>
      </c>
      <c r="AF702" s="1415"/>
      <c r="AZ702" s="4" t="s">
        <v>324</v>
      </c>
    </row>
    <row r="703" spans="1:67" ht="13.25"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2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25"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5" customHeight="1">
      <c r="B706" s="135"/>
      <c r="C706" s="135"/>
      <c r="D706" s="136" t="s">
        <v>443</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5" customHeight="1">
      <c r="B714" s="1496" t="s">
        <v>389</v>
      </c>
      <c r="C714" s="1497"/>
      <c r="D714" s="1497"/>
      <c r="E714" s="1497"/>
      <c r="F714" s="1498"/>
      <c r="G714" s="1496" t="s">
        <v>285</v>
      </c>
      <c r="H714" s="1497"/>
      <c r="I714" s="1497"/>
      <c r="J714" s="1498"/>
      <c r="K714" s="1513" t="s">
        <v>1679</v>
      </c>
      <c r="L714" s="1514"/>
      <c r="M714" s="1514"/>
      <c r="N714" s="1515"/>
      <c r="O714" s="1496" t="s">
        <v>447</v>
      </c>
      <c r="P714" s="1497"/>
      <c r="Q714" s="1497"/>
      <c r="R714" s="1497"/>
      <c r="S714" s="1498"/>
      <c r="T714" s="1509" t="s">
        <v>1949</v>
      </c>
      <c r="U714" s="1497"/>
      <c r="V714" s="1497"/>
      <c r="W714" s="1498"/>
      <c r="X714" s="1509" t="s">
        <v>1951</v>
      </c>
      <c r="Y714" s="1497"/>
      <c r="Z714" s="1497"/>
      <c r="AA714" s="1497"/>
      <c r="AB714" s="1498"/>
      <c r="AC714" s="1509" t="s">
        <v>1950</v>
      </c>
      <c r="AD714" s="1497"/>
      <c r="AE714" s="1497"/>
      <c r="AF714" s="1497"/>
      <c r="AG714" s="1498"/>
      <c r="AH714" s="1509" t="s">
        <v>1952</v>
      </c>
      <c r="AI714" s="1497"/>
      <c r="AJ714" s="1498"/>
      <c r="AK714" s="1509" t="s">
        <v>1979</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801" t="s">
        <v>633</v>
      </c>
      <c r="CQ717" s="1802"/>
      <c r="CR717" s="1802"/>
      <c r="CS717" s="1802"/>
      <c r="CT717" s="1803"/>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460</v>
      </c>
      <c r="DK717" s="1490"/>
      <c r="DL717" s="1490"/>
      <c r="DM717" s="1490"/>
      <c r="DN717" s="1490"/>
      <c r="DO717" s="1490" t="s">
        <v>30</v>
      </c>
      <c r="DP717" s="1490"/>
      <c r="DQ717" s="1490"/>
      <c r="DR717" s="1490"/>
      <c r="DS717" s="1490"/>
      <c r="DT717" s="89"/>
      <c r="DU717" s="1490" t="s">
        <v>633</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460</v>
      </c>
      <c r="EP717" s="1490"/>
      <c r="EQ717" s="1490"/>
      <c r="ER717" s="1490"/>
      <c r="ES717" s="1490"/>
      <c r="ET717" s="1490" t="s">
        <v>30</v>
      </c>
      <c r="EU717" s="1490"/>
      <c r="EV717" s="1490"/>
      <c r="EW717" s="1490"/>
      <c r="EX717" s="1490"/>
      <c r="EY717" s="4"/>
      <c r="EZ717" s="1490" t="s">
        <v>633</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460</v>
      </c>
      <c r="FU717" s="1490"/>
      <c r="FV717" s="1490"/>
      <c r="FW717" s="1490"/>
      <c r="FX717" s="1490"/>
      <c r="FY717" s="1490" t="s">
        <v>30</v>
      </c>
      <c r="FZ717" s="1490"/>
      <c r="GA717" s="1490"/>
      <c r="GB717" s="1490"/>
      <c r="GC717" s="1490"/>
    </row>
    <row r="718" spans="1:185" ht="13.25" customHeight="1">
      <c r="A718" s="4"/>
      <c r="B718" s="1355" t="s">
        <v>325</v>
      </c>
      <c r="C718" s="1356"/>
      <c r="D718" s="1356"/>
      <c r="E718" s="1356"/>
      <c r="F718" s="1357"/>
      <c r="G718" s="1364">
        <v>3</v>
      </c>
      <c r="H718" s="1365"/>
      <c r="I718" s="1365"/>
      <c r="J718" s="1366"/>
      <c r="K718" s="1611">
        <v>496</v>
      </c>
      <c r="L718" s="1612"/>
      <c r="M718" s="1612"/>
      <c r="N718" s="1613"/>
      <c r="O718" s="1470">
        <v>1555</v>
      </c>
      <c r="P718" s="1471"/>
      <c r="Q718" s="1471"/>
      <c r="R718" s="1471"/>
      <c r="S718" s="1472"/>
      <c r="T718" s="1470">
        <v>149</v>
      </c>
      <c r="U718" s="1471"/>
      <c r="V718" s="1471"/>
      <c r="W718" s="1472"/>
      <c r="X718" s="1358">
        <f t="shared" ref="X718:X741" si="8">O718+T718</f>
        <v>1704</v>
      </c>
      <c r="Y718" s="1359"/>
      <c r="Z718" s="1359"/>
      <c r="AA718" s="1359"/>
      <c r="AB718" s="1360"/>
      <c r="AC718" s="1620">
        <v>0.6</v>
      </c>
      <c r="AD718" s="1621"/>
      <c r="AE718" s="1621"/>
      <c r="AF718" s="1621"/>
      <c r="AG718" s="1622"/>
      <c r="AH718" s="1361">
        <f>IF($AC718&gt;0,($X718/$AZ718), "")</f>
        <v>0.6</v>
      </c>
      <c r="AI718" s="1362"/>
      <c r="AJ718" s="1363"/>
      <c r="AK718" s="1355" t="s">
        <v>591</v>
      </c>
      <c r="AL718" s="1356"/>
      <c r="AM718" s="1356"/>
      <c r="AN718" s="1356"/>
      <c r="AO718" s="1357"/>
      <c r="AP718" s="3"/>
      <c r="AQ718" s="3"/>
      <c r="AR718" s="3"/>
      <c r="AS718" s="3"/>
      <c r="AZ718" s="118">
        <f t="shared" ref="AZ718:AZ752" si="9">IF($G718=0,"N/A",VLOOKUP($T$189,TC_Rent,(MATCH($B718,bedrooms,FALSE)),FALSE))</f>
        <v>2840</v>
      </c>
      <c r="BA718" s="3"/>
      <c r="BB718" s="3"/>
      <c r="BC718" s="3"/>
      <c r="BD718" s="3"/>
      <c r="BE718" s="204"/>
      <c r="BF718" s="293">
        <f t="shared" ref="BF718:BF752" si="10">G718</f>
        <v>3</v>
      </c>
      <c r="BG718" s="297">
        <f t="shared" ref="BG718:BG752" si="11">IF($BF$753=0,0,BF718/$BF$753)</f>
        <v>1.4084507042253521E-2</v>
      </c>
      <c r="BH718" s="298">
        <f t="shared" ref="BH718:BH752" si="12">IF(BG718=0,"",BG718*AC718)</f>
        <v>8.4507042253521118E-3</v>
      </c>
      <c r="BI718" s="3"/>
      <c r="BJ718" s="3"/>
      <c r="BK718" s="3"/>
      <c r="BL718" s="3"/>
      <c r="BM718" s="3"/>
      <c r="BN718" s="3"/>
      <c r="BS718" s="293">
        <f t="shared" ref="BS718:BS752" si="13">G718</f>
        <v>3</v>
      </c>
      <c r="BT718" s="297">
        <f t="shared" ref="BT718:BT752" si="14">IF($BS$753=0,0,BS718/$BS$753)</f>
        <v>1.4084507042253521E-2</v>
      </c>
      <c r="BU718" s="298">
        <f t="shared" ref="BU718:BU752" si="15">IF(BT718=0,"",BT718*AH718)</f>
        <v>8.4507042253521118E-3</v>
      </c>
      <c r="CC718" s="3"/>
      <c r="CD718" s="3"/>
      <c r="CE718" s="3"/>
      <c r="CF718" s="3"/>
      <c r="CG718" s="1351">
        <f>IF(AND(AC718&lt;=0.5,AC718&gt;=0.36),1,0)</f>
        <v>0</v>
      </c>
      <c r="CH718" s="1353"/>
      <c r="CI718" s="1335">
        <f>IF(CG718=1,G718,0)</f>
        <v>0</v>
      </c>
      <c r="CJ718" s="1337"/>
      <c r="CK718" s="1351">
        <f t="shared" ref="CK718:CK752" si="16">IF(AND(AC718&lt;=0.35,AC718&gt;0),1,0)</f>
        <v>0</v>
      </c>
      <c r="CL718" s="1353"/>
      <c r="CM718" s="1335">
        <f t="shared" ref="CM718:CM752" si="17">IF(CK718=1,G718,0)</f>
        <v>0</v>
      </c>
      <c r="CN718" s="1337"/>
      <c r="CO718" s="3"/>
      <c r="CP718" s="1332">
        <f t="shared" ref="CP718:CP752" si="18">IF(B718="SRO/Studio",G718,0)</f>
        <v>0</v>
      </c>
      <c r="CQ718" s="1333"/>
      <c r="CR718" s="1333"/>
      <c r="CS718" s="1333"/>
      <c r="CT718" s="1334"/>
      <c r="CU718" s="1354">
        <f t="shared" ref="CU718:CU752" si="19">IF(B718="1 Bedroom",G718,0)</f>
        <v>3</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1555</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25" customHeight="1">
      <c r="A719" s="4"/>
      <c r="B719" s="1355" t="s">
        <v>325</v>
      </c>
      <c r="C719" s="1356"/>
      <c r="D719" s="1356"/>
      <c r="E719" s="1356"/>
      <c r="F719" s="1357"/>
      <c r="G719" s="1364">
        <v>17</v>
      </c>
      <c r="H719" s="1365"/>
      <c r="I719" s="1365"/>
      <c r="J719" s="1366"/>
      <c r="K719" s="1611">
        <v>496</v>
      </c>
      <c r="L719" s="1612"/>
      <c r="M719" s="1612"/>
      <c r="N719" s="1613"/>
      <c r="O719" s="1470">
        <v>1271</v>
      </c>
      <c r="P719" s="1471"/>
      <c r="Q719" s="1471"/>
      <c r="R719" s="1471"/>
      <c r="S719" s="1472"/>
      <c r="T719" s="1470">
        <v>149</v>
      </c>
      <c r="U719" s="1471"/>
      <c r="V719" s="1471"/>
      <c r="W719" s="1472"/>
      <c r="X719" s="1358">
        <f t="shared" si="8"/>
        <v>1420</v>
      </c>
      <c r="Y719" s="1359"/>
      <c r="Z719" s="1359"/>
      <c r="AA719" s="1359"/>
      <c r="AB719" s="1360"/>
      <c r="AC719" s="1620">
        <v>0.5</v>
      </c>
      <c r="AD719" s="1621"/>
      <c r="AE719" s="1621"/>
      <c r="AF719" s="1621"/>
      <c r="AG719" s="1622"/>
      <c r="AH719" s="1361">
        <f t="shared" ref="AH719:AH752" si="36">IF($AC719&gt;0,($X719/$AZ719), "")</f>
        <v>0.5</v>
      </c>
      <c r="AI719" s="1362"/>
      <c r="AJ719" s="1363"/>
      <c r="AK719" s="1355" t="s">
        <v>591</v>
      </c>
      <c r="AL719" s="1356"/>
      <c r="AM719" s="1356"/>
      <c r="AN719" s="1356"/>
      <c r="AO719" s="1357"/>
      <c r="AP719" s="3"/>
      <c r="AQ719" s="3"/>
      <c r="AR719" s="3"/>
      <c r="AS719" s="3"/>
      <c r="AZ719" s="118">
        <f t="shared" si="9"/>
        <v>2840</v>
      </c>
      <c r="BA719" s="3"/>
      <c r="BB719" s="3"/>
      <c r="BC719" s="3"/>
      <c r="BD719" s="3"/>
      <c r="BE719" s="204"/>
      <c r="BF719" s="294">
        <f t="shared" si="10"/>
        <v>17</v>
      </c>
      <c r="BG719" s="297">
        <f t="shared" si="11"/>
        <v>7.9812206572769953E-2</v>
      </c>
      <c r="BH719" s="298">
        <f t="shared" si="12"/>
        <v>3.9906103286384977E-2</v>
      </c>
      <c r="BI719" s="3"/>
      <c r="BJ719" s="3"/>
      <c r="BK719" s="3"/>
      <c r="BL719" s="3"/>
      <c r="BM719" s="3"/>
      <c r="BN719" s="3"/>
      <c r="BS719" s="294">
        <f t="shared" si="13"/>
        <v>17</v>
      </c>
      <c r="BT719" s="297">
        <f t="shared" si="14"/>
        <v>7.9812206572769953E-2</v>
      </c>
      <c r="BU719" s="298">
        <f t="shared" si="15"/>
        <v>3.9906103286384977E-2</v>
      </c>
      <c r="CC719" s="3"/>
      <c r="CD719" s="3"/>
      <c r="CE719" s="3"/>
      <c r="CF719" s="3"/>
      <c r="CG719" s="1351">
        <f t="shared" ref="CG719:CG752" si="37">IF(AND(AC719&lt;=0.5,AC719&gt;=0.36),1,0)</f>
        <v>1</v>
      </c>
      <c r="CH719" s="1353"/>
      <c r="CI719" s="1335">
        <f t="shared" ref="CI719:CI752" si="38">IF(CG719=1,G719,0)</f>
        <v>17</v>
      </c>
      <c r="CJ719" s="1337"/>
      <c r="CK719" s="1351">
        <f t="shared" si="16"/>
        <v>0</v>
      </c>
      <c r="CL719" s="1353"/>
      <c r="CM719" s="1335">
        <f t="shared" si="17"/>
        <v>0</v>
      </c>
      <c r="CN719" s="1337"/>
      <c r="CO719" s="3"/>
      <c r="CP719" s="1332">
        <f t="shared" si="18"/>
        <v>0</v>
      </c>
      <c r="CQ719" s="1333"/>
      <c r="CR719" s="1333"/>
      <c r="CS719" s="1333"/>
      <c r="CT719" s="1334"/>
      <c r="CU719" s="1354">
        <f t="shared" si="19"/>
        <v>17</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1271</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25" customHeight="1">
      <c r="A720" s="4"/>
      <c r="B720" s="1355" t="s">
        <v>325</v>
      </c>
      <c r="C720" s="1356"/>
      <c r="D720" s="1356"/>
      <c r="E720" s="1356"/>
      <c r="F720" s="1357"/>
      <c r="G720" s="1364">
        <v>23</v>
      </c>
      <c r="H720" s="1365"/>
      <c r="I720" s="1365"/>
      <c r="J720" s="1366"/>
      <c r="K720" s="1611">
        <v>496</v>
      </c>
      <c r="L720" s="1612"/>
      <c r="M720" s="1612"/>
      <c r="N720" s="1613"/>
      <c r="O720" s="1470">
        <v>703</v>
      </c>
      <c r="P720" s="1471"/>
      <c r="Q720" s="1471"/>
      <c r="R720" s="1471"/>
      <c r="S720" s="1472"/>
      <c r="T720" s="1470">
        <v>149</v>
      </c>
      <c r="U720" s="1471"/>
      <c r="V720" s="1471"/>
      <c r="W720" s="1472"/>
      <c r="X720" s="1358">
        <f t="shared" si="8"/>
        <v>852</v>
      </c>
      <c r="Y720" s="1359"/>
      <c r="Z720" s="1359"/>
      <c r="AA720" s="1359"/>
      <c r="AB720" s="1360"/>
      <c r="AC720" s="1620">
        <v>0.3</v>
      </c>
      <c r="AD720" s="1621"/>
      <c r="AE720" s="1621"/>
      <c r="AF720" s="1621"/>
      <c r="AG720" s="1622"/>
      <c r="AH720" s="1361">
        <f t="shared" si="36"/>
        <v>0.3</v>
      </c>
      <c r="AI720" s="1362"/>
      <c r="AJ720" s="1363"/>
      <c r="AK720" s="1355" t="s">
        <v>591</v>
      </c>
      <c r="AL720" s="1356"/>
      <c r="AM720" s="1356"/>
      <c r="AN720" s="1356"/>
      <c r="AO720" s="1357"/>
      <c r="AP720" s="3"/>
      <c r="AQ720" s="3"/>
      <c r="AR720" s="3"/>
      <c r="AS720" s="3"/>
      <c r="AZ720" s="118">
        <f t="shared" si="9"/>
        <v>2840</v>
      </c>
      <c r="BA720" s="3"/>
      <c r="BB720" s="3"/>
      <c r="BC720" s="3"/>
      <c r="BD720" s="3"/>
      <c r="BE720" s="204"/>
      <c r="BF720" s="294">
        <f t="shared" si="10"/>
        <v>23</v>
      </c>
      <c r="BG720" s="297">
        <f t="shared" si="11"/>
        <v>0.107981220657277</v>
      </c>
      <c r="BH720" s="298">
        <f t="shared" si="12"/>
        <v>3.2394366197183097E-2</v>
      </c>
      <c r="BI720" s="3"/>
      <c r="BJ720" s="3"/>
      <c r="BK720" s="3"/>
      <c r="BL720" s="3"/>
      <c r="BM720" s="3"/>
      <c r="BN720" s="3"/>
      <c r="BS720" s="294">
        <f t="shared" si="13"/>
        <v>23</v>
      </c>
      <c r="BT720" s="297">
        <f t="shared" si="14"/>
        <v>0.107981220657277</v>
      </c>
      <c r="BU720" s="298">
        <f t="shared" si="15"/>
        <v>3.2394366197183097E-2</v>
      </c>
      <c r="CC720" s="3"/>
      <c r="CD720" s="3"/>
      <c r="CE720" s="3"/>
      <c r="CF720" s="3"/>
      <c r="CG720" s="1351">
        <f t="shared" si="37"/>
        <v>0</v>
      </c>
      <c r="CH720" s="1353"/>
      <c r="CI720" s="1335">
        <f t="shared" si="38"/>
        <v>0</v>
      </c>
      <c r="CJ720" s="1337"/>
      <c r="CK720" s="1351">
        <f t="shared" si="16"/>
        <v>1</v>
      </c>
      <c r="CL720" s="1353"/>
      <c r="CM720" s="1335">
        <f t="shared" si="17"/>
        <v>23</v>
      </c>
      <c r="CN720" s="1337"/>
      <c r="CO720" s="3"/>
      <c r="CP720" s="1332">
        <f t="shared" si="18"/>
        <v>0</v>
      </c>
      <c r="CQ720" s="1333"/>
      <c r="CR720" s="1333"/>
      <c r="CS720" s="1333"/>
      <c r="CT720" s="1334"/>
      <c r="CU720" s="1354">
        <f t="shared" si="19"/>
        <v>23</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23</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703</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25" customHeight="1">
      <c r="B721" s="1355" t="s">
        <v>163</v>
      </c>
      <c r="C721" s="1356"/>
      <c r="D721" s="1356"/>
      <c r="E721" s="1356"/>
      <c r="F721" s="1357"/>
      <c r="G721" s="1364">
        <v>33</v>
      </c>
      <c r="H721" s="1365"/>
      <c r="I721" s="1365"/>
      <c r="J721" s="1366"/>
      <c r="K721" s="1611">
        <v>1000</v>
      </c>
      <c r="L721" s="1612"/>
      <c r="M721" s="1612"/>
      <c r="N721" s="1613"/>
      <c r="O721" s="1470">
        <v>1854</v>
      </c>
      <c r="P721" s="1471"/>
      <c r="Q721" s="1471"/>
      <c r="R721" s="1471"/>
      <c r="S721" s="1472"/>
      <c r="T721" s="1470">
        <v>190</v>
      </c>
      <c r="U721" s="1471"/>
      <c r="V721" s="1471"/>
      <c r="W721" s="1472"/>
      <c r="X721" s="1358">
        <f t="shared" si="8"/>
        <v>2044</v>
      </c>
      <c r="Y721" s="1359"/>
      <c r="Z721" s="1359"/>
      <c r="AA721" s="1359"/>
      <c r="AB721" s="1360"/>
      <c r="AC721" s="1620">
        <v>0.6</v>
      </c>
      <c r="AD721" s="1621"/>
      <c r="AE721" s="1621"/>
      <c r="AF721" s="1621"/>
      <c r="AG721" s="1622"/>
      <c r="AH721" s="1361">
        <f t="shared" si="36"/>
        <v>0.60011743981209631</v>
      </c>
      <c r="AI721" s="1362"/>
      <c r="AJ721" s="1363"/>
      <c r="AK721" s="1355" t="s">
        <v>591</v>
      </c>
      <c r="AL721" s="1356"/>
      <c r="AM721" s="1356"/>
      <c r="AN721" s="1356"/>
      <c r="AO721" s="1357"/>
      <c r="AP721" s="3"/>
      <c r="AQ721" s="3"/>
      <c r="AR721" s="3"/>
      <c r="AS721" s="3"/>
      <c r="AY721" s="116"/>
      <c r="AZ721" s="118">
        <f t="shared" si="9"/>
        <v>3406</v>
      </c>
      <c r="BA721" s="3"/>
      <c r="BB721" s="3"/>
      <c r="BC721" s="3"/>
      <c r="BD721" s="3"/>
      <c r="BE721" s="204"/>
      <c r="BF721" s="294">
        <f t="shared" si="10"/>
        <v>33</v>
      </c>
      <c r="BG721" s="297">
        <f t="shared" si="11"/>
        <v>0.15492957746478872</v>
      </c>
      <c r="BH721" s="298">
        <f t="shared" si="12"/>
        <v>9.2957746478873227E-2</v>
      </c>
      <c r="BI721" s="3"/>
      <c r="BJ721" s="3"/>
      <c r="BK721" s="3"/>
      <c r="BL721" s="3"/>
      <c r="BM721" s="3"/>
      <c r="BN721" s="3"/>
      <c r="BS721" s="294">
        <f t="shared" si="13"/>
        <v>33</v>
      </c>
      <c r="BT721" s="297">
        <f t="shared" si="14"/>
        <v>0.15492957746478872</v>
      </c>
      <c r="BU721" s="298">
        <f t="shared" si="15"/>
        <v>9.2975941379338858E-2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0</v>
      </c>
      <c r="CV721" s="1354"/>
      <c r="CW721" s="1354"/>
      <c r="CX721" s="1354"/>
      <c r="CY721" s="1354"/>
      <c r="CZ721" s="1354">
        <f t="shared" si="20"/>
        <v>33</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f t="shared" si="32"/>
        <v>1854</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25" customHeight="1">
      <c r="B722" s="1355" t="s">
        <v>163</v>
      </c>
      <c r="C722" s="1356"/>
      <c r="D722" s="1356"/>
      <c r="E722" s="1356"/>
      <c r="F722" s="1357"/>
      <c r="G722" s="1364">
        <v>5</v>
      </c>
      <c r="H722" s="1365"/>
      <c r="I722" s="1365"/>
      <c r="J722" s="1366"/>
      <c r="K722" s="1611">
        <v>1000</v>
      </c>
      <c r="L722" s="1612"/>
      <c r="M722" s="1612"/>
      <c r="N722" s="1613"/>
      <c r="O722" s="1470">
        <v>1513</v>
      </c>
      <c r="P722" s="1471"/>
      <c r="Q722" s="1471"/>
      <c r="R722" s="1471"/>
      <c r="S722" s="1472"/>
      <c r="T722" s="1470">
        <v>190</v>
      </c>
      <c r="U722" s="1471"/>
      <c r="V722" s="1471"/>
      <c r="W722" s="1472"/>
      <c r="X722" s="1358">
        <f t="shared" si="8"/>
        <v>1703</v>
      </c>
      <c r="Y722" s="1359"/>
      <c r="Z722" s="1359"/>
      <c r="AA722" s="1359"/>
      <c r="AB722" s="1360"/>
      <c r="AC722" s="1620">
        <v>0.5</v>
      </c>
      <c r="AD722" s="1621"/>
      <c r="AE722" s="1621"/>
      <c r="AF722" s="1621"/>
      <c r="AG722" s="1622"/>
      <c r="AH722" s="1361">
        <f t="shared" si="36"/>
        <v>0.5</v>
      </c>
      <c r="AI722" s="1362"/>
      <c r="AJ722" s="1363"/>
      <c r="AK722" s="1355" t="s">
        <v>591</v>
      </c>
      <c r="AL722" s="1356"/>
      <c r="AM722" s="1356"/>
      <c r="AN722" s="1356"/>
      <c r="AO722" s="1357"/>
      <c r="AP722" s="3"/>
      <c r="AQ722" s="3"/>
      <c r="AR722" s="3"/>
      <c r="AS722" s="3"/>
      <c r="AY722" s="116"/>
      <c r="AZ722" s="118">
        <f t="shared" si="9"/>
        <v>3406</v>
      </c>
      <c r="BA722" s="3"/>
      <c r="BB722" s="3"/>
      <c r="BC722" s="3"/>
      <c r="BD722" s="3"/>
      <c r="BE722" s="204"/>
      <c r="BF722" s="294">
        <f t="shared" si="10"/>
        <v>5</v>
      </c>
      <c r="BG722" s="297">
        <f t="shared" si="11"/>
        <v>2.3474178403755867E-2</v>
      </c>
      <c r="BH722" s="298">
        <f t="shared" si="12"/>
        <v>1.1737089201877934E-2</v>
      </c>
      <c r="BI722" s="3"/>
      <c r="BJ722" s="3"/>
      <c r="BK722" s="3"/>
      <c r="BL722" s="3"/>
      <c r="BM722" s="3"/>
      <c r="BN722" s="3"/>
      <c r="BS722" s="294">
        <f t="shared" si="13"/>
        <v>5</v>
      </c>
      <c r="BT722" s="297">
        <f t="shared" si="14"/>
        <v>2.3474178403755867E-2</v>
      </c>
      <c r="BU722" s="298">
        <f t="shared" si="15"/>
        <v>1.1737089201877934E-2</v>
      </c>
      <c r="CC722" s="3"/>
      <c r="CD722" s="3"/>
      <c r="CE722" s="3"/>
      <c r="CF722" s="3"/>
      <c r="CG722" s="1351">
        <f t="shared" si="37"/>
        <v>1</v>
      </c>
      <c r="CH722" s="1353"/>
      <c r="CI722" s="1335">
        <f t="shared" si="38"/>
        <v>5</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5</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1513</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25" customHeight="1">
      <c r="B723" s="1355" t="s">
        <v>163</v>
      </c>
      <c r="C723" s="1356"/>
      <c r="D723" s="1356"/>
      <c r="E723" s="1356"/>
      <c r="F723" s="1357"/>
      <c r="G723" s="1364">
        <v>5</v>
      </c>
      <c r="H723" s="1365"/>
      <c r="I723" s="1365"/>
      <c r="J723" s="1366"/>
      <c r="K723" s="1611">
        <v>1000</v>
      </c>
      <c r="L723" s="1612"/>
      <c r="M723" s="1612"/>
      <c r="N723" s="1613"/>
      <c r="O723" s="1470">
        <v>2195</v>
      </c>
      <c r="P723" s="1471"/>
      <c r="Q723" s="1471"/>
      <c r="R723" s="1471"/>
      <c r="S723" s="1472"/>
      <c r="T723" s="1470">
        <v>190</v>
      </c>
      <c r="U723" s="1471"/>
      <c r="V723" s="1471"/>
      <c r="W723" s="1472"/>
      <c r="X723" s="1358">
        <f t="shared" si="8"/>
        <v>2385</v>
      </c>
      <c r="Y723" s="1359"/>
      <c r="Z723" s="1359"/>
      <c r="AA723" s="1359"/>
      <c r="AB723" s="1360"/>
      <c r="AC723" s="1620">
        <v>0.7</v>
      </c>
      <c r="AD723" s="1621"/>
      <c r="AE723" s="1621"/>
      <c r="AF723" s="1621"/>
      <c r="AG723" s="1622"/>
      <c r="AH723" s="1361">
        <f t="shared" si="36"/>
        <v>0.70023487962419262</v>
      </c>
      <c r="AI723" s="1362"/>
      <c r="AJ723" s="1363"/>
      <c r="AK723" s="1355" t="s">
        <v>591</v>
      </c>
      <c r="AL723" s="1356"/>
      <c r="AM723" s="1356"/>
      <c r="AN723" s="1356"/>
      <c r="AO723" s="1357"/>
      <c r="AP723" s="3"/>
      <c r="AQ723" s="3"/>
      <c r="AR723" s="3"/>
      <c r="AS723" s="3"/>
      <c r="AY723" s="116"/>
      <c r="AZ723" s="118">
        <f t="shared" si="9"/>
        <v>3406</v>
      </c>
      <c r="BA723" s="3"/>
      <c r="BB723" s="3"/>
      <c r="BC723" s="3"/>
      <c r="BD723" s="3"/>
      <c r="BE723" s="204"/>
      <c r="BF723" s="294">
        <f t="shared" si="10"/>
        <v>5</v>
      </c>
      <c r="BG723" s="297">
        <f t="shared" si="11"/>
        <v>2.3474178403755867E-2</v>
      </c>
      <c r="BH723" s="298">
        <f t="shared" si="12"/>
        <v>1.6431924882629106E-2</v>
      </c>
      <c r="BI723" s="3"/>
      <c r="BJ723" s="3"/>
      <c r="BK723" s="3"/>
      <c r="BL723" s="3"/>
      <c r="BM723" s="3"/>
      <c r="BN723" s="3"/>
      <c r="BS723" s="294">
        <f t="shared" si="13"/>
        <v>5</v>
      </c>
      <c r="BT723" s="297">
        <f t="shared" si="14"/>
        <v>2.3474178403755867E-2</v>
      </c>
      <c r="BU723" s="298">
        <f t="shared" si="15"/>
        <v>1.6437438488830811E-2</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5</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2195</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25" customHeight="1">
      <c r="B724" s="1355" t="s">
        <v>164</v>
      </c>
      <c r="C724" s="1356"/>
      <c r="D724" s="1356"/>
      <c r="E724" s="1356"/>
      <c r="F724" s="1357"/>
      <c r="G724" s="1364">
        <v>8</v>
      </c>
      <c r="H724" s="1365"/>
      <c r="I724" s="1365"/>
      <c r="J724" s="1366"/>
      <c r="K724" s="1611">
        <v>1428</v>
      </c>
      <c r="L724" s="1612"/>
      <c r="M724" s="1612"/>
      <c r="N724" s="1613"/>
      <c r="O724" s="1470">
        <v>2127</v>
      </c>
      <c r="P724" s="1471"/>
      <c r="Q724" s="1471"/>
      <c r="R724" s="1471"/>
      <c r="S724" s="1472"/>
      <c r="T724" s="1470">
        <v>236</v>
      </c>
      <c r="U724" s="1471"/>
      <c r="V724" s="1471"/>
      <c r="W724" s="1472"/>
      <c r="X724" s="1358">
        <f t="shared" si="8"/>
        <v>2363</v>
      </c>
      <c r="Y724" s="1359"/>
      <c r="Z724" s="1359"/>
      <c r="AA724" s="1359"/>
      <c r="AB724" s="1360"/>
      <c r="AC724" s="1620">
        <v>0.6</v>
      </c>
      <c r="AD724" s="1621"/>
      <c r="AE724" s="1621"/>
      <c r="AF724" s="1621"/>
      <c r="AG724" s="1622"/>
      <c r="AH724" s="1361">
        <f t="shared" si="36"/>
        <v>0.60005078720162519</v>
      </c>
      <c r="AI724" s="1362"/>
      <c r="AJ724" s="1363"/>
      <c r="AK724" s="1355" t="s">
        <v>591</v>
      </c>
      <c r="AL724" s="1356"/>
      <c r="AM724" s="1356"/>
      <c r="AN724" s="1356"/>
      <c r="AO724" s="1357"/>
      <c r="AP724" s="3"/>
      <c r="AQ724" s="3"/>
      <c r="AR724" s="3"/>
      <c r="AS724" s="3"/>
      <c r="AY724" s="116"/>
      <c r="AZ724" s="118">
        <f t="shared" si="9"/>
        <v>3938</v>
      </c>
      <c r="BA724" s="3"/>
      <c r="BB724" s="3"/>
      <c r="BC724" s="3"/>
      <c r="BD724" s="3"/>
      <c r="BE724" s="204"/>
      <c r="BF724" s="294">
        <f t="shared" si="10"/>
        <v>8</v>
      </c>
      <c r="BG724" s="297">
        <f t="shared" si="11"/>
        <v>3.7558685446009391E-2</v>
      </c>
      <c r="BH724" s="298">
        <f t="shared" si="12"/>
        <v>2.2535211267605635E-2</v>
      </c>
      <c r="BI724" s="3"/>
      <c r="BJ724" s="3"/>
      <c r="BK724" s="3"/>
      <c r="BL724" s="3"/>
      <c r="BM724" s="3"/>
      <c r="BN724" s="3"/>
      <c r="BS724" s="294">
        <f t="shared" si="13"/>
        <v>8</v>
      </c>
      <c r="BT724" s="297">
        <f t="shared" si="14"/>
        <v>3.7558685446009391E-2</v>
      </c>
      <c r="BU724" s="298">
        <f t="shared" si="15"/>
        <v>2.2537118768136157E-2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8</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2127</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25" customHeight="1">
      <c r="B725" s="1355" t="s">
        <v>164</v>
      </c>
      <c r="C725" s="1356"/>
      <c r="D725" s="1356"/>
      <c r="E725" s="1356"/>
      <c r="F725" s="1357"/>
      <c r="G725" s="1364">
        <v>5</v>
      </c>
      <c r="H725" s="1365"/>
      <c r="I725" s="1365"/>
      <c r="J725" s="1366"/>
      <c r="K725" s="1611">
        <v>1428</v>
      </c>
      <c r="L725" s="1612"/>
      <c r="M725" s="1612"/>
      <c r="N725" s="1613"/>
      <c r="O725" s="1470">
        <v>1733</v>
      </c>
      <c r="P725" s="1471"/>
      <c r="Q725" s="1471"/>
      <c r="R725" s="1471"/>
      <c r="S725" s="1472"/>
      <c r="T725" s="1470">
        <v>236</v>
      </c>
      <c r="U725" s="1471"/>
      <c r="V725" s="1471"/>
      <c r="W725" s="1472"/>
      <c r="X725" s="1358">
        <f t="shared" si="8"/>
        <v>1969</v>
      </c>
      <c r="Y725" s="1359"/>
      <c r="Z725" s="1359"/>
      <c r="AA725" s="1359"/>
      <c r="AB725" s="1360"/>
      <c r="AC725" s="1620">
        <v>0.5</v>
      </c>
      <c r="AD725" s="1621"/>
      <c r="AE725" s="1621"/>
      <c r="AF725" s="1621"/>
      <c r="AG725" s="1622"/>
      <c r="AH725" s="1361">
        <f t="shared" si="36"/>
        <v>0.5</v>
      </c>
      <c r="AI725" s="1362"/>
      <c r="AJ725" s="1363"/>
      <c r="AK725" s="1355" t="s">
        <v>591</v>
      </c>
      <c r="AL725" s="1356"/>
      <c r="AM725" s="1356"/>
      <c r="AN725" s="1356"/>
      <c r="AO725" s="1357"/>
      <c r="AP725" s="3"/>
      <c r="AQ725" s="3"/>
      <c r="AR725" s="3"/>
      <c r="AS725" s="3"/>
      <c r="AY725" s="1085"/>
      <c r="AZ725" s="118">
        <f t="shared" si="9"/>
        <v>3938</v>
      </c>
      <c r="BA725" s="3"/>
      <c r="BB725" s="3"/>
      <c r="BC725" s="3"/>
      <c r="BD725" s="3"/>
      <c r="BE725" s="204"/>
      <c r="BF725" s="294">
        <f t="shared" si="10"/>
        <v>5</v>
      </c>
      <c r="BG725" s="297">
        <f t="shared" si="11"/>
        <v>2.3474178403755867E-2</v>
      </c>
      <c r="BH725" s="298">
        <f t="shared" si="12"/>
        <v>1.1737089201877934E-2</v>
      </c>
      <c r="BI725" s="3"/>
      <c r="BJ725" s="3"/>
      <c r="BK725" s="3"/>
      <c r="BL725" s="3"/>
      <c r="BM725" s="3"/>
      <c r="BN725" s="3"/>
      <c r="BS725" s="294">
        <f t="shared" si="13"/>
        <v>5</v>
      </c>
      <c r="BT725" s="297">
        <f t="shared" si="14"/>
        <v>2.3474178403755867E-2</v>
      </c>
      <c r="BU725" s="298">
        <f t="shared" si="15"/>
        <v>1.1737089201877934E-2</v>
      </c>
      <c r="BV725" s="292"/>
      <c r="BW725" s="3"/>
      <c r="BX725" s="3"/>
      <c r="BY725" s="3"/>
      <c r="BZ725" s="3"/>
      <c r="CA725" s="3"/>
      <c r="CB725" s="3"/>
      <c r="CC725" s="3"/>
      <c r="CE725" s="3"/>
      <c r="CF725" s="3"/>
      <c r="CG725" s="1351">
        <f t="shared" si="37"/>
        <v>1</v>
      </c>
      <c r="CH725" s="1353"/>
      <c r="CI725" s="1335">
        <f t="shared" si="38"/>
        <v>5</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5</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1733</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25" customHeight="1">
      <c r="B726" s="1355" t="s">
        <v>164</v>
      </c>
      <c r="C726" s="1356"/>
      <c r="D726" s="1356"/>
      <c r="E726" s="1356"/>
      <c r="F726" s="1357"/>
      <c r="G726" s="1364">
        <v>30</v>
      </c>
      <c r="H726" s="1365"/>
      <c r="I726" s="1365"/>
      <c r="J726" s="1366"/>
      <c r="K726" s="1611">
        <v>1428</v>
      </c>
      <c r="L726" s="1612"/>
      <c r="M726" s="1612"/>
      <c r="N726" s="1613"/>
      <c r="O726" s="1470">
        <v>2521</v>
      </c>
      <c r="P726" s="1471"/>
      <c r="Q726" s="1471"/>
      <c r="R726" s="1471"/>
      <c r="S726" s="1472"/>
      <c r="T726" s="1470">
        <v>236</v>
      </c>
      <c r="U726" s="1471"/>
      <c r="V726" s="1471"/>
      <c r="W726" s="1472"/>
      <c r="X726" s="1358">
        <f t="shared" si="8"/>
        <v>2757</v>
      </c>
      <c r="Y726" s="1359"/>
      <c r="Z726" s="1359"/>
      <c r="AA726" s="1359"/>
      <c r="AB726" s="1360"/>
      <c r="AC726" s="1620">
        <v>0.7</v>
      </c>
      <c r="AD726" s="1621"/>
      <c r="AE726" s="1621"/>
      <c r="AF726" s="1621"/>
      <c r="AG726" s="1622"/>
      <c r="AH726" s="1361">
        <f t="shared" si="36"/>
        <v>0.70010157440325038</v>
      </c>
      <c r="AI726" s="1362"/>
      <c r="AJ726" s="1363"/>
      <c r="AK726" s="1355" t="s">
        <v>591</v>
      </c>
      <c r="AL726" s="1356"/>
      <c r="AM726" s="1356"/>
      <c r="AN726" s="1356"/>
      <c r="AO726" s="1357"/>
      <c r="AP726" s="3"/>
      <c r="AQ726" s="3"/>
      <c r="AR726" s="3"/>
      <c r="AS726" s="3"/>
      <c r="AY726" s="1085"/>
      <c r="AZ726" s="118">
        <f t="shared" si="9"/>
        <v>3938</v>
      </c>
      <c r="BA726" s="3"/>
      <c r="BB726" s="3"/>
      <c r="BC726" s="3"/>
      <c r="BD726" s="3"/>
      <c r="BE726" s="204"/>
      <c r="BF726" s="294">
        <f t="shared" si="10"/>
        <v>30</v>
      </c>
      <c r="BG726" s="297">
        <f t="shared" si="11"/>
        <v>0.14084507042253522</v>
      </c>
      <c r="BH726" s="298">
        <f t="shared" si="12"/>
        <v>9.8591549295774641E-2</v>
      </c>
      <c r="BI726" s="3"/>
      <c r="BJ726" s="3"/>
      <c r="BK726" s="3"/>
      <c r="BL726" s="3"/>
      <c r="BM726" s="3"/>
      <c r="BN726" s="3"/>
      <c r="BS726" s="294">
        <f t="shared" si="13"/>
        <v>30</v>
      </c>
      <c r="BT726" s="297">
        <f t="shared" si="14"/>
        <v>0.14084507042253522</v>
      </c>
      <c r="BU726" s="298">
        <f t="shared" si="15"/>
        <v>9.8605855549753582E-2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30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2521</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25" customHeight="1">
      <c r="A727" s="4"/>
      <c r="B727" s="1355" t="s">
        <v>164</v>
      </c>
      <c r="C727" s="1356"/>
      <c r="D727" s="1356"/>
      <c r="E727" s="1356"/>
      <c r="F727" s="1357"/>
      <c r="G727" s="1364">
        <v>7</v>
      </c>
      <c r="H727" s="1365"/>
      <c r="I727" s="1365"/>
      <c r="J727" s="1366"/>
      <c r="K727" s="1611">
        <v>1200</v>
      </c>
      <c r="L727" s="1612"/>
      <c r="M727" s="1612"/>
      <c r="N727" s="1613"/>
      <c r="O727" s="1470">
        <v>2127</v>
      </c>
      <c r="P727" s="1471"/>
      <c r="Q727" s="1471"/>
      <c r="R727" s="1471"/>
      <c r="S727" s="1472"/>
      <c r="T727" s="1470">
        <v>236</v>
      </c>
      <c r="U727" s="1471"/>
      <c r="V727" s="1471"/>
      <c r="W727" s="1472"/>
      <c r="X727" s="1358">
        <f t="shared" si="8"/>
        <v>2363</v>
      </c>
      <c r="Y727" s="1359"/>
      <c r="Z727" s="1359"/>
      <c r="AA727" s="1359"/>
      <c r="AB727" s="1360"/>
      <c r="AC727" s="1620">
        <v>0.6</v>
      </c>
      <c r="AD727" s="1621"/>
      <c r="AE727" s="1621"/>
      <c r="AF727" s="1621"/>
      <c r="AG727" s="1622"/>
      <c r="AH727" s="1361">
        <f t="shared" si="36"/>
        <v>0.60005078720162519</v>
      </c>
      <c r="AI727" s="1362"/>
      <c r="AJ727" s="1363"/>
      <c r="AK727" s="1355" t="s">
        <v>591</v>
      </c>
      <c r="AL727" s="1356"/>
      <c r="AM727" s="1356"/>
      <c r="AN727" s="1356"/>
      <c r="AO727" s="1357"/>
      <c r="AP727" s="3"/>
      <c r="AQ727" s="3"/>
      <c r="AR727" s="3"/>
      <c r="AS727" s="3"/>
      <c r="AY727" s="1085"/>
      <c r="AZ727" s="118">
        <f t="shared" si="9"/>
        <v>3938</v>
      </c>
      <c r="BA727" s="3"/>
      <c r="BB727" s="3"/>
      <c r="BC727" s="3"/>
      <c r="BD727" s="3"/>
      <c r="BE727" s="204"/>
      <c r="BF727" s="294">
        <f t="shared" si="10"/>
        <v>7</v>
      </c>
      <c r="BG727" s="297">
        <f t="shared" si="11"/>
        <v>3.2863849765258218E-2</v>
      </c>
      <c r="BH727" s="298">
        <f t="shared" si="12"/>
        <v>1.9718309859154931E-2</v>
      </c>
      <c r="BI727" s="3"/>
      <c r="BJ727" s="3"/>
      <c r="BK727" s="3"/>
      <c r="BL727" s="3"/>
      <c r="BM727" s="3"/>
      <c r="BN727" s="3"/>
      <c r="BS727" s="294">
        <f t="shared" si="13"/>
        <v>7</v>
      </c>
      <c r="BT727" s="297">
        <f t="shared" si="14"/>
        <v>3.2863849765258218E-2</v>
      </c>
      <c r="BU727" s="298">
        <f t="shared" si="15"/>
        <v>1.9719978922119141E-2</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7</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2127</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25" customHeight="1">
      <c r="A728" s="4"/>
      <c r="B728" s="1355" t="s">
        <v>164</v>
      </c>
      <c r="C728" s="1356"/>
      <c r="D728" s="1356"/>
      <c r="E728" s="1356"/>
      <c r="F728" s="1357"/>
      <c r="G728" s="1364">
        <v>4</v>
      </c>
      <c r="H728" s="1365"/>
      <c r="I728" s="1365"/>
      <c r="J728" s="1366"/>
      <c r="K728" s="1611">
        <v>1200</v>
      </c>
      <c r="L728" s="1612"/>
      <c r="M728" s="1612"/>
      <c r="N728" s="1613"/>
      <c r="O728" s="1470">
        <v>1733</v>
      </c>
      <c r="P728" s="1471"/>
      <c r="Q728" s="1471"/>
      <c r="R728" s="1471"/>
      <c r="S728" s="1472"/>
      <c r="T728" s="1470">
        <v>236</v>
      </c>
      <c r="U728" s="1471"/>
      <c r="V728" s="1471"/>
      <c r="W728" s="1472"/>
      <c r="X728" s="1358">
        <f t="shared" si="8"/>
        <v>1969</v>
      </c>
      <c r="Y728" s="1359"/>
      <c r="Z728" s="1359"/>
      <c r="AA728" s="1359"/>
      <c r="AB728" s="1360"/>
      <c r="AC728" s="1620">
        <v>0.5</v>
      </c>
      <c r="AD728" s="1621"/>
      <c r="AE728" s="1621"/>
      <c r="AF728" s="1621"/>
      <c r="AG728" s="1622"/>
      <c r="AH728" s="1361">
        <f t="shared" si="36"/>
        <v>0.5</v>
      </c>
      <c r="AI728" s="1362"/>
      <c r="AJ728" s="1363"/>
      <c r="AK728" s="1355" t="s">
        <v>591</v>
      </c>
      <c r="AL728" s="1356"/>
      <c r="AM728" s="1356"/>
      <c r="AN728" s="1356"/>
      <c r="AO728" s="1357"/>
      <c r="AP728" s="3"/>
      <c r="AQ728" s="3"/>
      <c r="AR728" s="3"/>
      <c r="AS728" s="3"/>
      <c r="AY728" s="1085"/>
      <c r="AZ728" s="118">
        <f t="shared" si="9"/>
        <v>3938</v>
      </c>
      <c r="BA728" s="3"/>
      <c r="BB728" s="3"/>
      <c r="BC728" s="3"/>
      <c r="BD728" s="3"/>
      <c r="BE728" s="204"/>
      <c r="BF728" s="294">
        <f t="shared" si="10"/>
        <v>4</v>
      </c>
      <c r="BG728" s="297">
        <f t="shared" si="11"/>
        <v>1.8779342723004695E-2</v>
      </c>
      <c r="BH728" s="298">
        <f t="shared" si="12"/>
        <v>9.3896713615023476E-3</v>
      </c>
      <c r="BI728" s="3"/>
      <c r="BJ728" s="3"/>
      <c r="BK728" s="3"/>
      <c r="BL728" s="3"/>
      <c r="BM728" s="3"/>
      <c r="BN728" s="3"/>
      <c r="BS728" s="294">
        <f t="shared" si="13"/>
        <v>4</v>
      </c>
      <c r="BT728" s="297">
        <f t="shared" si="14"/>
        <v>1.8779342723004695E-2</v>
      </c>
      <c r="BU728" s="298">
        <f t="shared" si="15"/>
        <v>9.3896713615023476E-3</v>
      </c>
      <c r="BV728" s="3"/>
      <c r="BW728" s="3"/>
      <c r="BX728" s="3"/>
      <c r="BY728" s="3"/>
      <c r="BZ728" s="3"/>
      <c r="CA728" s="3"/>
      <c r="CB728" s="3"/>
      <c r="CC728" s="3"/>
      <c r="CE728" s="3"/>
      <c r="CF728" s="3"/>
      <c r="CG728" s="1351">
        <f t="shared" si="37"/>
        <v>1</v>
      </c>
      <c r="CH728" s="1353"/>
      <c r="CI728" s="1335">
        <f t="shared" si="38"/>
        <v>4</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4</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1733</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25" customHeight="1">
      <c r="A729" s="4"/>
      <c r="B729" s="1355" t="s">
        <v>164</v>
      </c>
      <c r="C729" s="1356"/>
      <c r="D729" s="1356"/>
      <c r="E729" s="1356"/>
      <c r="F729" s="1357"/>
      <c r="G729" s="1364">
        <v>30</v>
      </c>
      <c r="H729" s="1365"/>
      <c r="I729" s="1365"/>
      <c r="J729" s="1366"/>
      <c r="K729" s="1611">
        <v>1200</v>
      </c>
      <c r="L729" s="1612"/>
      <c r="M729" s="1612"/>
      <c r="N729" s="1613"/>
      <c r="O729" s="1470">
        <v>2521</v>
      </c>
      <c r="P729" s="1471"/>
      <c r="Q729" s="1471"/>
      <c r="R729" s="1471"/>
      <c r="S729" s="1472"/>
      <c r="T729" s="1470">
        <v>236</v>
      </c>
      <c r="U729" s="1471"/>
      <c r="V729" s="1471"/>
      <c r="W729" s="1472"/>
      <c r="X729" s="1358">
        <f t="shared" si="8"/>
        <v>2757</v>
      </c>
      <c r="Y729" s="1359"/>
      <c r="Z729" s="1359"/>
      <c r="AA729" s="1359"/>
      <c r="AB729" s="1360"/>
      <c r="AC729" s="1620">
        <v>0.7</v>
      </c>
      <c r="AD729" s="1621"/>
      <c r="AE729" s="1621"/>
      <c r="AF729" s="1621"/>
      <c r="AG729" s="1622"/>
      <c r="AH729" s="1361">
        <f t="shared" si="36"/>
        <v>0.70010157440325038</v>
      </c>
      <c r="AI729" s="1362"/>
      <c r="AJ729" s="1363"/>
      <c r="AK729" s="1355" t="s">
        <v>591</v>
      </c>
      <c r="AL729" s="1356"/>
      <c r="AM729" s="1356"/>
      <c r="AN729" s="1356"/>
      <c r="AO729" s="1357"/>
      <c r="AP729" s="3"/>
      <c r="AQ729" s="3"/>
      <c r="AR729" s="3"/>
      <c r="AS729" s="3"/>
      <c r="AY729" s="1085"/>
      <c r="AZ729" s="118">
        <f t="shared" si="9"/>
        <v>3938</v>
      </c>
      <c r="BA729" s="3"/>
      <c r="BB729" s="3"/>
      <c r="BC729" s="3"/>
      <c r="BD729" s="3"/>
      <c r="BE729" s="204"/>
      <c r="BF729" s="294">
        <f t="shared" si="10"/>
        <v>30</v>
      </c>
      <c r="BG729" s="297">
        <f t="shared" si="11"/>
        <v>0.14084507042253522</v>
      </c>
      <c r="BH729" s="298">
        <f t="shared" si="12"/>
        <v>9.8591549295774641E-2</v>
      </c>
      <c r="BI729" s="3"/>
      <c r="BJ729" s="3"/>
      <c r="BK729" s="3"/>
      <c r="BL729" s="3"/>
      <c r="BM729" s="3"/>
      <c r="BN729" s="3"/>
      <c r="BS729" s="294">
        <f t="shared" si="13"/>
        <v>30</v>
      </c>
      <c r="BT729" s="297">
        <f t="shared" si="14"/>
        <v>0.14084507042253522</v>
      </c>
      <c r="BU729" s="298">
        <f t="shared" si="15"/>
        <v>9.8605855549753582E-2</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30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2521</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25" customHeight="1">
      <c r="B730" s="1355" t="s">
        <v>165</v>
      </c>
      <c r="C730" s="1356"/>
      <c r="D730" s="1356"/>
      <c r="E730" s="1356"/>
      <c r="F730" s="1357"/>
      <c r="G730" s="1364">
        <v>5</v>
      </c>
      <c r="H730" s="1365"/>
      <c r="I730" s="1365"/>
      <c r="J730" s="1366"/>
      <c r="K730" s="1611">
        <v>1710</v>
      </c>
      <c r="L730" s="1612"/>
      <c r="M730" s="1612"/>
      <c r="N730" s="1613"/>
      <c r="O730" s="1470">
        <v>1899</v>
      </c>
      <c r="P730" s="1471"/>
      <c r="Q730" s="1471"/>
      <c r="R730" s="1471"/>
      <c r="S730" s="1472"/>
      <c r="T730" s="1470">
        <v>297</v>
      </c>
      <c r="U730" s="1471"/>
      <c r="V730" s="1471"/>
      <c r="W730" s="1472"/>
      <c r="X730" s="1358">
        <f t="shared" si="8"/>
        <v>2196</v>
      </c>
      <c r="Y730" s="1359"/>
      <c r="Z730" s="1359"/>
      <c r="AA730" s="1359"/>
      <c r="AB730" s="1360"/>
      <c r="AC730" s="1620">
        <v>0.5</v>
      </c>
      <c r="AD730" s="1621"/>
      <c r="AE730" s="1621"/>
      <c r="AF730" s="1621"/>
      <c r="AG730" s="1622"/>
      <c r="AH730" s="1361">
        <f t="shared" si="36"/>
        <v>0.5</v>
      </c>
      <c r="AI730" s="1362"/>
      <c r="AJ730" s="1363"/>
      <c r="AK730" s="1355" t="s">
        <v>591</v>
      </c>
      <c r="AL730" s="1356"/>
      <c r="AM730" s="1356"/>
      <c r="AN730" s="1356"/>
      <c r="AO730" s="1357"/>
      <c r="AP730" s="3"/>
      <c r="AQ730" s="3"/>
      <c r="AR730" s="3"/>
      <c r="AS730" s="3"/>
      <c r="AY730" s="1085"/>
      <c r="AZ730" s="118">
        <f t="shared" si="9"/>
        <v>4392</v>
      </c>
      <c r="BA730" s="3"/>
      <c r="BB730" s="3"/>
      <c r="BC730" s="3"/>
      <c r="BD730" s="3"/>
      <c r="BE730" s="204"/>
      <c r="BF730" s="294">
        <f t="shared" si="10"/>
        <v>5</v>
      </c>
      <c r="BG730" s="297">
        <f t="shared" si="11"/>
        <v>2.3474178403755867E-2</v>
      </c>
      <c r="BH730" s="298">
        <f t="shared" si="12"/>
        <v>1.1737089201877934E-2</v>
      </c>
      <c r="BI730" s="3"/>
      <c r="BJ730" s="3"/>
      <c r="BK730" s="3"/>
      <c r="BL730" s="3"/>
      <c r="BM730" s="3"/>
      <c r="BN730" s="3"/>
      <c r="BS730" s="294">
        <f t="shared" si="13"/>
        <v>5</v>
      </c>
      <c r="BT730" s="297">
        <f t="shared" si="14"/>
        <v>2.3474178403755867E-2</v>
      </c>
      <c r="BU730" s="298">
        <f t="shared" si="15"/>
        <v>1.1737089201877934E-2</v>
      </c>
      <c r="BV730" s="3"/>
      <c r="BW730" s="3"/>
      <c r="BX730" s="3"/>
      <c r="BY730" s="3"/>
      <c r="BZ730" s="3"/>
      <c r="CA730" s="3"/>
      <c r="CB730" s="3"/>
      <c r="CC730" s="3"/>
      <c r="CE730" s="3"/>
      <c r="CF730" s="3"/>
      <c r="CG730" s="1351">
        <f t="shared" si="37"/>
        <v>1</v>
      </c>
      <c r="CH730" s="1353"/>
      <c r="CI730" s="1335">
        <f t="shared" si="38"/>
        <v>5</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5</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f t="shared" si="34"/>
        <v>1899</v>
      </c>
      <c r="FU730" s="1352"/>
      <c r="FV730" s="1352"/>
      <c r="FW730" s="1352"/>
      <c r="FX730" s="1353"/>
      <c r="FY730" s="1351" t="str">
        <f t="shared" si="35"/>
        <v/>
      </c>
      <c r="FZ730" s="1352"/>
      <c r="GA730" s="1352"/>
      <c r="GB730" s="1352"/>
      <c r="GC730" s="1353"/>
    </row>
    <row r="731" spans="1:185" ht="13.25" customHeight="1">
      <c r="B731" s="1355" t="s">
        <v>165</v>
      </c>
      <c r="C731" s="1356"/>
      <c r="D731" s="1356"/>
      <c r="E731" s="1356"/>
      <c r="F731" s="1357"/>
      <c r="G731" s="1364">
        <v>38</v>
      </c>
      <c r="H731" s="1365"/>
      <c r="I731" s="1365"/>
      <c r="J731" s="1366"/>
      <c r="K731" s="1611">
        <v>1710</v>
      </c>
      <c r="L731" s="1612"/>
      <c r="M731" s="1612"/>
      <c r="N731" s="1613"/>
      <c r="O731" s="1470">
        <v>2777</v>
      </c>
      <c r="P731" s="1471"/>
      <c r="Q731" s="1471"/>
      <c r="R731" s="1471"/>
      <c r="S731" s="1472"/>
      <c r="T731" s="1470">
        <v>297</v>
      </c>
      <c r="U731" s="1471"/>
      <c r="V731" s="1471"/>
      <c r="W731" s="1472"/>
      <c r="X731" s="1358">
        <f t="shared" si="8"/>
        <v>3074</v>
      </c>
      <c r="Y731" s="1359"/>
      <c r="Z731" s="1359"/>
      <c r="AA731" s="1359"/>
      <c r="AB731" s="1360"/>
      <c r="AC731" s="1620">
        <v>0.7</v>
      </c>
      <c r="AD731" s="1621"/>
      <c r="AE731" s="1621"/>
      <c r="AF731" s="1621"/>
      <c r="AG731" s="1622"/>
      <c r="AH731" s="1361">
        <f t="shared" si="36"/>
        <v>0.69990892531876137</v>
      </c>
      <c r="AI731" s="1362"/>
      <c r="AJ731" s="1363"/>
      <c r="AK731" s="1355" t="s">
        <v>591</v>
      </c>
      <c r="AL731" s="1356"/>
      <c r="AM731" s="1356"/>
      <c r="AN731" s="1356"/>
      <c r="AO731" s="1357"/>
      <c r="AP731" s="3"/>
      <c r="AQ731" s="3"/>
      <c r="AR731" s="3"/>
      <c r="AS731" s="3"/>
      <c r="AY731" s="1085"/>
      <c r="AZ731" s="118">
        <f t="shared" si="9"/>
        <v>4392</v>
      </c>
      <c r="BA731" s="3"/>
      <c r="BB731" s="3"/>
      <c r="BC731" s="3"/>
      <c r="BD731" s="3"/>
      <c r="BE731" s="204"/>
      <c r="BF731" s="294">
        <f t="shared" si="10"/>
        <v>38</v>
      </c>
      <c r="BG731" s="297">
        <f t="shared" si="11"/>
        <v>0.17840375586854459</v>
      </c>
      <c r="BH731" s="298">
        <f t="shared" si="12"/>
        <v>0.1248826291079812</v>
      </c>
      <c r="BI731" s="3"/>
      <c r="BJ731" s="3"/>
      <c r="BK731" s="3"/>
      <c r="BL731" s="3"/>
      <c r="BM731" s="3"/>
      <c r="BN731" s="3"/>
      <c r="BS731" s="294">
        <f t="shared" si="13"/>
        <v>38</v>
      </c>
      <c r="BT731" s="297">
        <f t="shared" si="14"/>
        <v>0.17840375586854459</v>
      </c>
      <c r="BU731" s="298">
        <f t="shared" si="15"/>
        <v>0.12486638104278372</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38</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f t="shared" si="34"/>
        <v>2777</v>
      </c>
      <c r="FU731" s="1352"/>
      <c r="FV731" s="1352"/>
      <c r="FW731" s="1352"/>
      <c r="FX731" s="1353"/>
      <c r="FY731" s="1351" t="str">
        <f t="shared" si="35"/>
        <v/>
      </c>
      <c r="FZ731" s="1352"/>
      <c r="GA731" s="1352"/>
      <c r="GB731" s="1352"/>
      <c r="GC731" s="1353"/>
    </row>
    <row r="732" spans="1:185" ht="13.25" customHeight="1">
      <c r="B732" s="1355"/>
      <c r="C732" s="1356"/>
      <c r="D732" s="1356"/>
      <c r="E732" s="1356"/>
      <c r="F732" s="1357"/>
      <c r="G732" s="1364"/>
      <c r="H732" s="1365"/>
      <c r="I732" s="1365"/>
      <c r="J732" s="1366"/>
      <c r="K732" s="1611"/>
      <c r="L732" s="1612"/>
      <c r="M732" s="1612"/>
      <c r="N732" s="1613"/>
      <c r="O732" s="1470"/>
      <c r="P732" s="1471"/>
      <c r="Q732" s="1471"/>
      <c r="R732" s="1471"/>
      <c r="S732" s="1472"/>
      <c r="T732" s="1470"/>
      <c r="U732" s="1471"/>
      <c r="V732" s="1471"/>
      <c r="W732" s="1472"/>
      <c r="X732" s="1358">
        <f t="shared" si="8"/>
        <v>0</v>
      </c>
      <c r="Y732" s="1359"/>
      <c r="Z732" s="1359"/>
      <c r="AA732" s="1359"/>
      <c r="AB732" s="1360"/>
      <c r="AC732" s="1620"/>
      <c r="AD732" s="1621"/>
      <c r="AE732" s="1621"/>
      <c r="AF732" s="1621"/>
      <c r="AG732" s="1622"/>
      <c r="AH732" s="1361" t="str">
        <f t="shared" si="36"/>
        <v/>
      </c>
      <c r="AI732" s="1362"/>
      <c r="AJ732" s="1363"/>
      <c r="AK732" s="1355" t="s">
        <v>591</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25" customHeight="1">
      <c r="B733" s="1355"/>
      <c r="C733" s="1356"/>
      <c r="D733" s="1356"/>
      <c r="E733" s="1356"/>
      <c r="F733" s="1357"/>
      <c r="G733" s="1364"/>
      <c r="H733" s="1365"/>
      <c r="I733" s="1365"/>
      <c r="J733" s="1366"/>
      <c r="K733" s="1611"/>
      <c r="L733" s="1612"/>
      <c r="M733" s="1612"/>
      <c r="N733" s="1613"/>
      <c r="O733" s="1470"/>
      <c r="P733" s="1471"/>
      <c r="Q733" s="1471"/>
      <c r="R733" s="1471"/>
      <c r="S733" s="1472"/>
      <c r="T733" s="1470"/>
      <c r="U733" s="1471"/>
      <c r="V733" s="1471"/>
      <c r="W733" s="1472"/>
      <c r="X733" s="1358">
        <f t="shared" si="8"/>
        <v>0</v>
      </c>
      <c r="Y733" s="1359"/>
      <c r="Z733" s="1359"/>
      <c r="AA733" s="1359"/>
      <c r="AB733" s="1360"/>
      <c r="AC733" s="1620"/>
      <c r="AD733" s="1621"/>
      <c r="AE733" s="1621"/>
      <c r="AF733" s="1621"/>
      <c r="AG733" s="1622"/>
      <c r="AH733" s="1361" t="str">
        <f t="shared" si="36"/>
        <v/>
      </c>
      <c r="AI733" s="1362"/>
      <c r="AJ733" s="1363"/>
      <c r="AK733" s="1355" t="s">
        <v>591</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25" customHeight="1">
      <c r="B734" s="1355"/>
      <c r="C734" s="1356"/>
      <c r="D734" s="1356"/>
      <c r="E734" s="1356"/>
      <c r="F734" s="1357"/>
      <c r="G734" s="1364"/>
      <c r="H734" s="1365"/>
      <c r="I734" s="1365"/>
      <c r="J734" s="1366"/>
      <c r="K734" s="1611"/>
      <c r="L734" s="1612"/>
      <c r="M734" s="1612"/>
      <c r="N734" s="1613"/>
      <c r="O734" s="1470"/>
      <c r="P734" s="1471"/>
      <c r="Q734" s="1471"/>
      <c r="R734" s="1471"/>
      <c r="S734" s="1472"/>
      <c r="T734" s="1470"/>
      <c r="U734" s="1471"/>
      <c r="V734" s="1471"/>
      <c r="W734" s="1472"/>
      <c r="X734" s="1358">
        <f t="shared" si="8"/>
        <v>0</v>
      </c>
      <c r="Y734" s="1359"/>
      <c r="Z734" s="1359"/>
      <c r="AA734" s="1359"/>
      <c r="AB734" s="1360"/>
      <c r="AC734" s="1620"/>
      <c r="AD734" s="1621"/>
      <c r="AE734" s="1621"/>
      <c r="AF734" s="1621"/>
      <c r="AG734" s="1622"/>
      <c r="AH734" s="1361" t="str">
        <f t="shared" si="36"/>
        <v/>
      </c>
      <c r="AI734" s="1362"/>
      <c r="AJ734" s="1363"/>
      <c r="AK734" s="1355" t="s">
        <v>591</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25" customHeight="1">
      <c r="B735" s="1355"/>
      <c r="C735" s="1356"/>
      <c r="D735" s="1356"/>
      <c r="E735" s="1356"/>
      <c r="F735" s="1357"/>
      <c r="G735" s="1364"/>
      <c r="H735" s="1365"/>
      <c r="I735" s="1365"/>
      <c r="J735" s="1366"/>
      <c r="K735" s="1611"/>
      <c r="L735" s="1612"/>
      <c r="M735" s="1612"/>
      <c r="N735" s="1613"/>
      <c r="O735" s="1470"/>
      <c r="P735" s="1471"/>
      <c r="Q735" s="1471"/>
      <c r="R735" s="1471"/>
      <c r="S735" s="1472"/>
      <c r="T735" s="1470"/>
      <c r="U735" s="1471"/>
      <c r="V735" s="1471"/>
      <c r="W735" s="1472"/>
      <c r="X735" s="1358">
        <f t="shared" si="8"/>
        <v>0</v>
      </c>
      <c r="Y735" s="1359"/>
      <c r="Z735" s="1359"/>
      <c r="AA735" s="1359"/>
      <c r="AB735" s="1360"/>
      <c r="AC735" s="1620"/>
      <c r="AD735" s="1621"/>
      <c r="AE735" s="1621"/>
      <c r="AF735" s="1621"/>
      <c r="AG735" s="1622"/>
      <c r="AH735" s="1361" t="str">
        <f t="shared" si="36"/>
        <v/>
      </c>
      <c r="AI735" s="1362"/>
      <c r="AJ735" s="1363"/>
      <c r="AK735" s="1355" t="s">
        <v>591</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25" customHeight="1">
      <c r="B736" s="1355"/>
      <c r="C736" s="1356"/>
      <c r="D736" s="1356"/>
      <c r="E736" s="1356"/>
      <c r="F736" s="1357"/>
      <c r="G736" s="1364"/>
      <c r="H736" s="1365"/>
      <c r="I736" s="1365"/>
      <c r="J736" s="1366"/>
      <c r="K736" s="1611"/>
      <c r="L736" s="1612"/>
      <c r="M736" s="1612"/>
      <c r="N736" s="1613"/>
      <c r="O736" s="1470"/>
      <c r="P736" s="1471"/>
      <c r="Q736" s="1471"/>
      <c r="R736" s="1471"/>
      <c r="S736" s="1472"/>
      <c r="T736" s="1470"/>
      <c r="U736" s="1471"/>
      <c r="V736" s="1471"/>
      <c r="W736" s="1472"/>
      <c r="X736" s="1358">
        <f t="shared" si="8"/>
        <v>0</v>
      </c>
      <c r="Y736" s="1359"/>
      <c r="Z736" s="1359"/>
      <c r="AA736" s="1359"/>
      <c r="AB736" s="1360"/>
      <c r="AC736" s="1620"/>
      <c r="AD736" s="1621"/>
      <c r="AE736" s="1621"/>
      <c r="AF736" s="1621"/>
      <c r="AG736" s="1622"/>
      <c r="AH736" s="1361" t="str">
        <f t="shared" si="36"/>
        <v/>
      </c>
      <c r="AI736" s="1362"/>
      <c r="AJ736" s="1363"/>
      <c r="AK736" s="1355" t="s">
        <v>591</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25" customHeight="1">
      <c r="B737" s="1355"/>
      <c r="C737" s="1356"/>
      <c r="D737" s="1356"/>
      <c r="E737" s="1356"/>
      <c r="F737" s="1357"/>
      <c r="G737" s="1364"/>
      <c r="H737" s="1365"/>
      <c r="I737" s="1365"/>
      <c r="J737" s="1366"/>
      <c r="K737" s="1611"/>
      <c r="L737" s="1612"/>
      <c r="M737" s="1612"/>
      <c r="N737" s="1613"/>
      <c r="O737" s="1470"/>
      <c r="P737" s="1471"/>
      <c r="Q737" s="1471"/>
      <c r="R737" s="1471"/>
      <c r="S737" s="1472"/>
      <c r="T737" s="1470"/>
      <c r="U737" s="1471"/>
      <c r="V737" s="1471"/>
      <c r="W737" s="1472"/>
      <c r="X737" s="1358">
        <f t="shared" si="8"/>
        <v>0</v>
      </c>
      <c r="Y737" s="1359"/>
      <c r="Z737" s="1359"/>
      <c r="AA737" s="1359"/>
      <c r="AB737" s="1360"/>
      <c r="AC737" s="1620"/>
      <c r="AD737" s="1621"/>
      <c r="AE737" s="1621"/>
      <c r="AF737" s="1621"/>
      <c r="AG737" s="1622"/>
      <c r="AH737" s="1361" t="str">
        <f t="shared" si="36"/>
        <v/>
      </c>
      <c r="AI737" s="1362"/>
      <c r="AJ737" s="1363"/>
      <c r="AK737" s="1355" t="s">
        <v>591</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25" customHeight="1">
      <c r="B738" s="1355"/>
      <c r="C738" s="1356"/>
      <c r="D738" s="1356"/>
      <c r="E738" s="1356"/>
      <c r="F738" s="1357"/>
      <c r="G738" s="1364"/>
      <c r="H738" s="1365"/>
      <c r="I738" s="1365"/>
      <c r="J738" s="1366"/>
      <c r="K738" s="1611"/>
      <c r="L738" s="1612"/>
      <c r="M738" s="1612"/>
      <c r="N738" s="1613"/>
      <c r="O738" s="1470"/>
      <c r="P738" s="1471"/>
      <c r="Q738" s="1471"/>
      <c r="R738" s="1471"/>
      <c r="S738" s="1472"/>
      <c r="T738" s="1470"/>
      <c r="U738" s="1471"/>
      <c r="V738" s="1471"/>
      <c r="W738" s="1472"/>
      <c r="X738" s="1358">
        <f t="shared" si="8"/>
        <v>0</v>
      </c>
      <c r="Y738" s="1359"/>
      <c r="Z738" s="1359"/>
      <c r="AA738" s="1359"/>
      <c r="AB738" s="1360"/>
      <c r="AC738" s="1620"/>
      <c r="AD738" s="1621"/>
      <c r="AE738" s="1621"/>
      <c r="AF738" s="1621"/>
      <c r="AG738" s="1622"/>
      <c r="AH738" s="1361" t="str">
        <f t="shared" si="36"/>
        <v/>
      </c>
      <c r="AI738" s="1362"/>
      <c r="AJ738" s="1363"/>
      <c r="AK738" s="1355" t="s">
        <v>591</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25" customHeight="1">
      <c r="B739" s="1355"/>
      <c r="C739" s="1356"/>
      <c r="D739" s="1356"/>
      <c r="E739" s="1356"/>
      <c r="F739" s="1357"/>
      <c r="G739" s="1364"/>
      <c r="H739" s="1365"/>
      <c r="I739" s="1365"/>
      <c r="J739" s="1366"/>
      <c r="K739" s="1611"/>
      <c r="L739" s="1612"/>
      <c r="M739" s="1612"/>
      <c r="N739" s="1613"/>
      <c r="O739" s="1470"/>
      <c r="P739" s="1471"/>
      <c r="Q739" s="1471"/>
      <c r="R739" s="1471"/>
      <c r="S739" s="1472"/>
      <c r="T739" s="1470"/>
      <c r="U739" s="1471"/>
      <c r="V739" s="1471"/>
      <c r="W739" s="1472"/>
      <c r="X739" s="1358">
        <f t="shared" si="8"/>
        <v>0</v>
      </c>
      <c r="Y739" s="1359"/>
      <c r="Z739" s="1359"/>
      <c r="AA739" s="1359"/>
      <c r="AB739" s="1360"/>
      <c r="AC739" s="1620"/>
      <c r="AD739" s="1621"/>
      <c r="AE739" s="1621"/>
      <c r="AF739" s="1621"/>
      <c r="AG739" s="1622"/>
      <c r="AH739" s="1361" t="str">
        <f t="shared" si="36"/>
        <v/>
      </c>
      <c r="AI739" s="1362"/>
      <c r="AJ739" s="1363"/>
      <c r="AK739" s="1355" t="s">
        <v>591</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25" customHeight="1">
      <c r="B740" s="1355"/>
      <c r="C740" s="1356"/>
      <c r="D740" s="1356"/>
      <c r="E740" s="1356"/>
      <c r="F740" s="1357"/>
      <c r="G740" s="1364"/>
      <c r="H740" s="1365"/>
      <c r="I740" s="1365"/>
      <c r="J740" s="1366"/>
      <c r="K740" s="1611"/>
      <c r="L740" s="1612"/>
      <c r="M740" s="1612"/>
      <c r="N740" s="1613"/>
      <c r="O740" s="1470"/>
      <c r="P740" s="1471"/>
      <c r="Q740" s="1471"/>
      <c r="R740" s="1471"/>
      <c r="S740" s="1472"/>
      <c r="T740" s="1470"/>
      <c r="U740" s="1471"/>
      <c r="V740" s="1471"/>
      <c r="W740" s="1472"/>
      <c r="X740" s="1358">
        <f t="shared" si="8"/>
        <v>0</v>
      </c>
      <c r="Y740" s="1359"/>
      <c r="Z740" s="1359"/>
      <c r="AA740" s="1359"/>
      <c r="AB740" s="1360"/>
      <c r="AC740" s="1620"/>
      <c r="AD740" s="1621"/>
      <c r="AE740" s="1621"/>
      <c r="AF740" s="1621"/>
      <c r="AG740" s="1622"/>
      <c r="AH740" s="1361" t="str">
        <f t="shared" si="36"/>
        <v/>
      </c>
      <c r="AI740" s="1362"/>
      <c r="AJ740" s="1363"/>
      <c r="AK740" s="1355" t="s">
        <v>591</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25" customHeight="1">
      <c r="B741" s="1355"/>
      <c r="C741" s="1356"/>
      <c r="D741" s="1356"/>
      <c r="E741" s="1356"/>
      <c r="F741" s="1357"/>
      <c r="G741" s="1364"/>
      <c r="H741" s="1365"/>
      <c r="I741" s="1365"/>
      <c r="J741" s="1366"/>
      <c r="K741" s="1611"/>
      <c r="L741" s="1612"/>
      <c r="M741" s="1612"/>
      <c r="N741" s="1613"/>
      <c r="O741" s="1470"/>
      <c r="P741" s="1471"/>
      <c r="Q741" s="1471"/>
      <c r="R741" s="1471"/>
      <c r="S741" s="1472"/>
      <c r="T741" s="1470"/>
      <c r="U741" s="1471"/>
      <c r="V741" s="1471"/>
      <c r="W741" s="1472"/>
      <c r="X741" s="1358">
        <f t="shared" si="8"/>
        <v>0</v>
      </c>
      <c r="Y741" s="1359"/>
      <c r="Z741" s="1359"/>
      <c r="AA741" s="1359"/>
      <c r="AB741" s="1360"/>
      <c r="AC741" s="1620"/>
      <c r="AD741" s="1621"/>
      <c r="AE741" s="1621"/>
      <c r="AF741" s="1621"/>
      <c r="AG741" s="1622"/>
      <c r="AH741" s="1361" t="str">
        <f t="shared" si="36"/>
        <v/>
      </c>
      <c r="AI741" s="1362"/>
      <c r="AJ741" s="1363"/>
      <c r="AK741" s="1355" t="s">
        <v>591</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25" customHeight="1">
      <c r="B742" s="1355"/>
      <c r="C742" s="1356"/>
      <c r="D742" s="1356"/>
      <c r="E742" s="1356"/>
      <c r="F742" s="1357"/>
      <c r="G742" s="1364"/>
      <c r="H742" s="1365"/>
      <c r="I742" s="1365"/>
      <c r="J742" s="1366"/>
      <c r="K742" s="1611"/>
      <c r="L742" s="1612"/>
      <c r="M742" s="1612"/>
      <c r="N742" s="1613"/>
      <c r="O742" s="1470"/>
      <c r="P742" s="1471"/>
      <c r="Q742" s="1471"/>
      <c r="R742" s="1471"/>
      <c r="S742" s="1472"/>
      <c r="T742" s="1470"/>
      <c r="U742" s="1471"/>
      <c r="V742" s="1471"/>
      <c r="W742" s="1472"/>
      <c r="X742" s="1358">
        <f t="shared" ref="X742:X751" si="39">O742+T742</f>
        <v>0</v>
      </c>
      <c r="Y742" s="1359"/>
      <c r="Z742" s="1359"/>
      <c r="AA742" s="1359"/>
      <c r="AB742" s="1360"/>
      <c r="AC742" s="1620"/>
      <c r="AD742" s="1621"/>
      <c r="AE742" s="1621"/>
      <c r="AF742" s="1621"/>
      <c r="AG742" s="1622"/>
      <c r="AH742" s="1361" t="str">
        <f t="shared" si="36"/>
        <v/>
      </c>
      <c r="AI742" s="1362"/>
      <c r="AJ742" s="1363"/>
      <c r="AK742" s="1355" t="s">
        <v>591</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25" customHeight="1">
      <c r="A743"/>
      <c r="B743" s="1355"/>
      <c r="C743" s="1356"/>
      <c r="D743" s="1356"/>
      <c r="E743" s="1356"/>
      <c r="F743" s="1357"/>
      <c r="G743" s="1364"/>
      <c r="H743" s="1365"/>
      <c r="I743" s="1365"/>
      <c r="J743" s="1366"/>
      <c r="K743" s="1611"/>
      <c r="L743" s="1612"/>
      <c r="M743" s="1612"/>
      <c r="N743" s="1613"/>
      <c r="O743" s="1470"/>
      <c r="P743" s="1471"/>
      <c r="Q743" s="1471"/>
      <c r="R743" s="1471"/>
      <c r="S743" s="1472"/>
      <c r="T743" s="1470"/>
      <c r="U743" s="1471"/>
      <c r="V743" s="1471"/>
      <c r="W743" s="1472"/>
      <c r="X743" s="1358">
        <f t="shared" si="39"/>
        <v>0</v>
      </c>
      <c r="Y743" s="1359"/>
      <c r="Z743" s="1359"/>
      <c r="AA743" s="1359"/>
      <c r="AB743" s="1360"/>
      <c r="AC743" s="1620"/>
      <c r="AD743" s="1621"/>
      <c r="AE743" s="1621"/>
      <c r="AF743" s="1621"/>
      <c r="AG743" s="1622"/>
      <c r="AH743" s="1361" t="str">
        <f t="shared" si="36"/>
        <v/>
      </c>
      <c r="AI743" s="1362"/>
      <c r="AJ743" s="1363"/>
      <c r="AK743" s="1355" t="s">
        <v>591</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25" customHeight="1">
      <c r="B744" s="1355"/>
      <c r="C744" s="1356"/>
      <c r="D744" s="1356"/>
      <c r="E744" s="1356"/>
      <c r="F744" s="1357"/>
      <c r="G744" s="1364"/>
      <c r="H744" s="1365"/>
      <c r="I744" s="1365"/>
      <c r="J744" s="1366"/>
      <c r="K744" s="1611"/>
      <c r="L744" s="1612"/>
      <c r="M744" s="1612"/>
      <c r="N744" s="1613"/>
      <c r="O744" s="1470"/>
      <c r="P744" s="1471"/>
      <c r="Q744" s="1471"/>
      <c r="R744" s="1471"/>
      <c r="S744" s="1472"/>
      <c r="T744" s="1470"/>
      <c r="U744" s="1471"/>
      <c r="V744" s="1471"/>
      <c r="W744" s="1472"/>
      <c r="X744" s="1358">
        <f t="shared" si="39"/>
        <v>0</v>
      </c>
      <c r="Y744" s="1359"/>
      <c r="Z744" s="1359"/>
      <c r="AA744" s="1359"/>
      <c r="AB744" s="1360"/>
      <c r="AC744" s="1620"/>
      <c r="AD744" s="1621"/>
      <c r="AE744" s="1621"/>
      <c r="AF744" s="1621"/>
      <c r="AG744" s="1622"/>
      <c r="AH744" s="1361" t="str">
        <f t="shared" si="36"/>
        <v/>
      </c>
      <c r="AI744" s="1362"/>
      <c r="AJ744" s="1363"/>
      <c r="AK744" s="1355" t="s">
        <v>591</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25" customHeight="1">
      <c r="B745" s="1355"/>
      <c r="C745" s="1356"/>
      <c r="D745" s="1356"/>
      <c r="E745" s="1356"/>
      <c r="F745" s="1357"/>
      <c r="G745" s="1364"/>
      <c r="H745" s="1365"/>
      <c r="I745" s="1365"/>
      <c r="J745" s="1366"/>
      <c r="K745" s="1611"/>
      <c r="L745" s="1612"/>
      <c r="M745" s="1612"/>
      <c r="N745" s="1613"/>
      <c r="O745" s="1470"/>
      <c r="P745" s="1471"/>
      <c r="Q745" s="1471"/>
      <c r="R745" s="1471"/>
      <c r="S745" s="1472"/>
      <c r="T745" s="1470"/>
      <c r="U745" s="1471"/>
      <c r="V745" s="1471"/>
      <c r="W745" s="1472"/>
      <c r="X745" s="1358">
        <f t="shared" si="39"/>
        <v>0</v>
      </c>
      <c r="Y745" s="1359"/>
      <c r="Z745" s="1359"/>
      <c r="AA745" s="1359"/>
      <c r="AB745" s="1360"/>
      <c r="AC745" s="1620"/>
      <c r="AD745" s="1621"/>
      <c r="AE745" s="1621"/>
      <c r="AF745" s="1621"/>
      <c r="AG745" s="1622"/>
      <c r="AH745" s="1361" t="str">
        <f t="shared" si="36"/>
        <v/>
      </c>
      <c r="AI745" s="1362"/>
      <c r="AJ745" s="1363"/>
      <c r="AK745" s="1355" t="s">
        <v>591</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25" customHeight="1">
      <c r="B746" s="1355"/>
      <c r="C746" s="1356"/>
      <c r="D746" s="1356"/>
      <c r="E746" s="1356"/>
      <c r="F746" s="1357"/>
      <c r="G746" s="1364"/>
      <c r="H746" s="1365"/>
      <c r="I746" s="1365"/>
      <c r="J746" s="1366"/>
      <c r="K746" s="1611"/>
      <c r="L746" s="1612"/>
      <c r="M746" s="1612"/>
      <c r="N746" s="1613"/>
      <c r="O746" s="1470"/>
      <c r="P746" s="1471"/>
      <c r="Q746" s="1471"/>
      <c r="R746" s="1471"/>
      <c r="S746" s="1472"/>
      <c r="T746" s="1470"/>
      <c r="U746" s="1471"/>
      <c r="V746" s="1471"/>
      <c r="W746" s="1472"/>
      <c r="X746" s="1358">
        <f t="shared" si="39"/>
        <v>0</v>
      </c>
      <c r="Y746" s="1359"/>
      <c r="Z746" s="1359"/>
      <c r="AA746" s="1359"/>
      <c r="AB746" s="1360"/>
      <c r="AC746" s="1620"/>
      <c r="AD746" s="1621"/>
      <c r="AE746" s="1621"/>
      <c r="AF746" s="1621"/>
      <c r="AG746" s="1622"/>
      <c r="AH746" s="1361" t="str">
        <f t="shared" si="36"/>
        <v/>
      </c>
      <c r="AI746" s="1362"/>
      <c r="AJ746" s="1363"/>
      <c r="AK746" s="1355" t="s">
        <v>591</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25" customHeight="1">
      <c r="B747" s="1355"/>
      <c r="C747" s="1356"/>
      <c r="D747" s="1356"/>
      <c r="E747" s="1356"/>
      <c r="F747" s="1357"/>
      <c r="G747" s="1364"/>
      <c r="H747" s="1365"/>
      <c r="I747" s="1365"/>
      <c r="J747" s="1366"/>
      <c r="K747" s="1611"/>
      <c r="L747" s="1612"/>
      <c r="M747" s="1612"/>
      <c r="N747" s="1613"/>
      <c r="O747" s="1470"/>
      <c r="P747" s="1471"/>
      <c r="Q747" s="1471"/>
      <c r="R747" s="1471"/>
      <c r="S747" s="1472"/>
      <c r="T747" s="1470"/>
      <c r="U747" s="1471"/>
      <c r="V747" s="1471"/>
      <c r="W747" s="1472"/>
      <c r="X747" s="1358">
        <f t="shared" si="39"/>
        <v>0</v>
      </c>
      <c r="Y747" s="1359"/>
      <c r="Z747" s="1359"/>
      <c r="AA747" s="1359"/>
      <c r="AB747" s="1360"/>
      <c r="AC747" s="1620"/>
      <c r="AD747" s="1621"/>
      <c r="AE747" s="1621"/>
      <c r="AF747" s="1621"/>
      <c r="AG747" s="1622"/>
      <c r="AH747" s="1361" t="str">
        <f t="shared" si="36"/>
        <v/>
      </c>
      <c r="AI747" s="1362"/>
      <c r="AJ747" s="1363"/>
      <c r="AK747" s="1355" t="s">
        <v>591</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25" customHeight="1">
      <c r="A748"/>
      <c r="B748" s="1355"/>
      <c r="C748" s="1356"/>
      <c r="D748" s="1356"/>
      <c r="E748" s="1356"/>
      <c r="F748" s="1357"/>
      <c r="G748" s="1364"/>
      <c r="H748" s="1365"/>
      <c r="I748" s="1365"/>
      <c r="J748" s="1366"/>
      <c r="K748" s="1611"/>
      <c r="L748" s="1612"/>
      <c r="M748" s="1612"/>
      <c r="N748" s="1613"/>
      <c r="O748" s="1470"/>
      <c r="P748" s="1471"/>
      <c r="Q748" s="1471"/>
      <c r="R748" s="1471"/>
      <c r="S748" s="1472"/>
      <c r="T748" s="1470"/>
      <c r="U748" s="1471"/>
      <c r="V748" s="1471"/>
      <c r="W748" s="1472"/>
      <c r="X748" s="1358">
        <f t="shared" si="39"/>
        <v>0</v>
      </c>
      <c r="Y748" s="1359"/>
      <c r="Z748" s="1359"/>
      <c r="AA748" s="1359"/>
      <c r="AB748" s="1360"/>
      <c r="AC748" s="1620"/>
      <c r="AD748" s="1621"/>
      <c r="AE748" s="1621"/>
      <c r="AF748" s="1621"/>
      <c r="AG748" s="1622"/>
      <c r="AH748" s="1361" t="str">
        <f t="shared" si="36"/>
        <v/>
      </c>
      <c r="AI748" s="1362"/>
      <c r="AJ748" s="1363"/>
      <c r="AK748" s="1355" t="s">
        <v>591</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25" customHeight="1">
      <c r="A749"/>
      <c r="B749" s="1355"/>
      <c r="C749" s="1356"/>
      <c r="D749" s="1356"/>
      <c r="E749" s="1356"/>
      <c r="F749" s="1357"/>
      <c r="G749" s="1364"/>
      <c r="H749" s="1365"/>
      <c r="I749" s="1365"/>
      <c r="J749" s="1366"/>
      <c r="K749" s="1611"/>
      <c r="L749" s="1612"/>
      <c r="M749" s="1612"/>
      <c r="N749" s="1613"/>
      <c r="O749" s="1470"/>
      <c r="P749" s="1471"/>
      <c r="Q749" s="1471"/>
      <c r="R749" s="1471"/>
      <c r="S749" s="1472"/>
      <c r="T749" s="1470"/>
      <c r="U749" s="1471"/>
      <c r="V749" s="1471"/>
      <c r="W749" s="1472"/>
      <c r="X749" s="1358">
        <f t="shared" si="39"/>
        <v>0</v>
      </c>
      <c r="Y749" s="1359"/>
      <c r="Z749" s="1359"/>
      <c r="AA749" s="1359"/>
      <c r="AB749" s="1360"/>
      <c r="AC749" s="1620"/>
      <c r="AD749" s="1621"/>
      <c r="AE749" s="1621"/>
      <c r="AF749" s="1621"/>
      <c r="AG749" s="1622"/>
      <c r="AH749" s="1361" t="str">
        <f t="shared" si="36"/>
        <v/>
      </c>
      <c r="AI749" s="1362"/>
      <c r="AJ749" s="1363"/>
      <c r="AK749" s="1355" t="s">
        <v>591</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25" customHeight="1">
      <c r="A750"/>
      <c r="B750" s="1355"/>
      <c r="C750" s="1356"/>
      <c r="D750" s="1356"/>
      <c r="E750" s="1356"/>
      <c r="F750" s="1357"/>
      <c r="G750" s="1364"/>
      <c r="H750" s="1365"/>
      <c r="I750" s="1365"/>
      <c r="J750" s="1366"/>
      <c r="K750" s="1611"/>
      <c r="L750" s="1612"/>
      <c r="M750" s="1612"/>
      <c r="N750" s="1613"/>
      <c r="O750" s="1470"/>
      <c r="P750" s="1471"/>
      <c r="Q750" s="1471"/>
      <c r="R750" s="1471"/>
      <c r="S750" s="1472"/>
      <c r="T750" s="1470"/>
      <c r="U750" s="1471"/>
      <c r="V750" s="1471"/>
      <c r="W750" s="1472"/>
      <c r="X750" s="1358">
        <f t="shared" si="39"/>
        <v>0</v>
      </c>
      <c r="Y750" s="1359"/>
      <c r="Z750" s="1359"/>
      <c r="AA750" s="1359"/>
      <c r="AB750" s="1360"/>
      <c r="AC750" s="1620"/>
      <c r="AD750" s="1621"/>
      <c r="AE750" s="1621"/>
      <c r="AF750" s="1621"/>
      <c r="AG750" s="1622"/>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25" customHeight="1">
      <c r="A751"/>
      <c r="B751" s="1355"/>
      <c r="C751" s="1356"/>
      <c r="D751" s="1356"/>
      <c r="E751" s="1356"/>
      <c r="F751" s="1357"/>
      <c r="G751" s="1364"/>
      <c r="H751" s="1365"/>
      <c r="I751" s="1365"/>
      <c r="J751" s="1366"/>
      <c r="K751" s="1611"/>
      <c r="L751" s="1612"/>
      <c r="M751" s="1612"/>
      <c r="N751" s="1613"/>
      <c r="O751" s="1470"/>
      <c r="P751" s="1471"/>
      <c r="Q751" s="1471"/>
      <c r="R751" s="1471"/>
      <c r="S751" s="1472"/>
      <c r="T751" s="1470"/>
      <c r="U751" s="1471"/>
      <c r="V751" s="1471"/>
      <c r="W751" s="1472"/>
      <c r="X751" s="1358">
        <f t="shared" si="39"/>
        <v>0</v>
      </c>
      <c r="Y751" s="1359"/>
      <c r="Z751" s="1359"/>
      <c r="AA751" s="1359"/>
      <c r="AB751" s="1360"/>
      <c r="AC751" s="1620"/>
      <c r="AD751" s="1621"/>
      <c r="AE751" s="1621"/>
      <c r="AF751" s="1621"/>
      <c r="AG751" s="1622"/>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25" customHeight="1">
      <c r="A752"/>
      <c r="B752" s="1355"/>
      <c r="C752" s="1356"/>
      <c r="D752" s="1356"/>
      <c r="E752" s="1356"/>
      <c r="F752" s="1357"/>
      <c r="G752" s="1364"/>
      <c r="H752" s="1365"/>
      <c r="I752" s="1365"/>
      <c r="J752" s="1366"/>
      <c r="K752" s="1611"/>
      <c r="L752" s="1612"/>
      <c r="M752" s="1612"/>
      <c r="N752" s="1613"/>
      <c r="O752" s="1470"/>
      <c r="P752" s="1471"/>
      <c r="Q752" s="1471"/>
      <c r="R752" s="1471"/>
      <c r="S752" s="1472"/>
      <c r="T752" s="1470"/>
      <c r="U752" s="1471"/>
      <c r="V752" s="1471"/>
      <c r="W752" s="1472"/>
      <c r="X752" s="1358">
        <f>O752+T752</f>
        <v>0</v>
      </c>
      <c r="Y752" s="1359"/>
      <c r="Z752" s="1359"/>
      <c r="AA752" s="1359"/>
      <c r="AB752" s="1360"/>
      <c r="AC752" s="1620"/>
      <c r="AD752" s="1621"/>
      <c r="AE752" s="1621"/>
      <c r="AF752" s="1621"/>
      <c r="AG752" s="1622"/>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25" customHeight="1">
      <c r="A753"/>
      <c r="B753" s="1408" t="s">
        <v>125</v>
      </c>
      <c r="C753" s="1409"/>
      <c r="D753" s="1409"/>
      <c r="E753" s="1409"/>
      <c r="F753" s="1411"/>
      <c r="G753" s="1724">
        <f>SUM(G718:G752)</f>
        <v>213</v>
      </c>
      <c r="H753" s="1725"/>
      <c r="I753" s="1725"/>
      <c r="J753" s="1726"/>
      <c r="K753" s="902" t="s">
        <v>124</v>
      </c>
      <c r="L753" s="5"/>
      <c r="M753" s="5"/>
      <c r="N753" s="46"/>
      <c r="O753" s="1358">
        <f>SUMPRODUCT(G718:G752,O718:O752)</f>
        <v>435946</v>
      </c>
      <c r="P753" s="1359"/>
      <c r="Q753" s="1359"/>
      <c r="R753" s="1359"/>
      <c r="S753" s="1360"/>
      <c r="T753"/>
      <c r="U753"/>
      <c r="V753"/>
      <c r="W753"/>
      <c r="X753" s="904" t="s">
        <v>900</v>
      </c>
      <c r="Y753" s="903"/>
      <c r="Z753" s="903"/>
      <c r="AA753" s="903"/>
      <c r="AB753" s="905"/>
      <c r="AC753" s="1624">
        <f>BH753</f>
        <v>0.59906103286384971</v>
      </c>
      <c r="AD753" s="1625"/>
      <c r="AE753" s="1625"/>
      <c r="AF753" s="1625"/>
      <c r="AG753" s="1626"/>
      <c r="AH753" s="1624">
        <f>IFERROR(BU753,"")</f>
        <v>0.59910068237677228</v>
      </c>
      <c r="AI753" s="1625"/>
      <c r="AJ753" s="1626"/>
      <c r="AK753"/>
      <c r="AL753"/>
      <c r="AM753"/>
      <c r="AN753"/>
      <c r="AO753"/>
      <c r="AP753" s="205"/>
      <c r="AQ753" s="205"/>
      <c r="AR753" s="205"/>
      <c r="AS753" s="205"/>
      <c r="AT753"/>
      <c r="AU753"/>
      <c r="AV753"/>
      <c r="AW753"/>
      <c r="AX753"/>
      <c r="AY753"/>
      <c r="AZ753" s="34"/>
      <c r="BA753" s="34"/>
      <c r="BB753" s="34"/>
      <c r="BC753" s="34"/>
      <c r="BE753" s="290" t="s">
        <v>899</v>
      </c>
      <c r="BF753" s="299">
        <f>SUM(BF718:BF752)</f>
        <v>213</v>
      </c>
      <c r="BG753" s="300">
        <f>SUM(BG718:BG752)</f>
        <v>1</v>
      </c>
      <c r="BH753" s="300">
        <f>SUM(BH718:BH752)</f>
        <v>0.59906103286384971</v>
      </c>
      <c r="BI753"/>
      <c r="BJ753"/>
      <c r="BK753"/>
      <c r="BL753"/>
      <c r="BO753"/>
      <c r="BP753"/>
      <c r="BQ753"/>
      <c r="BR753"/>
      <c r="BS753" s="859">
        <f>SUM(BS718:BS752)</f>
        <v>213</v>
      </c>
      <c r="BT753" s="300">
        <f>SUM(BT718:BT752)</f>
        <v>1</v>
      </c>
      <c r="BU753" s="300">
        <f>SUM(BU718:BU752)</f>
        <v>0.59910068237677228</v>
      </c>
      <c r="CI753" s="1351">
        <f>SUM(CI718:CJ752)</f>
        <v>36</v>
      </c>
      <c r="CJ753" s="1353"/>
      <c r="CM753" s="1351">
        <f>SUM(CM718:CN752)</f>
        <v>23</v>
      </c>
      <c r="CN753" s="1353"/>
      <c r="CP753" s="1351">
        <f>SUM(CP718:CT752)</f>
        <v>0</v>
      </c>
      <c r="CQ753" s="1352"/>
      <c r="CR753" s="1352"/>
      <c r="CS753" s="1352"/>
      <c r="CT753" s="1353"/>
      <c r="CU753" s="1367">
        <f>SUM(CU718:CY752)</f>
        <v>43</v>
      </c>
      <c r="CV753" s="1367"/>
      <c r="CW753" s="1367"/>
      <c r="CX753" s="1367"/>
      <c r="CY753" s="1367"/>
      <c r="CZ753" s="1367">
        <f>SUM(CZ718:DD752)</f>
        <v>43</v>
      </c>
      <c r="DA753" s="1367"/>
      <c r="DB753" s="1367"/>
      <c r="DC753" s="1367"/>
      <c r="DD753" s="1367"/>
      <c r="DE753" s="1367">
        <f>SUM(DE718:DI752)</f>
        <v>84</v>
      </c>
      <c r="DF753" s="1367"/>
      <c r="DG753" s="1367"/>
      <c r="DH753" s="1367"/>
      <c r="DI753" s="1367"/>
      <c r="DJ753" s="1367">
        <f>SUM(DJ718:DN752)</f>
        <v>43</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23</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3529</v>
      </c>
      <c r="FF753" s="1367"/>
      <c r="FG753" s="1367"/>
      <c r="FH753" s="1367"/>
      <c r="FI753" s="1367"/>
      <c r="FJ753" s="1367">
        <f>SUM(FJ718:FN752)</f>
        <v>5562</v>
      </c>
      <c r="FK753" s="1367"/>
      <c r="FL753" s="1367"/>
      <c r="FM753" s="1367"/>
      <c r="FN753" s="1367"/>
      <c r="FO753" s="1367">
        <f>SUM(FO718:FS752)</f>
        <v>12762</v>
      </c>
      <c r="FP753" s="1367"/>
      <c r="FQ753" s="1367"/>
      <c r="FR753" s="1367"/>
      <c r="FS753" s="1367"/>
      <c r="FT753" s="1367">
        <f>SUM(FT718:FX752)</f>
        <v>4676</v>
      </c>
      <c r="FU753" s="1367"/>
      <c r="FV753" s="1367"/>
      <c r="FW753" s="1367"/>
      <c r="FX753" s="1367"/>
      <c r="FY753" s="1367">
        <f>SUM(FY718:GC752)</f>
        <v>0</v>
      </c>
      <c r="FZ753" s="1367"/>
      <c r="GA753" s="1367"/>
      <c r="GB753" s="1367"/>
      <c r="GC753" s="1367"/>
    </row>
    <row r="754" spans="1:185" s="3" customFormat="1" ht="13.25" customHeight="1">
      <c r="A754"/>
      <c r="B754" s="1728" t="s">
        <v>1893</v>
      </c>
      <c r="C754" s="1728"/>
      <c r="D754" s="1728"/>
      <c r="E754" s="1728"/>
      <c r="F754" s="1728"/>
      <c r="G754" s="1728"/>
      <c r="H754" s="1728"/>
      <c r="I754" s="1728"/>
      <c r="J754" s="1728"/>
      <c r="K754" s="1728"/>
      <c r="L754" s="1728"/>
      <c r="M754" s="1728"/>
      <c r="N754" s="1728"/>
      <c r="O754" s="1728"/>
      <c r="P754" s="1728"/>
      <c r="Q754" s="1728"/>
      <c r="R754" s="1728"/>
      <c r="S754" s="1728"/>
      <c r="T754" s="1728"/>
      <c r="U754" s="1728"/>
      <c r="V754" s="1728"/>
      <c r="W754" s="1728"/>
      <c r="X754" s="1728"/>
      <c r="Y754" s="1728"/>
      <c r="Z754" s="1728"/>
      <c r="AA754" s="1728"/>
      <c r="AB754" s="1728"/>
      <c r="AC754" s="1728"/>
      <c r="AD754" s="1728"/>
      <c r="AE754" s="1728"/>
      <c r="AF754" s="1728"/>
      <c r="AG754" s="1728"/>
      <c r="AH754" s="1728"/>
      <c r="AI754"/>
      <c r="AJ754"/>
      <c r="AK754"/>
      <c r="AT754"/>
      <c r="AU754"/>
      <c r="AV754"/>
      <c r="AW754"/>
      <c r="AX754"/>
      <c r="AY754"/>
      <c r="CD754"/>
      <c r="DN754" s="56" t="s">
        <v>1860</v>
      </c>
      <c r="DO754" s="1351">
        <f>CP753+CU753+CZ753+DE753+DJ753+DO753</f>
        <v>213</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5" customHeight="1">
      <c r="B755" s="1728"/>
      <c r="C755" s="1728"/>
      <c r="D755" s="1728"/>
      <c r="E755" s="1728"/>
      <c r="F755" s="1728"/>
      <c r="G755" s="1728"/>
      <c r="H755" s="1728"/>
      <c r="I755" s="1728"/>
      <c r="J755" s="1728"/>
      <c r="K755" s="1728"/>
      <c r="L755" s="1728"/>
      <c r="M755" s="1728"/>
      <c r="N755" s="1728"/>
      <c r="O755" s="1728"/>
      <c r="P755" s="1728"/>
      <c r="Q755" s="1728"/>
      <c r="R755" s="1728"/>
      <c r="S755" s="1728"/>
      <c r="T755" s="1728"/>
      <c r="U755" s="1728"/>
      <c r="V755" s="1728"/>
      <c r="W755" s="1728"/>
      <c r="X755" s="1728"/>
      <c r="Y755" s="1728"/>
      <c r="Z755" s="1728"/>
      <c r="AA755" s="1728"/>
      <c r="AB755" s="1728"/>
      <c r="AC755" s="1728"/>
      <c r="AD755" s="1728"/>
      <c r="AE755" s="1728"/>
      <c r="AF755" s="1728"/>
      <c r="AG755" s="1728"/>
      <c r="AH755" s="17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43</v>
      </c>
      <c r="CZ755" s="3"/>
      <c r="DA755" s="3"/>
      <c r="DB755" s="3"/>
      <c r="DC755" s="3"/>
      <c r="DD755" s="861">
        <f>CZ753*2</f>
        <v>86</v>
      </c>
      <c r="DE755" s="3"/>
      <c r="DF755" s="3"/>
      <c r="DG755" s="3"/>
      <c r="DH755" s="3"/>
      <c r="DI755" s="861">
        <f>DE753*3</f>
        <v>252</v>
      </c>
      <c r="DJ755" s="3"/>
      <c r="DK755" s="3"/>
      <c r="DL755" s="3"/>
      <c r="DM755" s="3"/>
      <c r="DN755" s="861">
        <f>DJ753*4</f>
        <v>172</v>
      </c>
      <c r="DO755" s="3"/>
      <c r="DP755" s="3"/>
      <c r="DQ755" s="3"/>
      <c r="DR755" s="3"/>
      <c r="DS755" s="861">
        <f>DO753*5</f>
        <v>0</v>
      </c>
      <c r="DU755" s="861">
        <f>CT755+CY755+DD755+DI755+DN755+DS755</f>
        <v>553</v>
      </c>
      <c r="DV755" s="57" t="s">
        <v>1862</v>
      </c>
      <c r="DW755" s="3"/>
      <c r="DX755" s="3"/>
      <c r="DY755" s="3"/>
      <c r="DZ755" s="3"/>
      <c r="EA755" s="3"/>
      <c r="EB755" s="3"/>
      <c r="EC755" s="3"/>
      <c r="ED755" s="3"/>
      <c r="EE755" s="3"/>
      <c r="EF755" s="3"/>
      <c r="EG755" s="3"/>
      <c r="EH755" s="3"/>
    </row>
    <row r="756" spans="1:185" ht="13.25" customHeight="1">
      <c r="A756" s="3"/>
      <c r="B756" s="3"/>
      <c r="C756" s="118" t="s">
        <v>1891</v>
      </c>
      <c r="D756" s="1032"/>
      <c r="E756" s="1032"/>
      <c r="F756" s="1032"/>
      <c r="G756" s="1033"/>
      <c r="H756" s="1033"/>
      <c r="I756" s="1033"/>
      <c r="J756" s="1033"/>
      <c r="K756" s="1032"/>
      <c r="L756" s="1032"/>
      <c r="M756" s="1032"/>
      <c r="N756" s="1032"/>
      <c r="O756" s="1367">
        <f>DU755</f>
        <v>553</v>
      </c>
      <c r="P756" s="1367"/>
      <c r="Q756" s="1367"/>
      <c r="R756" s="1367"/>
      <c r="S756" s="969"/>
      <c r="T756" s="969"/>
      <c r="U756" s="118" t="s">
        <v>1892</v>
      </c>
      <c r="V756" s="1032"/>
      <c r="W756" s="1032"/>
      <c r="X756" s="1032"/>
      <c r="Y756" s="1033"/>
      <c r="Z756" s="1033"/>
      <c r="AA756" s="1033"/>
      <c r="AB756" s="1033"/>
      <c r="AC756" s="1032"/>
      <c r="AD756" s="1032"/>
      <c r="AE756" s="1032"/>
      <c r="AF756" s="1032"/>
      <c r="AG756" s="1720"/>
      <c r="AH756" s="1720"/>
      <c r="AI756" s="1720"/>
      <c r="AJ756" s="172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2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7" t="s">
        <v>591</v>
      </c>
      <c r="AE759" s="1727"/>
      <c r="AF759" s="17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2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5" customHeight="1">
      <c r="J769" s="1496" t="s">
        <v>389</v>
      </c>
      <c r="K769" s="1497"/>
      <c r="L769" s="1497"/>
      <c r="M769" s="1497"/>
      <c r="N769" s="1498"/>
      <c r="O769" s="1609" t="s">
        <v>285</v>
      </c>
      <c r="P769" s="1609"/>
      <c r="Q769" s="1609"/>
      <c r="R769" s="1609"/>
      <c r="S769" s="1609"/>
      <c r="T769" s="1513" t="s">
        <v>1679</v>
      </c>
      <c r="U769" s="1514"/>
      <c r="V769" s="1514"/>
      <c r="W769" s="1515"/>
      <c r="X769" s="1496" t="s">
        <v>447</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5" customHeight="1">
      <c r="J770" s="1499"/>
      <c r="K770" s="1500"/>
      <c r="L770" s="1500"/>
      <c r="M770" s="1500"/>
      <c r="N770" s="1501"/>
      <c r="O770" s="1609"/>
      <c r="P770" s="1609"/>
      <c r="Q770" s="1609"/>
      <c r="R770" s="1609"/>
      <c r="S770" s="1609"/>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5" customHeight="1">
      <c r="J771" s="1499"/>
      <c r="K771" s="1500"/>
      <c r="L771" s="1500"/>
      <c r="M771" s="1500"/>
      <c r="N771" s="1501"/>
      <c r="O771" s="1609"/>
      <c r="P771" s="1609"/>
      <c r="Q771" s="1609"/>
      <c r="R771" s="1609"/>
      <c r="S771" s="1609"/>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5" customHeight="1">
      <c r="J772" s="1502"/>
      <c r="K772" s="1503"/>
      <c r="L772" s="1503"/>
      <c r="M772" s="1503"/>
      <c r="N772" s="1504"/>
      <c r="O772" s="1609"/>
      <c r="P772" s="1609"/>
      <c r="Q772" s="1609"/>
      <c r="R772" s="1609"/>
      <c r="S772" s="1609"/>
      <c r="T772" s="1617"/>
      <c r="U772" s="1618"/>
      <c r="V772" s="1618"/>
      <c r="W772" s="1619"/>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25" customHeight="1">
      <c r="J773" s="1355" t="s">
        <v>164</v>
      </c>
      <c r="K773" s="1356"/>
      <c r="L773" s="1356"/>
      <c r="M773" s="1356"/>
      <c r="N773" s="1357"/>
      <c r="O773" s="1466">
        <v>2</v>
      </c>
      <c r="P773" s="1466"/>
      <c r="Q773" s="1466"/>
      <c r="R773" s="1466"/>
      <c r="S773" s="1466"/>
      <c r="T773" s="1611">
        <v>1200</v>
      </c>
      <c r="U773" s="1612"/>
      <c r="V773" s="1612"/>
      <c r="W773" s="1613"/>
      <c r="X773" s="1470">
        <v>0</v>
      </c>
      <c r="Y773" s="1471"/>
      <c r="Z773" s="1471"/>
      <c r="AA773" s="1471"/>
      <c r="AB773" s="1472"/>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2</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25" customHeight="1">
      <c r="J774" s="1355"/>
      <c r="K774" s="1356"/>
      <c r="L774" s="1356"/>
      <c r="M774" s="1356"/>
      <c r="N774" s="1357"/>
      <c r="O774" s="1466"/>
      <c r="P774" s="1466"/>
      <c r="Q774" s="1466"/>
      <c r="R774" s="1466"/>
      <c r="S774" s="1466"/>
      <c r="T774" s="1611"/>
      <c r="U774" s="1612"/>
      <c r="V774" s="1612"/>
      <c r="W774" s="1613"/>
      <c r="X774" s="1470"/>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25" customHeight="1">
      <c r="J775" s="1355"/>
      <c r="K775" s="1356"/>
      <c r="L775" s="1356"/>
      <c r="M775" s="1356"/>
      <c r="N775" s="1357"/>
      <c r="O775" s="1466"/>
      <c r="P775" s="1466"/>
      <c r="Q775" s="1466"/>
      <c r="R775" s="1466"/>
      <c r="S775" s="1466"/>
      <c r="T775" s="1611"/>
      <c r="U775" s="1612"/>
      <c r="V775" s="1612"/>
      <c r="W775" s="1613"/>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25" customHeight="1">
      <c r="J776" s="1355"/>
      <c r="K776" s="1356"/>
      <c r="L776" s="1356"/>
      <c r="M776" s="1356"/>
      <c r="N776" s="1357"/>
      <c r="O776" s="1466"/>
      <c r="P776" s="1466"/>
      <c r="Q776" s="1466"/>
      <c r="R776" s="1466"/>
      <c r="S776" s="1466"/>
      <c r="T776" s="1611"/>
      <c r="U776" s="1612"/>
      <c r="V776" s="1612"/>
      <c r="W776" s="1613"/>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2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2</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1859</v>
      </c>
    </row>
    <row r="778" spans="1:126" ht="13.2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6</v>
      </c>
      <c r="DJ778" s="3"/>
      <c r="DK778" s="3"/>
      <c r="DL778" s="3"/>
      <c r="DM778" s="3"/>
      <c r="DN778" s="861">
        <f>DJ777*4</f>
        <v>0</v>
      </c>
      <c r="DO778" s="3"/>
      <c r="DP778" s="3"/>
      <c r="DQ778" s="3"/>
      <c r="DR778" s="3"/>
      <c r="DS778" s="861">
        <f>DO777*5</f>
        <v>0</v>
      </c>
      <c r="DU778" s="861">
        <f>CT778+CY778+DD778+DI778+DN778+DS778</f>
        <v>6</v>
      </c>
      <c r="DV778" s="57" t="s">
        <v>1861</v>
      </c>
    </row>
    <row r="779" spans="1:126" ht="13.2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5" customHeight="1">
      <c r="J783" s="1496" t="s">
        <v>389</v>
      </c>
      <c r="K783" s="1497"/>
      <c r="L783" s="1497"/>
      <c r="M783" s="1497"/>
      <c r="N783" s="1498"/>
      <c r="O783" s="1609" t="s">
        <v>285</v>
      </c>
      <c r="P783" s="1609"/>
      <c r="Q783" s="1609"/>
      <c r="R783" s="1609"/>
      <c r="S783" s="1609"/>
      <c r="T783" s="1513" t="s">
        <v>1679</v>
      </c>
      <c r="U783" s="1514"/>
      <c r="V783" s="1514"/>
      <c r="W783" s="1515"/>
      <c r="X783" s="1496" t="s">
        <v>447</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5" customHeight="1">
      <c r="J784" s="1499"/>
      <c r="K784" s="1500"/>
      <c r="L784" s="1500"/>
      <c r="M784" s="1500"/>
      <c r="N784" s="1501"/>
      <c r="O784" s="1609"/>
      <c r="P784" s="1609"/>
      <c r="Q784" s="1609"/>
      <c r="R784" s="1609"/>
      <c r="S784" s="1609"/>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5" customHeight="1">
      <c r="J785" s="1499"/>
      <c r="K785" s="1500"/>
      <c r="L785" s="1500"/>
      <c r="M785" s="1500"/>
      <c r="N785" s="1501"/>
      <c r="O785" s="1609"/>
      <c r="P785" s="1609"/>
      <c r="Q785" s="1609"/>
      <c r="R785" s="1609"/>
      <c r="S785" s="1609"/>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5" customHeight="1">
      <c r="J786" s="1502"/>
      <c r="K786" s="1503"/>
      <c r="L786" s="1503"/>
      <c r="M786" s="1503"/>
      <c r="N786" s="1504"/>
      <c r="O786" s="1609"/>
      <c r="P786" s="1609"/>
      <c r="Q786" s="1609"/>
      <c r="R786" s="1609"/>
      <c r="S786" s="1609"/>
      <c r="T786" s="1617"/>
      <c r="U786" s="1618"/>
      <c r="V786" s="1618"/>
      <c r="W786" s="1619"/>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25" customHeight="1">
      <c r="J787" s="1355"/>
      <c r="K787" s="1356"/>
      <c r="L787" s="1356"/>
      <c r="M787" s="1356"/>
      <c r="N787" s="1357"/>
      <c r="O787" s="1466"/>
      <c r="P787" s="1466"/>
      <c r="Q787" s="1466"/>
      <c r="R787" s="1466"/>
      <c r="S787" s="1466"/>
      <c r="T787" s="1611"/>
      <c r="U787" s="1612"/>
      <c r="V787" s="1612"/>
      <c r="W787" s="1613"/>
      <c r="X787" s="1470"/>
      <c r="Y787" s="1471"/>
      <c r="Z787" s="1471"/>
      <c r="AA787" s="1471"/>
      <c r="AB787" s="1472"/>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25" customHeight="1">
      <c r="A788"/>
      <c r="B788"/>
      <c r="C788"/>
      <c r="D788"/>
      <c r="E788"/>
      <c r="F788"/>
      <c r="G788"/>
      <c r="H788"/>
      <c r="I788"/>
      <c r="J788" s="1355"/>
      <c r="K788" s="1356"/>
      <c r="L788" s="1356"/>
      <c r="M788" s="1356"/>
      <c r="N788" s="1357"/>
      <c r="O788" s="1466"/>
      <c r="P788" s="1466"/>
      <c r="Q788" s="1466"/>
      <c r="R788" s="1466"/>
      <c r="S788" s="1466"/>
      <c r="T788" s="1611"/>
      <c r="U788" s="1612"/>
      <c r="V788" s="1612"/>
      <c r="W788" s="1613"/>
      <c r="X788" s="1470"/>
      <c r="Y788" s="1471"/>
      <c r="Z788" s="1471"/>
      <c r="AA788" s="1471"/>
      <c r="AB788" s="1472"/>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25" customHeight="1">
      <c r="A789"/>
      <c r="B789"/>
      <c r="C789"/>
      <c r="D789"/>
      <c r="E789"/>
      <c r="F789"/>
      <c r="G789"/>
      <c r="H789"/>
      <c r="I789"/>
      <c r="J789" s="1355"/>
      <c r="K789" s="1356"/>
      <c r="L789" s="1356"/>
      <c r="M789" s="1356"/>
      <c r="N789" s="1357"/>
      <c r="O789" s="1466"/>
      <c r="P789" s="1466"/>
      <c r="Q789" s="1466"/>
      <c r="R789" s="1466"/>
      <c r="S789" s="1466"/>
      <c r="T789" s="1611"/>
      <c r="U789" s="1612"/>
      <c r="V789" s="1612"/>
      <c r="W789" s="1613"/>
      <c r="X789" s="1470"/>
      <c r="Y789" s="1471"/>
      <c r="Z789" s="1471"/>
      <c r="AA789" s="1471"/>
      <c r="AB789" s="1472"/>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25" customHeight="1">
      <c r="A790"/>
      <c r="B790"/>
      <c r="C790"/>
      <c r="D790"/>
      <c r="E790"/>
      <c r="F790"/>
      <c r="G790"/>
      <c r="H790"/>
      <c r="I790"/>
      <c r="J790" s="1355"/>
      <c r="K790" s="1356"/>
      <c r="L790" s="1356"/>
      <c r="M790" s="1356"/>
      <c r="N790" s="1357"/>
      <c r="O790" s="1466"/>
      <c r="P790" s="1466"/>
      <c r="Q790" s="1466"/>
      <c r="R790" s="1466"/>
      <c r="S790" s="1466"/>
      <c r="T790" s="1611"/>
      <c r="U790" s="1612"/>
      <c r="V790" s="1612"/>
      <c r="W790" s="1613"/>
      <c r="X790" s="1470"/>
      <c r="Y790" s="1471"/>
      <c r="Z790" s="1471"/>
      <c r="AA790" s="1471"/>
      <c r="AB790" s="1472"/>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25" customHeight="1">
      <c r="A791"/>
      <c r="B791"/>
      <c r="C791"/>
      <c r="D791"/>
      <c r="E791"/>
      <c r="F791"/>
      <c r="G791"/>
      <c r="H791"/>
      <c r="I791"/>
      <c r="J791" s="1355"/>
      <c r="K791" s="1356"/>
      <c r="L791" s="1356"/>
      <c r="M791" s="1356"/>
      <c r="N791" s="1357"/>
      <c r="O791" s="1466"/>
      <c r="P791" s="1466"/>
      <c r="Q791" s="1466"/>
      <c r="R791" s="1466"/>
      <c r="S791" s="1466"/>
      <c r="T791" s="1611"/>
      <c r="U791" s="1612"/>
      <c r="V791" s="1612"/>
      <c r="W791" s="1613"/>
      <c r="X791" s="1470"/>
      <c r="Y791" s="1471"/>
      <c r="Z791" s="1471"/>
      <c r="AA791" s="1471"/>
      <c r="AB791" s="1472"/>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25" customHeight="1">
      <c r="A792"/>
      <c r="B792"/>
      <c r="C792"/>
      <c r="D792"/>
      <c r="E792"/>
      <c r="F792"/>
      <c r="G792"/>
      <c r="H792"/>
      <c r="I792"/>
      <c r="J792" s="1355"/>
      <c r="K792" s="1356"/>
      <c r="L792" s="1356"/>
      <c r="M792" s="1356"/>
      <c r="N792" s="1357"/>
      <c r="O792" s="1466"/>
      <c r="P792" s="1466"/>
      <c r="Q792" s="1466"/>
      <c r="R792" s="1466"/>
      <c r="S792" s="1466"/>
      <c r="T792" s="1611"/>
      <c r="U792" s="1612"/>
      <c r="V792" s="1612"/>
      <c r="W792" s="1613"/>
      <c r="X792" s="1470"/>
      <c r="Y792" s="1471"/>
      <c r="Z792" s="1471"/>
      <c r="AA792" s="1471"/>
      <c r="AB792" s="1472"/>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25" customHeight="1">
      <c r="A793"/>
      <c r="B793"/>
      <c r="C793"/>
      <c r="D793"/>
      <c r="E793"/>
      <c r="F793"/>
      <c r="G793"/>
      <c r="H793"/>
      <c r="I793"/>
      <c r="J793" s="1355"/>
      <c r="K793" s="1356"/>
      <c r="L793" s="1356"/>
      <c r="M793" s="1356"/>
      <c r="N793" s="1357"/>
      <c r="O793" s="1466"/>
      <c r="P793" s="1466"/>
      <c r="Q793" s="1466"/>
      <c r="R793" s="1466"/>
      <c r="S793" s="1466"/>
      <c r="T793" s="1611"/>
      <c r="U793" s="1612"/>
      <c r="V793" s="1612"/>
      <c r="W793" s="1613"/>
      <c r="X793" s="1470"/>
      <c r="Y793" s="1471"/>
      <c r="Z793" s="1471"/>
      <c r="AA793" s="1471"/>
      <c r="AB793" s="1472"/>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25" customHeight="1">
      <c r="A794"/>
      <c r="B794"/>
      <c r="C794"/>
      <c r="D794"/>
      <c r="E794"/>
      <c r="F794"/>
      <c r="G794"/>
      <c r="H794"/>
      <c r="I794"/>
      <c r="J794" s="1355"/>
      <c r="K794" s="1356"/>
      <c r="L794" s="1356"/>
      <c r="M794" s="1356"/>
      <c r="N794" s="1357"/>
      <c r="O794" s="1466"/>
      <c r="P794" s="1466"/>
      <c r="Q794" s="1466"/>
      <c r="R794" s="1466"/>
      <c r="S794" s="1466"/>
      <c r="T794" s="1611"/>
      <c r="U794" s="1612"/>
      <c r="V794" s="1612"/>
      <c r="W794" s="1613"/>
      <c r="X794" s="1470"/>
      <c r="Y794" s="1471"/>
      <c r="Z794" s="1471"/>
      <c r="AA794" s="1471"/>
      <c r="AB794" s="1472"/>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25" customHeight="1">
      <c r="A795"/>
      <c r="B795"/>
      <c r="C795"/>
      <c r="D795"/>
      <c r="E795"/>
      <c r="F795"/>
      <c r="G795"/>
      <c r="H795"/>
      <c r="I795"/>
      <c r="J795" s="1355"/>
      <c r="K795" s="1356"/>
      <c r="L795" s="1356"/>
      <c r="M795" s="1356"/>
      <c r="N795" s="1357"/>
      <c r="O795" s="1466"/>
      <c r="P795" s="1466"/>
      <c r="Q795" s="1466"/>
      <c r="R795" s="1466"/>
      <c r="S795" s="1466"/>
      <c r="T795" s="1611"/>
      <c r="U795" s="1612"/>
      <c r="V795" s="1612"/>
      <c r="W795" s="1613"/>
      <c r="X795" s="1470"/>
      <c r="Y795" s="1471"/>
      <c r="Z795" s="1471"/>
      <c r="AA795" s="1471"/>
      <c r="AB795" s="1472"/>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25" customHeight="1">
      <c r="A796"/>
      <c r="B796"/>
      <c r="C796"/>
      <c r="D796"/>
      <c r="E796"/>
      <c r="F796"/>
      <c r="G796"/>
      <c r="H796"/>
      <c r="I796"/>
      <c r="J796" s="1355"/>
      <c r="K796" s="1356"/>
      <c r="L796" s="1356"/>
      <c r="M796" s="1356"/>
      <c r="N796" s="1357"/>
      <c r="O796" s="1466"/>
      <c r="P796" s="1466"/>
      <c r="Q796" s="1466"/>
      <c r="R796" s="1466"/>
      <c r="S796" s="1466"/>
      <c r="T796" s="1611"/>
      <c r="U796" s="1612"/>
      <c r="V796" s="1612"/>
      <c r="W796" s="1613"/>
      <c r="X796" s="1470"/>
      <c r="Y796" s="1471"/>
      <c r="Z796" s="1471"/>
      <c r="AA796" s="1471"/>
      <c r="AB796" s="1472"/>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25" customHeight="1">
      <c r="A797"/>
      <c r="B797"/>
      <c r="C797"/>
      <c r="D797"/>
      <c r="E797"/>
      <c r="F797"/>
      <c r="G797"/>
      <c r="H797"/>
      <c r="I797"/>
      <c r="J797" s="1408" t="s">
        <v>125</v>
      </c>
      <c r="K797" s="1409"/>
      <c r="L797" s="1409"/>
      <c r="M797" s="1409"/>
      <c r="N797" s="1411"/>
      <c r="O797" s="1631">
        <f>SUM(O787:S796)</f>
        <v>0</v>
      </c>
      <c r="P797" s="1631"/>
      <c r="Q797" s="1631"/>
      <c r="R797" s="1631"/>
      <c r="S797" s="1631"/>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2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3.2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435946</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5231352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43</v>
      </c>
      <c r="CV802" s="1349"/>
      <c r="CW802" s="1349"/>
      <c r="CX802" s="1349"/>
      <c r="CY802" s="1350"/>
      <c r="CZ802" s="1348">
        <f>CZ753+CZ777+CZ797</f>
        <v>43</v>
      </c>
      <c r="DA802" s="1349"/>
      <c r="DB802" s="1349"/>
      <c r="DC802" s="1349"/>
      <c r="DD802" s="1350"/>
      <c r="DE802" s="1348">
        <f>DE753+DE777+DE797</f>
        <v>86</v>
      </c>
      <c r="DF802" s="1349"/>
      <c r="DG802" s="1349"/>
      <c r="DH802" s="1349"/>
      <c r="DI802" s="1350"/>
      <c r="DJ802" s="1348">
        <f>DJ753+DJ777+DJ797</f>
        <v>43</v>
      </c>
      <c r="DK802" s="1349"/>
      <c r="DL802" s="1349"/>
      <c r="DM802" s="1349"/>
      <c r="DN802" s="1350"/>
      <c r="DO802" s="1351">
        <f>DO797+DO777+DO753</f>
        <v>0</v>
      </c>
      <c r="DP802" s="1352"/>
      <c r="DQ802" s="1352"/>
      <c r="DR802" s="1352"/>
      <c r="DS802" s="1353"/>
      <c r="DT802" s="3"/>
      <c r="DU802" s="861">
        <f>DU755+DU800</f>
        <v>553</v>
      </c>
      <c r="DV802" s="57" t="s">
        <v>1863</v>
      </c>
    </row>
    <row r="803" spans="1:126" s="4" customFormat="1" ht="13.2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2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2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9">
        <v>0</v>
      </c>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2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4">
        <v>0</v>
      </c>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2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v>0</v>
      </c>
      <c r="AA808" s="1523"/>
      <c r="AB808" s="1523"/>
      <c r="AC808" s="1523"/>
      <c r="AD808" s="1523"/>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2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2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2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2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2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146652.63157894739</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2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2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v>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25" customHeight="1">
      <c r="A816"/>
      <c r="B816"/>
      <c r="C816"/>
      <c r="D816"/>
      <c r="E816"/>
      <c r="F816"/>
      <c r="G816"/>
      <c r="H816" s="45" t="s">
        <v>39</v>
      </c>
      <c r="I816" s="5"/>
      <c r="J816" s="5"/>
      <c r="K816" s="5"/>
      <c r="L816" s="5"/>
      <c r="M816" s="5"/>
      <c r="N816" s="5"/>
      <c r="O816" s="5"/>
      <c r="P816" s="1649" t="s">
        <v>2690</v>
      </c>
      <c r="Q816" s="1650"/>
      <c r="R816" s="1650"/>
      <c r="S816" s="1650"/>
      <c r="T816" s="1650"/>
      <c r="U816" s="1650"/>
      <c r="V816" s="1650"/>
      <c r="W816" s="1650"/>
      <c r="X816" s="1650"/>
      <c r="Y816" s="1651"/>
      <c r="Z816" s="1477">
        <v>183315.78947368421</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2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329968.42105263157</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2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4">
        <f>Z817+Y801+Z809</f>
        <v>5561320.4210526319</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2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2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2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2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25" customHeight="1">
      <c r="A823"/>
      <c r="B823"/>
      <c r="C823" s="41"/>
      <c r="D823" s="42"/>
      <c r="E823" s="42"/>
      <c r="F823" s="42"/>
      <c r="G823" s="42"/>
      <c r="H823" s="42"/>
      <c r="I823" s="42"/>
      <c r="J823" s="42"/>
      <c r="K823" s="42"/>
      <c r="L823" s="58"/>
      <c r="M823" s="1692" t="s">
        <v>126</v>
      </c>
      <c r="N823" s="1692"/>
      <c r="O823" s="1692"/>
      <c r="P823" s="1693"/>
      <c r="Q823" s="1628" t="s">
        <v>290</v>
      </c>
      <c r="R823" s="1628"/>
      <c r="S823" s="1628"/>
      <c r="T823" s="1628"/>
      <c r="U823" s="1628" t="s">
        <v>291</v>
      </c>
      <c r="V823" s="1628"/>
      <c r="W823" s="1628"/>
      <c r="X823" s="1628"/>
      <c r="Y823" s="1628" t="s">
        <v>292</v>
      </c>
      <c r="Z823" s="1628"/>
      <c r="AA823" s="1628"/>
      <c r="AB823" s="1628"/>
      <c r="AC823" s="1628" t="s">
        <v>361</v>
      </c>
      <c r="AD823" s="1628"/>
      <c r="AE823" s="1628"/>
      <c r="AF823" s="1628"/>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3.25" customHeight="1">
      <c r="A824"/>
      <c r="B824"/>
      <c r="C824" s="47"/>
      <c r="D824" s="48"/>
      <c r="E824" s="48"/>
      <c r="F824" s="48"/>
      <c r="G824" s="48"/>
      <c r="H824" s="48"/>
      <c r="I824" s="48"/>
      <c r="J824" s="48"/>
      <c r="K824" s="48"/>
      <c r="L824" s="49"/>
      <c r="M824" s="1694"/>
      <c r="N824" s="1694"/>
      <c r="O824" s="1694"/>
      <c r="P824" s="1695"/>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3.25" customHeight="1">
      <c r="A825"/>
      <c r="B825"/>
      <c r="C825" s="1610" t="s">
        <v>40</v>
      </c>
      <c r="D825" s="1485"/>
      <c r="E825" s="1485"/>
      <c r="F825" s="1485"/>
      <c r="G825" s="1485"/>
      <c r="H825" s="1485"/>
      <c r="I825" s="48"/>
      <c r="J825" s="48"/>
      <c r="K825" s="48"/>
      <c r="L825" s="49"/>
      <c r="M825" s="1607">
        <v>0</v>
      </c>
      <c r="N825" s="1607"/>
      <c r="O825" s="1607"/>
      <c r="P825" s="1607"/>
      <c r="Q825" s="1607">
        <v>35</v>
      </c>
      <c r="R825" s="1607"/>
      <c r="S825" s="1607"/>
      <c r="T825" s="1607"/>
      <c r="U825" s="1607">
        <v>45</v>
      </c>
      <c r="V825" s="1607"/>
      <c r="W825" s="1607"/>
      <c r="X825" s="1607"/>
      <c r="Y825" s="1607">
        <v>58</v>
      </c>
      <c r="Z825" s="1607"/>
      <c r="AA825" s="1607"/>
      <c r="AB825" s="1607"/>
      <c r="AC825" s="1492">
        <v>77</v>
      </c>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25" customHeight="1">
      <c r="A826"/>
      <c r="B826"/>
      <c r="C826" s="1506" t="s">
        <v>41</v>
      </c>
      <c r="D826" s="1441"/>
      <c r="E826" s="1441"/>
      <c r="F826" s="1441"/>
      <c r="G826" s="1441"/>
      <c r="H826" s="1441"/>
      <c r="I826" s="5"/>
      <c r="J826" s="5"/>
      <c r="K826" s="5"/>
      <c r="L826" s="46"/>
      <c r="M826" s="1607">
        <v>0</v>
      </c>
      <c r="N826" s="1607"/>
      <c r="O826" s="1607"/>
      <c r="P826" s="1607"/>
      <c r="Q826" s="1607">
        <v>27</v>
      </c>
      <c r="R826" s="1607"/>
      <c r="S826" s="1607"/>
      <c r="T826" s="1607"/>
      <c r="U826" s="1607">
        <v>35</v>
      </c>
      <c r="V826" s="1607"/>
      <c r="W826" s="1607"/>
      <c r="X826" s="1607"/>
      <c r="Y826" s="1607">
        <v>43</v>
      </c>
      <c r="Z826" s="1607"/>
      <c r="AA826" s="1607"/>
      <c r="AB826" s="1607"/>
      <c r="AC826" s="1492">
        <v>54</v>
      </c>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25" customHeight="1">
      <c r="A827"/>
      <c r="B827"/>
      <c r="C827" s="1506" t="s">
        <v>42</v>
      </c>
      <c r="D827" s="1441"/>
      <c r="E827" s="1441"/>
      <c r="F827" s="1441"/>
      <c r="G827" s="1441"/>
      <c r="H827" s="1441"/>
      <c r="I827" s="60"/>
      <c r="J827" s="60"/>
      <c r="K827" s="60"/>
      <c r="L827" s="61"/>
      <c r="M827" s="1607">
        <v>0</v>
      </c>
      <c r="N827" s="1607"/>
      <c r="O827" s="1607"/>
      <c r="P827" s="1607"/>
      <c r="Q827" s="1607">
        <v>14</v>
      </c>
      <c r="R827" s="1607"/>
      <c r="S827" s="1607"/>
      <c r="T827" s="1607"/>
      <c r="U827" s="1607">
        <v>19</v>
      </c>
      <c r="V827" s="1607"/>
      <c r="W827" s="1607"/>
      <c r="X827" s="1607"/>
      <c r="Y827" s="1607">
        <v>23</v>
      </c>
      <c r="Z827" s="1607"/>
      <c r="AA827" s="1607"/>
      <c r="AB827" s="1607"/>
      <c r="AC827" s="1492">
        <v>29</v>
      </c>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25" customHeight="1">
      <c r="A828"/>
      <c r="B828"/>
      <c r="C828" s="1506" t="s">
        <v>762</v>
      </c>
      <c r="D828" s="1441"/>
      <c r="E828" s="1441"/>
      <c r="F828" s="1441"/>
      <c r="G828" s="1441"/>
      <c r="H828" s="1441"/>
      <c r="I828" s="60"/>
      <c r="J828" s="60"/>
      <c r="K828" s="60"/>
      <c r="L828" s="61"/>
      <c r="M828" s="1607">
        <v>0</v>
      </c>
      <c r="N828" s="1607"/>
      <c r="O828" s="1607"/>
      <c r="P828" s="1607"/>
      <c r="Q828" s="1607">
        <v>0</v>
      </c>
      <c r="R828" s="1607"/>
      <c r="S828" s="1607"/>
      <c r="T828" s="1607"/>
      <c r="U828" s="1607">
        <v>0</v>
      </c>
      <c r="V828" s="1607"/>
      <c r="W828" s="1607"/>
      <c r="X828" s="1607"/>
      <c r="Y828" s="1607">
        <v>0</v>
      </c>
      <c r="Z828" s="1607"/>
      <c r="AA828" s="1607"/>
      <c r="AB828" s="1607"/>
      <c r="AC828" s="1492">
        <v>0</v>
      </c>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25" customHeight="1">
      <c r="A829"/>
      <c r="B829"/>
      <c r="C829" s="1506" t="s">
        <v>459</v>
      </c>
      <c r="D829" s="1441"/>
      <c r="E829" s="1441"/>
      <c r="F829" s="1441"/>
      <c r="G829" s="1441"/>
      <c r="H829" s="1441"/>
      <c r="I829" s="60"/>
      <c r="J829" s="60"/>
      <c r="K829" s="60"/>
      <c r="L829" s="61"/>
      <c r="M829" s="1607">
        <v>0</v>
      </c>
      <c r="N829" s="1607"/>
      <c r="O829" s="1607"/>
      <c r="P829" s="1607"/>
      <c r="Q829" s="1607">
        <v>46</v>
      </c>
      <c r="R829" s="1607"/>
      <c r="S829" s="1607"/>
      <c r="T829" s="1607"/>
      <c r="U829" s="1607">
        <v>55</v>
      </c>
      <c r="V829" s="1607"/>
      <c r="W829" s="1607"/>
      <c r="X829" s="1607"/>
      <c r="Y829" s="1607">
        <v>67</v>
      </c>
      <c r="Z829" s="1607"/>
      <c r="AA829" s="1607"/>
      <c r="AB829" s="1607"/>
      <c r="AC829" s="1492">
        <v>77</v>
      </c>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25" customHeight="1">
      <c r="A830"/>
      <c r="B830"/>
      <c r="C830" s="1707" t="s">
        <v>783</v>
      </c>
      <c r="D830" s="1441"/>
      <c r="E830" s="1441"/>
      <c r="F830" s="1441"/>
      <c r="G830" s="1441"/>
      <c r="H830" s="1441"/>
      <c r="I830" s="60"/>
      <c r="J830" s="60"/>
      <c r="K830" s="60"/>
      <c r="L830" s="61"/>
      <c r="M830" s="1607">
        <v>0</v>
      </c>
      <c r="N830" s="1607"/>
      <c r="O830" s="1607"/>
      <c r="P830" s="1607"/>
      <c r="Q830" s="1607">
        <v>0</v>
      </c>
      <c r="R830" s="1607"/>
      <c r="S830" s="1607"/>
      <c r="T830" s="1607"/>
      <c r="U830" s="1607">
        <v>0</v>
      </c>
      <c r="V830" s="1607"/>
      <c r="W830" s="1607"/>
      <c r="X830" s="1607"/>
      <c r="Y830" s="1607">
        <v>0</v>
      </c>
      <c r="Z830" s="1607"/>
      <c r="AA830" s="1607"/>
      <c r="AB830" s="1607"/>
      <c r="AC830" s="1492">
        <v>0</v>
      </c>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25" customHeight="1">
      <c r="A831"/>
      <c r="B831"/>
      <c r="C831" s="59" t="s">
        <v>293</v>
      </c>
      <c r="D831" s="60"/>
      <c r="E831" s="60"/>
      <c r="F831" s="1649" t="s">
        <v>2691</v>
      </c>
      <c r="G831" s="1650"/>
      <c r="H831" s="1650"/>
      <c r="I831" s="1650"/>
      <c r="J831" s="1650"/>
      <c r="K831" s="1650"/>
      <c r="L831" s="1650"/>
      <c r="M831" s="1607">
        <v>0</v>
      </c>
      <c r="N831" s="1607"/>
      <c r="O831" s="1607"/>
      <c r="P831" s="1607"/>
      <c r="Q831" s="1607">
        <v>27</v>
      </c>
      <c r="R831" s="1607"/>
      <c r="S831" s="1607"/>
      <c r="T831" s="1607"/>
      <c r="U831" s="1607">
        <v>36</v>
      </c>
      <c r="V831" s="1607"/>
      <c r="W831" s="1607"/>
      <c r="X831" s="1607"/>
      <c r="Y831" s="1607">
        <v>45</v>
      </c>
      <c r="Z831" s="1607"/>
      <c r="AA831" s="1607"/>
      <c r="AB831" s="1607"/>
      <c r="AC831" s="1492">
        <v>60</v>
      </c>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25" customHeight="1">
      <c r="A832"/>
      <c r="B832"/>
      <c r="C832" s="1408" t="s">
        <v>124</v>
      </c>
      <c r="D832" s="1409"/>
      <c r="E832" s="1409"/>
      <c r="F832" s="1409"/>
      <c r="G832" s="1409"/>
      <c r="H832" s="1409"/>
      <c r="I832" s="1409"/>
      <c r="J832" s="1409"/>
      <c r="K832" s="1409"/>
      <c r="L832" s="1411"/>
      <c r="M832" s="1656">
        <f>SUM(M825:P831)</f>
        <v>0</v>
      </c>
      <c r="N832" s="1656"/>
      <c r="O832" s="1656"/>
      <c r="P832" s="1656"/>
      <c r="Q832" s="1656">
        <f>SUM(Q825:T831)</f>
        <v>149</v>
      </c>
      <c r="R832" s="1656"/>
      <c r="S832" s="1656"/>
      <c r="T832" s="1656"/>
      <c r="U832" s="1656">
        <f>SUM(U825:X831)</f>
        <v>190</v>
      </c>
      <c r="V832" s="1656"/>
      <c r="W832" s="1656"/>
      <c r="X832" s="1656"/>
      <c r="Y832" s="1656">
        <f>SUM(Y825:AB831)</f>
        <v>236</v>
      </c>
      <c r="Z832" s="1656"/>
      <c r="AA832" s="1656"/>
      <c r="AB832" s="1656"/>
      <c r="AC832" s="1656">
        <f>SUM(AC825:AF831)</f>
        <v>297</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3.2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2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2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2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25" customHeight="1">
      <c r="A837"/>
      <c r="B837"/>
      <c r="C837" s="1662" t="s">
        <v>2717</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3.2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2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3.25" customHeight="1">
      <c r="A842"/>
      <c r="B842"/>
      <c r="C842" s="2" t="s">
        <v>343</v>
      </c>
      <c r="D842"/>
      <c r="E842"/>
      <c r="F842"/>
      <c r="G842"/>
      <c r="H842"/>
      <c r="I842"/>
      <c r="J842" s="45" t="s">
        <v>356</v>
      </c>
      <c r="K842" s="5"/>
      <c r="L842" s="5"/>
      <c r="M842" s="5"/>
      <c r="N842" s="5"/>
      <c r="O842" s="5"/>
      <c r="P842" s="5"/>
      <c r="Q842" s="5"/>
      <c r="R842" s="5"/>
      <c r="S842" s="5"/>
      <c r="T842" s="5"/>
      <c r="U842" s="5"/>
      <c r="V842" s="46"/>
      <c r="W842" s="1645">
        <v>10750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3.25" customHeight="1">
      <c r="A843"/>
      <c r="B843"/>
      <c r="C843"/>
      <c r="D843"/>
      <c r="E843"/>
      <c r="F843"/>
      <c r="G843"/>
      <c r="H843"/>
      <c r="I843"/>
      <c r="J843" s="45" t="s">
        <v>355</v>
      </c>
      <c r="K843" s="5"/>
      <c r="L843" s="5"/>
      <c r="M843" s="5"/>
      <c r="N843" s="5"/>
      <c r="O843" s="5"/>
      <c r="P843" s="5"/>
      <c r="Q843" s="5"/>
      <c r="R843" s="5"/>
      <c r="S843" s="5"/>
      <c r="T843" s="5"/>
      <c r="U843" s="5"/>
      <c r="V843" s="46"/>
      <c r="W843" s="1645"/>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3.25" customHeight="1">
      <c r="J844" s="45" t="s">
        <v>354</v>
      </c>
      <c r="K844" s="5"/>
      <c r="L844" s="5"/>
      <c r="M844" s="5"/>
      <c r="N844" s="5"/>
      <c r="O844" s="5"/>
      <c r="P844" s="5"/>
      <c r="Q844" s="5"/>
      <c r="R844" s="5"/>
      <c r="S844" s="5"/>
      <c r="T844" s="5"/>
      <c r="U844" s="5"/>
      <c r="V844" s="46"/>
      <c r="W844" s="1645"/>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3.25" customHeight="1">
      <c r="J845" s="45" t="s">
        <v>353</v>
      </c>
      <c r="K845" s="5"/>
      <c r="L845" s="5"/>
      <c r="M845" s="5"/>
      <c r="N845" s="5"/>
      <c r="O845" s="5"/>
      <c r="P845" s="5"/>
      <c r="Q845" s="5"/>
      <c r="R845" s="5"/>
      <c r="S845" s="5"/>
      <c r="T845" s="5"/>
      <c r="U845" s="5"/>
      <c r="V845" s="46"/>
      <c r="W845" s="1645"/>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3.25" customHeight="1">
      <c r="J846" s="45" t="s">
        <v>170</v>
      </c>
      <c r="K846" s="5"/>
      <c r="L846" s="5"/>
      <c r="M846" s="1649" t="s">
        <v>2692</v>
      </c>
      <c r="N846" s="1650"/>
      <c r="O846" s="1650"/>
      <c r="P846" s="1650"/>
      <c r="Q846" s="1650"/>
      <c r="R846" s="1650"/>
      <c r="S846" s="1650"/>
      <c r="T846" s="1650"/>
      <c r="U846" s="1650"/>
      <c r="V846" s="1651"/>
      <c r="W846" s="1645">
        <v>59125</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3.25" customHeight="1">
      <c r="J847" s="45"/>
      <c r="K847" s="5"/>
      <c r="L847" s="5"/>
      <c r="M847" s="5"/>
      <c r="N847" s="5"/>
      <c r="O847" s="5"/>
      <c r="P847" s="5"/>
      <c r="Q847" s="5"/>
      <c r="R847" s="5"/>
      <c r="S847" s="5"/>
      <c r="T847" s="5"/>
      <c r="U847" s="5"/>
      <c r="V847" s="54" t="s">
        <v>342</v>
      </c>
      <c r="W847" s="1474">
        <f>SUM(W842:W846)</f>
        <v>69875</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25" customHeight="1">
      <c r="AZ848" s="30"/>
      <c r="BA848" s="30"/>
      <c r="BB848" s="14"/>
      <c r="BC848" s="14"/>
      <c r="BD848" s="14"/>
      <c r="BE848" s="14"/>
      <c r="BF848" s="14"/>
      <c r="BG848" s="1641"/>
      <c r="BH848" s="1641"/>
      <c r="BI848" s="1641"/>
      <c r="BJ848" s="1641"/>
      <c r="BK848" s="1641"/>
      <c r="BL848" s="1641"/>
    </row>
    <row r="849" spans="3:55" ht="13.25" customHeight="1">
      <c r="C849" s="2" t="s">
        <v>344</v>
      </c>
      <c r="J849" s="1408" t="s">
        <v>345</v>
      </c>
      <c r="K849" s="1409"/>
      <c r="L849" s="1409"/>
      <c r="M849" s="1409"/>
      <c r="N849" s="1409"/>
      <c r="O849" s="1409"/>
      <c r="P849" s="1409"/>
      <c r="Q849" s="1409"/>
      <c r="R849" s="1409"/>
      <c r="S849" s="1409"/>
      <c r="T849" s="1409"/>
      <c r="U849" s="1409"/>
      <c r="V849" s="1411"/>
      <c r="W849" s="1477">
        <v>171705.76800000001</v>
      </c>
      <c r="X849" s="1338"/>
      <c r="Y849" s="1338"/>
      <c r="Z849" s="1338"/>
      <c r="AA849" s="1338"/>
      <c r="AB849" s="1338"/>
      <c r="AC849" s="1339"/>
      <c r="AD849" s="533"/>
      <c r="AZ849" s="30"/>
      <c r="BA849" s="30"/>
      <c r="BB849" s="14"/>
      <c r="BC849" s="14"/>
    </row>
    <row r="850" spans="3:55" ht="13.25" customHeight="1">
      <c r="AD850" s="533"/>
      <c r="AZ850" s="30"/>
      <c r="BA850" s="30"/>
      <c r="BB850" s="14"/>
      <c r="BC850" s="14"/>
    </row>
    <row r="851" spans="3:55" ht="13.25" customHeight="1">
      <c r="C851" s="2" t="s">
        <v>561</v>
      </c>
      <c r="J851" s="45" t="s">
        <v>352</v>
      </c>
      <c r="K851" s="5"/>
      <c r="L851" s="5"/>
      <c r="M851" s="5"/>
      <c r="N851" s="5"/>
      <c r="O851" s="5"/>
      <c r="P851" s="5"/>
      <c r="Q851" s="5"/>
      <c r="R851" s="5"/>
      <c r="S851" s="5"/>
      <c r="T851" s="5"/>
      <c r="U851" s="5"/>
      <c r="V851" s="46"/>
      <c r="W851" s="1660"/>
      <c r="X851" s="1660"/>
      <c r="Y851" s="1660"/>
      <c r="Z851" s="1660"/>
      <c r="AA851" s="1660"/>
      <c r="AB851" s="1660"/>
      <c r="AC851" s="1660"/>
      <c r="AZ851" s="1627"/>
      <c r="BA851" s="1627"/>
      <c r="BB851" s="14"/>
      <c r="BC851" s="14"/>
    </row>
    <row r="852" spans="3:55" ht="13.25" customHeight="1">
      <c r="J852" s="45" t="s">
        <v>351</v>
      </c>
      <c r="K852" s="5"/>
      <c r="L852" s="5"/>
      <c r="M852" s="5"/>
      <c r="N852" s="5"/>
      <c r="O852" s="5"/>
      <c r="P852" s="5"/>
      <c r="Q852" s="5"/>
      <c r="R852" s="5"/>
      <c r="S852" s="5"/>
      <c r="T852" s="5"/>
      <c r="U852" s="5"/>
      <c r="V852" s="46"/>
      <c r="W852" s="1660"/>
      <c r="X852" s="1660"/>
      <c r="Y852" s="1660"/>
      <c r="Z852" s="1660"/>
      <c r="AA852" s="1660"/>
      <c r="AB852" s="1660"/>
      <c r="AC852" s="1660"/>
      <c r="AZ852" s="30"/>
      <c r="BA852" s="30"/>
      <c r="BB852" s="14"/>
      <c r="BC852" s="14"/>
    </row>
    <row r="853" spans="3:55" ht="13.25" customHeight="1">
      <c r="J853" s="45" t="s">
        <v>459</v>
      </c>
      <c r="K853" s="5"/>
      <c r="L853" s="5"/>
      <c r="M853" s="5"/>
      <c r="N853" s="5"/>
      <c r="O853" s="5"/>
      <c r="P853" s="5"/>
      <c r="Q853" s="5"/>
      <c r="R853" s="5"/>
      <c r="S853" s="5"/>
      <c r="T853" s="5"/>
      <c r="U853" s="5"/>
      <c r="V853" s="46"/>
      <c r="W853" s="1660">
        <v>43000</v>
      </c>
      <c r="X853" s="1660"/>
      <c r="Y853" s="1660"/>
      <c r="Z853" s="1660"/>
      <c r="AA853" s="1660"/>
      <c r="AB853" s="1660"/>
      <c r="AC853" s="1660"/>
      <c r="AZ853" s="30"/>
      <c r="BA853" s="30"/>
      <c r="BB853" s="14"/>
      <c r="BC853" s="14"/>
    </row>
    <row r="854" spans="3:55" ht="13.25" customHeight="1">
      <c r="J854" s="62" t="s">
        <v>620</v>
      </c>
      <c r="K854" s="5"/>
      <c r="L854" s="5"/>
      <c r="M854" s="5"/>
      <c r="N854" s="5"/>
      <c r="O854" s="5"/>
      <c r="P854" s="5"/>
      <c r="Q854" s="5"/>
      <c r="R854" s="5"/>
      <c r="S854" s="5"/>
      <c r="T854" s="5"/>
      <c r="U854" s="5"/>
      <c r="V854" s="46"/>
      <c r="W854" s="1660">
        <v>172000</v>
      </c>
      <c r="X854" s="1660"/>
      <c r="Y854" s="1660"/>
      <c r="Z854" s="1660"/>
      <c r="AA854" s="1660"/>
      <c r="AB854" s="1660"/>
      <c r="AC854" s="1660"/>
      <c r="AZ854" s="34"/>
      <c r="BA854" s="34"/>
      <c r="BB854" s="34"/>
      <c r="BC854" s="34"/>
    </row>
    <row r="855" spans="3:55" ht="13.25" customHeight="1">
      <c r="J855" s="63"/>
      <c r="K855" s="48"/>
      <c r="L855" s="48"/>
      <c r="M855" s="48"/>
      <c r="N855" s="48"/>
      <c r="O855" s="48"/>
      <c r="P855" s="48"/>
      <c r="Q855" s="48"/>
      <c r="R855" s="48"/>
      <c r="S855" s="48"/>
      <c r="T855" s="48"/>
      <c r="U855" s="48"/>
      <c r="V855" s="54" t="s">
        <v>272</v>
      </c>
      <c r="W855" s="1661">
        <f>SUM(W851:W854)</f>
        <v>215000</v>
      </c>
      <c r="X855" s="1661"/>
      <c r="Y855" s="1661"/>
      <c r="Z855" s="1661"/>
      <c r="AA855" s="1661"/>
      <c r="AB855" s="1661"/>
      <c r="AC855" s="1661"/>
      <c r="AZ855" s="34"/>
      <c r="BA855" s="34"/>
      <c r="BB855" s="34"/>
      <c r="BC855" s="34"/>
    </row>
    <row r="856" spans="3:55" ht="13.25" customHeight="1">
      <c r="AZ856" s="34"/>
      <c r="BA856" s="34"/>
      <c r="BB856" s="34"/>
      <c r="BC856" s="34"/>
    </row>
    <row r="857" spans="3:55" ht="13.25" customHeight="1">
      <c r="C857" s="2" t="s">
        <v>346</v>
      </c>
      <c r="J857" s="45" t="s">
        <v>619</v>
      </c>
      <c r="K857" s="5"/>
      <c r="L857" s="5"/>
      <c r="M857" s="5"/>
      <c r="N857" s="5"/>
      <c r="O857" s="5"/>
      <c r="P857" s="5"/>
      <c r="Q857" s="5"/>
      <c r="R857" s="5"/>
      <c r="S857" s="5"/>
      <c r="T857" s="5"/>
      <c r="U857" s="5"/>
      <c r="V857" s="46"/>
      <c r="W857" s="1657">
        <v>180000</v>
      </c>
      <c r="X857" s="1658"/>
      <c r="Y857" s="1658"/>
      <c r="Z857" s="1658"/>
      <c r="AA857" s="1658"/>
      <c r="AB857" s="1658"/>
      <c r="AC857" s="1659"/>
      <c r="AD857" s="528"/>
      <c r="AZ857" s="34"/>
      <c r="BA857" s="34"/>
      <c r="BB857" s="34"/>
      <c r="BC857" s="34"/>
    </row>
    <row r="858" spans="3:55" ht="13.25" customHeight="1">
      <c r="C858" s="2" t="s">
        <v>347</v>
      </c>
      <c r="J858" s="121" t="s">
        <v>1655</v>
      </c>
      <c r="K858" s="5"/>
      <c r="L858" s="5"/>
      <c r="M858" s="5"/>
      <c r="N858" s="5"/>
      <c r="O858" s="5"/>
      <c r="P858" s="5"/>
      <c r="Q858" s="5"/>
      <c r="R858" s="5"/>
      <c r="S858" s="5"/>
      <c r="T858" s="1643">
        <v>4</v>
      </c>
      <c r="U858" s="1606"/>
      <c r="V858" s="1644"/>
      <c r="W858" s="874"/>
      <c r="X858" s="875"/>
      <c r="Y858" s="875"/>
      <c r="Z858" s="875"/>
      <c r="AA858" s="875"/>
      <c r="AB858" s="875"/>
      <c r="AC858" s="876"/>
      <c r="AD858" s="528"/>
      <c r="AZ858" s="34"/>
      <c r="BA858" s="34"/>
      <c r="BB858" s="34"/>
      <c r="BC858" s="34"/>
    </row>
    <row r="859" spans="3:55" ht="13.25" customHeight="1">
      <c r="C859" s="2"/>
      <c r="J859" s="45" t="s">
        <v>618</v>
      </c>
      <c r="K859" s="5"/>
      <c r="L859" s="5"/>
      <c r="M859" s="5"/>
      <c r="N859" s="5"/>
      <c r="O859" s="5"/>
      <c r="P859" s="5"/>
      <c r="Q859" s="5"/>
      <c r="R859" s="5"/>
      <c r="S859" s="5"/>
      <c r="T859" s="5"/>
      <c r="U859" s="5"/>
      <c r="V859" s="46"/>
      <c r="W859" s="1657">
        <v>164000</v>
      </c>
      <c r="X859" s="1658"/>
      <c r="Y859" s="1658"/>
      <c r="Z859" s="1658"/>
      <c r="AA859" s="1658"/>
      <c r="AB859" s="1658"/>
      <c r="AC859" s="1659"/>
      <c r="AD859" s="533"/>
      <c r="AZ859" s="34"/>
      <c r="BA859" s="34"/>
      <c r="BB859" s="34"/>
      <c r="BC859" s="34"/>
    </row>
    <row r="860" spans="3:55" ht="13.25" customHeight="1">
      <c r="C860" s="2"/>
      <c r="J860" s="121" t="s">
        <v>1656</v>
      </c>
      <c r="K860" s="5"/>
      <c r="L860" s="5"/>
      <c r="M860" s="5"/>
      <c r="N860" s="5"/>
      <c r="O860" s="5"/>
      <c r="P860" s="5"/>
      <c r="Q860" s="5"/>
      <c r="R860" s="5"/>
      <c r="S860" s="5"/>
      <c r="T860" s="1643">
        <v>2</v>
      </c>
      <c r="U860" s="1606"/>
      <c r="V860" s="1644"/>
      <c r="W860" s="874"/>
      <c r="X860" s="875"/>
      <c r="Y860" s="875"/>
      <c r="Z860" s="875"/>
      <c r="AA860" s="875"/>
      <c r="AB860" s="875"/>
      <c r="AC860" s="876"/>
      <c r="AD860" s="533"/>
      <c r="AZ860" s="34"/>
      <c r="BA860" s="34"/>
      <c r="BB860" s="34"/>
      <c r="BC860" s="34"/>
    </row>
    <row r="861" spans="3:55" ht="13.25" customHeight="1">
      <c r="J861" s="45" t="s">
        <v>170</v>
      </c>
      <c r="K861" s="5"/>
      <c r="L861" s="5"/>
      <c r="M861" s="1649" t="s">
        <v>2718</v>
      </c>
      <c r="N861" s="1650"/>
      <c r="O861" s="1650"/>
      <c r="P861" s="1650"/>
      <c r="Q861" s="1650"/>
      <c r="R861" s="1650"/>
      <c r="S861" s="1650"/>
      <c r="T861" s="1650"/>
      <c r="U861" s="1650"/>
      <c r="V861" s="1651"/>
      <c r="W861" s="1657">
        <v>86000</v>
      </c>
      <c r="X861" s="1658"/>
      <c r="Y861" s="1658"/>
      <c r="Z861" s="1658"/>
      <c r="AA861" s="1658"/>
      <c r="AB861" s="1658"/>
      <c r="AC861" s="1659"/>
      <c r="AD861" s="528"/>
      <c r="AU861" s="14"/>
      <c r="AZ861" s="34"/>
      <c r="BA861" s="34"/>
      <c r="BB861" s="34"/>
      <c r="BC861" s="34"/>
    </row>
    <row r="862" spans="3:55" ht="13.25" customHeight="1">
      <c r="J862" s="45"/>
      <c r="K862" s="5"/>
      <c r="L862" s="5"/>
      <c r="M862" s="5"/>
      <c r="N862" s="5"/>
      <c r="O862" s="5"/>
      <c r="P862" s="5"/>
      <c r="Q862" s="5"/>
      <c r="R862" s="5"/>
      <c r="S862" s="5"/>
      <c r="T862" s="5"/>
      <c r="U862" s="5"/>
      <c r="V862" s="54" t="s">
        <v>273</v>
      </c>
      <c r="W862" s="1646">
        <f>SUM(W857:W861)</f>
        <v>430000</v>
      </c>
      <c r="X862" s="1647"/>
      <c r="Y862" s="1647"/>
      <c r="Z862" s="1647"/>
      <c r="AA862" s="1647"/>
      <c r="AB862" s="1647"/>
      <c r="AC862" s="1648"/>
      <c r="AD862" s="533"/>
      <c r="AU862" s="14"/>
      <c r="AZ862" s="34"/>
      <c r="BA862" s="34"/>
      <c r="BB862" s="34"/>
      <c r="BC862" s="34"/>
    </row>
    <row r="863" spans="3:55" ht="13.25" customHeight="1">
      <c r="J863" s="45"/>
      <c r="K863" s="5"/>
      <c r="L863" s="5"/>
      <c r="M863" s="5"/>
      <c r="N863" s="5"/>
      <c r="O863" s="5"/>
      <c r="P863" s="5"/>
      <c r="Q863" s="5"/>
      <c r="R863" s="5"/>
      <c r="S863" s="5"/>
      <c r="T863" s="5"/>
      <c r="U863" s="5"/>
      <c r="V863" s="54" t="s">
        <v>274</v>
      </c>
      <c r="W863" s="1657">
        <v>181675</v>
      </c>
      <c r="X863" s="1658"/>
      <c r="Y863" s="1658"/>
      <c r="Z863" s="1658"/>
      <c r="AA863" s="1658"/>
      <c r="AB863" s="1658"/>
      <c r="AC863" s="1659"/>
      <c r="AU863" s="14"/>
      <c r="AZ863" s="34"/>
      <c r="BA863" s="34"/>
      <c r="BB863" s="34"/>
      <c r="BC863" s="34"/>
    </row>
    <row r="864" spans="3:55" ht="13.25" customHeight="1">
      <c r="J864" s="512"/>
      <c r="AU864" s="14"/>
      <c r="AZ864" s="34"/>
      <c r="BA864" s="34"/>
      <c r="BB864" s="34"/>
      <c r="BC864" s="34"/>
    </row>
    <row r="865" spans="3:55" ht="13.25" customHeight="1">
      <c r="C865" s="2" t="s">
        <v>390</v>
      </c>
      <c r="J865" s="45" t="s">
        <v>617</v>
      </c>
      <c r="K865" s="5"/>
      <c r="L865" s="5"/>
      <c r="M865" s="5"/>
      <c r="N865" s="5"/>
      <c r="O865" s="5"/>
      <c r="P865" s="5"/>
      <c r="Q865" s="5"/>
      <c r="R865" s="5"/>
      <c r="S865" s="5"/>
      <c r="T865" s="5"/>
      <c r="U865" s="5"/>
      <c r="V865" s="46"/>
      <c r="W865" s="1645">
        <v>26875</v>
      </c>
      <c r="X865" s="1645"/>
      <c r="Y865" s="1645"/>
      <c r="Z865" s="1645"/>
      <c r="AA865" s="1645"/>
      <c r="AB865" s="1645"/>
      <c r="AC865" s="1645"/>
      <c r="AU865" s="14"/>
      <c r="AZ865" s="34"/>
      <c r="BA865" s="34"/>
      <c r="BB865" s="34"/>
      <c r="BC865" s="34"/>
    </row>
    <row r="866" spans="3:55" ht="13.25" customHeight="1">
      <c r="J866" s="45" t="s">
        <v>522</v>
      </c>
      <c r="K866" s="5"/>
      <c r="L866" s="5"/>
      <c r="M866" s="5"/>
      <c r="N866" s="5"/>
      <c r="O866" s="5"/>
      <c r="P866" s="5"/>
      <c r="Q866" s="5"/>
      <c r="R866" s="5"/>
      <c r="S866" s="5"/>
      <c r="T866" s="5"/>
      <c r="U866" s="5"/>
      <c r="V866" s="46"/>
      <c r="W866" s="1645">
        <v>64500</v>
      </c>
      <c r="X866" s="1645"/>
      <c r="Y866" s="1645"/>
      <c r="Z866" s="1645"/>
      <c r="AA866" s="1645"/>
      <c r="AB866" s="1645"/>
      <c r="AC866" s="1645"/>
      <c r="AU866" s="4"/>
      <c r="AZ866" s="34"/>
      <c r="BA866" s="34"/>
      <c r="BB866" s="34"/>
      <c r="BC866" s="34"/>
    </row>
    <row r="867" spans="3:55" ht="13.25" customHeight="1">
      <c r="J867" s="45" t="s">
        <v>521</v>
      </c>
      <c r="K867" s="5"/>
      <c r="L867" s="5"/>
      <c r="M867" s="5"/>
      <c r="N867" s="5"/>
      <c r="O867" s="5"/>
      <c r="P867" s="5"/>
      <c r="Q867" s="5"/>
      <c r="R867" s="5"/>
      <c r="S867" s="5"/>
      <c r="T867" s="5"/>
      <c r="U867" s="5"/>
      <c r="V867" s="46"/>
      <c r="W867" s="1645">
        <v>64500</v>
      </c>
      <c r="X867" s="1645"/>
      <c r="Y867" s="1645"/>
      <c r="Z867" s="1645"/>
      <c r="AA867" s="1645"/>
      <c r="AB867" s="1645"/>
      <c r="AC867" s="1645"/>
      <c r="AU867" s="4"/>
      <c r="AZ867" s="34"/>
      <c r="BA867" s="34"/>
      <c r="BB867" s="34"/>
      <c r="BC867" s="34"/>
    </row>
    <row r="868" spans="3:55" ht="13.25" customHeight="1">
      <c r="J868" s="45" t="s">
        <v>520</v>
      </c>
      <c r="K868" s="5"/>
      <c r="L868" s="5"/>
      <c r="M868" s="5"/>
      <c r="N868" s="5"/>
      <c r="O868" s="5"/>
      <c r="P868" s="5"/>
      <c r="Q868" s="5"/>
      <c r="R868" s="5"/>
      <c r="S868" s="5"/>
      <c r="T868" s="5"/>
      <c r="U868" s="5"/>
      <c r="V868" s="46"/>
      <c r="W868" s="1645">
        <v>34400</v>
      </c>
      <c r="X868" s="1645"/>
      <c r="Y868" s="1645"/>
      <c r="Z868" s="1645"/>
      <c r="AA868" s="1645"/>
      <c r="AB868" s="1645"/>
      <c r="AC868" s="1645"/>
      <c r="AU868" s="4"/>
      <c r="AZ868" s="34"/>
      <c r="BA868" s="34"/>
      <c r="BB868" s="34"/>
      <c r="BC868" s="34"/>
    </row>
    <row r="869" spans="3:55" ht="13.25" customHeight="1">
      <c r="J869" s="45" t="s">
        <v>519</v>
      </c>
      <c r="K869" s="5"/>
      <c r="L869" s="5"/>
      <c r="M869" s="5"/>
      <c r="N869" s="5"/>
      <c r="O869" s="5"/>
      <c r="P869" s="5"/>
      <c r="Q869" s="5"/>
      <c r="R869" s="5"/>
      <c r="S869" s="5"/>
      <c r="T869" s="5"/>
      <c r="U869" s="5"/>
      <c r="V869" s="46"/>
      <c r="W869" s="1645">
        <v>34400</v>
      </c>
      <c r="X869" s="1645"/>
      <c r="Y869" s="1645"/>
      <c r="Z869" s="1645"/>
      <c r="AA869" s="1645"/>
      <c r="AB869" s="1645"/>
      <c r="AC869" s="1645"/>
      <c r="AU869" s="4"/>
      <c r="AZ869" s="34"/>
      <c r="BA869" s="34"/>
      <c r="BB869" s="34"/>
      <c r="BC869" s="34"/>
    </row>
    <row r="870" spans="3:55" ht="13.25" customHeight="1">
      <c r="J870" s="45" t="s">
        <v>518</v>
      </c>
      <c r="K870" s="5"/>
      <c r="L870" s="5"/>
      <c r="M870" s="5"/>
      <c r="N870" s="5"/>
      <c r="O870" s="5"/>
      <c r="P870" s="5"/>
      <c r="Q870" s="5"/>
      <c r="R870" s="5"/>
      <c r="S870" s="5"/>
      <c r="T870" s="5"/>
      <c r="U870" s="5"/>
      <c r="V870" s="46"/>
      <c r="W870" s="1645"/>
      <c r="X870" s="1645"/>
      <c r="Y870" s="1645"/>
      <c r="Z870" s="1645"/>
      <c r="AA870" s="1645"/>
      <c r="AB870" s="1645"/>
      <c r="AC870" s="1645"/>
      <c r="AU870" s="4"/>
      <c r="AZ870" s="34"/>
      <c r="BA870" s="34"/>
      <c r="BB870" s="34"/>
      <c r="BC870" s="34"/>
    </row>
    <row r="871" spans="3:55" ht="13.25" customHeight="1">
      <c r="J871" s="45" t="s">
        <v>170</v>
      </c>
      <c r="K871" s="5"/>
      <c r="L871" s="5"/>
      <c r="M871" s="1649"/>
      <c r="N871" s="1650"/>
      <c r="O871" s="1650"/>
      <c r="P871" s="1650"/>
      <c r="Q871" s="1650"/>
      <c r="R871" s="1650"/>
      <c r="S871" s="1650"/>
      <c r="T871" s="1650"/>
      <c r="U871" s="1650"/>
      <c r="V871" s="1651"/>
      <c r="W871" s="1645"/>
      <c r="X871" s="1645"/>
      <c r="Y871" s="1645"/>
      <c r="Z871" s="1645"/>
      <c r="AA871" s="1645"/>
      <c r="AB871" s="1645"/>
      <c r="AC871" s="1645"/>
      <c r="AD871" s="533"/>
      <c r="AU871" s="4"/>
      <c r="AV871" s="14"/>
      <c r="AW871" s="14"/>
      <c r="AX871" s="14"/>
      <c r="AY871" s="14"/>
      <c r="AZ871" s="34"/>
      <c r="BA871" s="34"/>
      <c r="BB871" s="34"/>
      <c r="BC871" s="34"/>
    </row>
    <row r="872" spans="3:55" ht="13.25" customHeight="1">
      <c r="J872" s="45"/>
      <c r="K872" s="5"/>
      <c r="L872" s="5"/>
      <c r="M872" s="5"/>
      <c r="N872" s="5"/>
      <c r="O872" s="5"/>
      <c r="P872" s="5"/>
      <c r="Q872" s="5"/>
      <c r="R872" s="5"/>
      <c r="S872" s="5"/>
      <c r="T872" s="5"/>
      <c r="U872" s="5"/>
      <c r="V872" s="54" t="s">
        <v>275</v>
      </c>
      <c r="W872" s="1608">
        <f>SUM(W865:W871)</f>
        <v>224675</v>
      </c>
      <c r="X872" s="1608"/>
      <c r="Y872" s="1608"/>
      <c r="Z872" s="1608"/>
      <c r="AA872" s="1608"/>
      <c r="AB872" s="1608"/>
      <c r="AC872" s="1608"/>
      <c r="AU872" s="4"/>
      <c r="AV872" s="14"/>
      <c r="AW872" s="14"/>
      <c r="AX872" s="14"/>
      <c r="AY872" s="14"/>
      <c r="AZ872" s="34"/>
      <c r="BA872" s="34"/>
      <c r="BB872" s="34"/>
      <c r="BC872" s="34"/>
    </row>
    <row r="873" spans="3:55" ht="13.25" customHeight="1">
      <c r="AU873" s="4"/>
      <c r="AV873" s="14"/>
      <c r="AW873" s="14"/>
      <c r="AX873" s="14"/>
      <c r="AY873" s="14"/>
      <c r="AZ873" s="34"/>
      <c r="BA873" s="34"/>
      <c r="BB873" s="34"/>
      <c r="BC873" s="34"/>
    </row>
    <row r="874" spans="3:55" ht="13.25" customHeight="1">
      <c r="C874" s="2" t="s">
        <v>1243</v>
      </c>
      <c r="J874" s="45" t="s">
        <v>170</v>
      </c>
      <c r="K874" s="5"/>
      <c r="L874" s="5"/>
      <c r="M874" s="1649"/>
      <c r="N874" s="1650"/>
      <c r="O874" s="1650"/>
      <c r="P874" s="1650"/>
      <c r="Q874" s="1650"/>
      <c r="R874" s="1650"/>
      <c r="S874" s="1650"/>
      <c r="T874" s="1650"/>
      <c r="U874" s="1650"/>
      <c r="V874" s="1651"/>
      <c r="W874" s="1477"/>
      <c r="X874" s="1338"/>
      <c r="Y874" s="1338"/>
      <c r="Z874" s="1338"/>
      <c r="AA874" s="1338"/>
      <c r="AB874" s="1338"/>
      <c r="AC874" s="1339"/>
      <c r="AD874" s="533"/>
      <c r="AV874" s="14"/>
      <c r="AW874" s="14"/>
      <c r="AX874" s="14"/>
      <c r="AY874" s="14"/>
      <c r="AZ874" s="34"/>
      <c r="BA874" s="34"/>
      <c r="BB874" s="34"/>
      <c r="BC874" s="34"/>
    </row>
    <row r="875" spans="3:55" ht="13.25" customHeight="1">
      <c r="C875" s="2" t="s">
        <v>1244</v>
      </c>
      <c r="J875" s="45" t="s">
        <v>170</v>
      </c>
      <c r="K875" s="5"/>
      <c r="L875" s="5"/>
      <c r="M875" s="1649" t="s">
        <v>334</v>
      </c>
      <c r="N875" s="1650"/>
      <c r="O875" s="1650"/>
      <c r="P875" s="1650"/>
      <c r="Q875" s="1650"/>
      <c r="R875" s="1650"/>
      <c r="S875" s="1650"/>
      <c r="T875" s="1650"/>
      <c r="U875" s="1650"/>
      <c r="V875" s="1651"/>
      <c r="W875" s="1477"/>
      <c r="X875" s="1338"/>
      <c r="Y875" s="1338"/>
      <c r="Z875" s="1338"/>
      <c r="AA875" s="1338"/>
      <c r="AB875" s="1338"/>
      <c r="AC875" s="1339"/>
      <c r="AD875" s="533"/>
      <c r="AV875" s="14"/>
      <c r="AW875" s="14"/>
      <c r="AX875" s="14"/>
      <c r="AY875" s="14"/>
      <c r="AZ875" s="34"/>
      <c r="BA875" s="34"/>
      <c r="BB875" s="34"/>
      <c r="BC875" s="34"/>
    </row>
    <row r="876" spans="3:55" ht="13.25" customHeight="1">
      <c r="J876" s="45" t="s">
        <v>170</v>
      </c>
      <c r="K876" s="5"/>
      <c r="L876" s="5"/>
      <c r="M876" s="1649" t="s">
        <v>334</v>
      </c>
      <c r="N876" s="1650"/>
      <c r="O876" s="1650"/>
      <c r="P876" s="1650"/>
      <c r="Q876" s="1650"/>
      <c r="R876" s="1650"/>
      <c r="S876" s="1650"/>
      <c r="T876" s="1650"/>
      <c r="U876" s="1650"/>
      <c r="V876" s="1651"/>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25" customHeight="1">
      <c r="J877" s="45" t="s">
        <v>170</v>
      </c>
      <c r="K877" s="5"/>
      <c r="L877" s="5"/>
      <c r="M877" s="1649" t="s">
        <v>334</v>
      </c>
      <c r="N877" s="1650"/>
      <c r="O877" s="1650"/>
      <c r="P877" s="1650"/>
      <c r="Q877" s="1650"/>
      <c r="R877" s="1650"/>
      <c r="S877" s="1650"/>
      <c r="T877" s="1650"/>
      <c r="U877" s="1650"/>
      <c r="V877" s="1651"/>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25" customHeight="1">
      <c r="J878" s="45" t="s">
        <v>170</v>
      </c>
      <c r="K878" s="5"/>
      <c r="L878" s="5"/>
      <c r="M878" s="1649" t="s">
        <v>334</v>
      </c>
      <c r="N878" s="1650"/>
      <c r="O878" s="1650"/>
      <c r="P878" s="1650"/>
      <c r="Q878" s="1650"/>
      <c r="R878" s="1650"/>
      <c r="S878" s="1650"/>
      <c r="T878" s="1650"/>
      <c r="U878" s="1650"/>
      <c r="V878" s="1651"/>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25"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2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2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2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2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1292930.7679999999</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2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2">
        <f>O797+O777+G753</f>
        <v>215</v>
      </c>
      <c r="AD884" s="1652"/>
      <c r="AE884" s="1652"/>
      <c r="AF884" s="1652"/>
      <c r="AG884" s="1652"/>
      <c r="AH884" s="1653"/>
      <c r="AL884" s="4"/>
      <c r="AM884" s="4"/>
      <c r="AN884" s="4"/>
      <c r="AO884" s="4"/>
      <c r="AP884" s="4"/>
      <c r="AQ884" s="4"/>
      <c r="AR884" s="4"/>
      <c r="AS884" s="4"/>
      <c r="AT884" s="4"/>
      <c r="AZ884" s="34"/>
      <c r="BA884" s="34"/>
      <c r="BB884" s="34"/>
      <c r="BC884" s="34"/>
    </row>
    <row r="885" spans="3:55" ht="13.25" customHeight="1">
      <c r="C885" s="41"/>
      <c r="D885" s="42"/>
      <c r="E885" s="1715" t="s">
        <v>32</v>
      </c>
      <c r="F885" s="1715"/>
      <c r="G885" s="1715"/>
      <c r="H885" s="1715"/>
      <c r="I885" s="1715"/>
      <c r="J885" s="1715"/>
      <c r="K885" s="1715"/>
      <c r="L885" s="1715"/>
      <c r="M885" s="1715"/>
      <c r="N885" s="1715"/>
      <c r="O885" s="1715"/>
      <c r="P885" s="1715"/>
      <c r="Q885" s="1715"/>
      <c r="R885" s="1715"/>
      <c r="S885" s="1715"/>
      <c r="T885" s="1715"/>
      <c r="U885" s="1715"/>
      <c r="V885" s="1715"/>
      <c r="W885" s="1715"/>
      <c r="X885" s="1715"/>
      <c r="Y885" s="1715"/>
      <c r="Z885" s="1715"/>
      <c r="AA885" s="1715"/>
      <c r="AB885" s="1716"/>
      <c r="AC885" s="1608">
        <f>IF(ISERROR((ROUNDDOWN(AC883/AC884,0))),0,(ROUNDDOWN(AC883/AC884,0)))</f>
        <v>6013</v>
      </c>
      <c r="AD885" s="1608"/>
      <c r="AE885" s="1608"/>
      <c r="AF885" s="1608"/>
      <c r="AG885" s="1608"/>
      <c r="AH885" s="1608"/>
      <c r="AL885" s="4"/>
      <c r="AM885" s="4"/>
      <c r="AN885" s="4"/>
      <c r="AO885" s="4"/>
      <c r="AP885" s="4"/>
      <c r="AQ885" s="4"/>
      <c r="AR885" s="4"/>
      <c r="AS885" s="4"/>
      <c r="AT885" s="4"/>
      <c r="AZ885" s="34"/>
      <c r="BA885" s="34"/>
      <c r="BB885" s="34"/>
      <c r="BC885" s="34"/>
    </row>
    <row r="886" spans="3:55" ht="13.2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4">
        <v>997984</v>
      </c>
      <c r="AD886" s="1655"/>
      <c r="AE886" s="1655"/>
      <c r="AF886" s="1655"/>
      <c r="AG886" s="1655"/>
      <c r="AH886" s="1655"/>
      <c r="AL886" s="4"/>
      <c r="AM886" s="4"/>
      <c r="AN886" s="4"/>
      <c r="AO886" s="4"/>
      <c r="AP886" s="4"/>
      <c r="AQ886" s="4"/>
      <c r="AR886" s="4"/>
      <c r="AS886" s="4"/>
      <c r="AT886" s="4"/>
      <c r="AZ886" s="34"/>
      <c r="BA886" s="34"/>
      <c r="BB886" s="34"/>
      <c r="BC886" s="34"/>
    </row>
    <row r="887" spans="3:55" ht="13.2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v>0</v>
      </c>
      <c r="AD887" s="1645"/>
      <c r="AE887" s="1645"/>
      <c r="AF887" s="1645"/>
      <c r="AG887" s="1645"/>
      <c r="AH887" s="1645"/>
      <c r="AL887" s="4"/>
      <c r="AM887" s="4"/>
      <c r="AN887" s="4"/>
      <c r="AO887" s="4"/>
      <c r="AP887" s="4"/>
      <c r="AQ887" s="4"/>
      <c r="AR887" s="4"/>
      <c r="AS887" s="4"/>
      <c r="AT887" s="4"/>
      <c r="AZ887" s="34"/>
      <c r="BA887" s="34"/>
      <c r="BB887" s="34"/>
      <c r="BC887" s="34"/>
    </row>
    <row r="888" spans="3:55" ht="13.2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26500</v>
      </c>
      <c r="AD888" s="1338"/>
      <c r="AE888" s="1338"/>
      <c r="AF888" s="1338"/>
      <c r="AG888" s="1338"/>
      <c r="AH888" s="1339"/>
      <c r="AL888" s="4"/>
      <c r="AM888" s="4"/>
      <c r="AN888" s="4"/>
      <c r="AO888" s="4"/>
      <c r="AP888" s="4"/>
      <c r="AQ888" s="4"/>
      <c r="AR888" s="4"/>
      <c r="AS888" s="4"/>
      <c r="AT888" s="4"/>
      <c r="AZ888" s="34"/>
      <c r="BA888" s="34"/>
      <c r="BB888" s="34"/>
      <c r="BC888" s="34"/>
    </row>
    <row r="889" spans="3:55" ht="13.2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64500</v>
      </c>
      <c r="AD889" s="1338"/>
      <c r="AE889" s="1338"/>
      <c r="AF889" s="1338"/>
      <c r="AG889" s="1338"/>
      <c r="AH889" s="1339"/>
      <c r="AZ889" s="34"/>
      <c r="BA889" s="34"/>
      <c r="BB889" s="34"/>
      <c r="BC889" s="34"/>
    </row>
    <row r="890" spans="3:55" ht="13.2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2"/>
      <c r="AD890" s="1493"/>
      <c r="AE890" s="1493"/>
      <c r="AF890" s="1493"/>
      <c r="AG890" s="1493"/>
      <c r="AH890" s="1494"/>
      <c r="AZ890" s="34"/>
      <c r="BA890" s="34"/>
      <c r="BB890" s="34"/>
      <c r="BC890" s="34"/>
    </row>
    <row r="891" spans="3:55" ht="13.2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3.25"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2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3.25" customHeight="1">
      <c r="C894" s="1672" t="s">
        <v>2693</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5">
        <v>20900</v>
      </c>
      <c r="AD894" s="1645"/>
      <c r="AE894" s="1645"/>
      <c r="AF894" s="1645"/>
      <c r="AG894" s="1645"/>
      <c r="AH894" s="1645"/>
      <c r="AZ894" s="34"/>
      <c r="BA894" s="34"/>
      <c r="BB894" s="34"/>
      <c r="BC894" s="34"/>
    </row>
    <row r="895" spans="3:55" ht="13.25" customHeight="1">
      <c r="C895" s="1672" t="s">
        <v>956</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5"/>
      <c r="AD895" s="1645"/>
      <c r="AE895" s="1645"/>
      <c r="AF895" s="1645"/>
      <c r="AG895" s="1645"/>
      <c r="AH895" s="1645"/>
      <c r="AU895" s="95"/>
      <c r="AZ895" s="34"/>
      <c r="BA895" s="34"/>
      <c r="BB895" s="34"/>
      <c r="BC895" s="34"/>
    </row>
    <row r="896" spans="3:55" ht="13.25" customHeight="1">
      <c r="E896" s="512"/>
      <c r="AB896" s="56"/>
      <c r="AC896" s="123"/>
      <c r="AD896" s="123"/>
      <c r="AE896" s="123"/>
      <c r="AF896" s="123"/>
      <c r="AG896" s="123"/>
      <c r="AH896" s="123"/>
      <c r="AU896" s="95"/>
      <c r="AZ896" s="34"/>
      <c r="BA896" s="34"/>
      <c r="BB896" s="34"/>
      <c r="BC896" s="34"/>
    </row>
    <row r="897" spans="1:58" ht="13.25" customHeight="1">
      <c r="A897" s="2" t="s">
        <v>613</v>
      </c>
      <c r="C897" s="2" t="s">
        <v>237</v>
      </c>
      <c r="X897" s="12"/>
      <c r="Y897" s="12"/>
      <c r="Z897" s="12"/>
      <c r="AA897" s="12"/>
      <c r="AB897" s="12"/>
      <c r="AC897" s="12"/>
      <c r="AD897" s="12"/>
      <c r="AU897" s="95"/>
      <c r="AZ897" s="34"/>
      <c r="BB897" s="30"/>
      <c r="BC897" s="30"/>
    </row>
    <row r="898" spans="1:58" ht="13.25" customHeight="1">
      <c r="X898" s="12"/>
      <c r="Y898" s="12"/>
      <c r="Z898" s="12"/>
      <c r="AA898" s="12"/>
      <c r="AB898" s="12"/>
      <c r="AC898" s="12"/>
      <c r="AD898" s="12"/>
      <c r="AF898" s="533"/>
      <c r="AG898" s="180"/>
      <c r="AH898" s="180"/>
      <c r="AI898" s="180"/>
      <c r="AU898" s="95"/>
      <c r="AZ898" s="34"/>
      <c r="BB898" s="30"/>
      <c r="BC898" s="30"/>
      <c r="BD898" s="14"/>
      <c r="BE898" s="14"/>
      <c r="BF898" s="14"/>
    </row>
    <row r="899" spans="1:58" ht="13.25" customHeight="1">
      <c r="B899" s="2"/>
      <c r="H899" s="121" t="s">
        <v>238</v>
      </c>
      <c r="I899" s="5"/>
      <c r="J899" s="5"/>
      <c r="K899" s="5"/>
      <c r="L899" s="5"/>
      <c r="M899" s="5"/>
      <c r="N899" s="5"/>
      <c r="O899" s="5"/>
      <c r="P899" s="5"/>
      <c r="Q899" s="5"/>
      <c r="R899" s="5"/>
      <c r="S899" s="5"/>
      <c r="T899" s="5"/>
      <c r="U899" s="5"/>
      <c r="V899" s="5"/>
      <c r="W899" s="5"/>
      <c r="X899" s="5"/>
      <c r="Y899" s="46"/>
      <c r="Z899" s="1477">
        <v>0</v>
      </c>
      <c r="AA899" s="1338"/>
      <c r="AB899" s="1338"/>
      <c r="AC899" s="1338"/>
      <c r="AD899" s="1338"/>
      <c r="AE899" s="1339"/>
      <c r="AF899" s="533"/>
      <c r="AZ899" s="34"/>
      <c r="BB899" s="30"/>
      <c r="BC899" s="816"/>
      <c r="BD899" s="1642"/>
      <c r="BE899" s="1642"/>
      <c r="BF899" s="14"/>
    </row>
    <row r="900" spans="1:58" ht="13.25" customHeight="1">
      <c r="H900" s="121" t="s">
        <v>239</v>
      </c>
      <c r="I900" s="5"/>
      <c r="J900" s="5"/>
      <c r="K900" s="5"/>
      <c r="L900" s="5"/>
      <c r="M900" s="5"/>
      <c r="N900" s="5"/>
      <c r="O900" s="5"/>
      <c r="P900" s="5"/>
      <c r="Q900" s="5"/>
      <c r="R900" s="5"/>
      <c r="S900" s="5"/>
      <c r="T900" s="5"/>
      <c r="U900" s="5"/>
      <c r="V900" s="5"/>
      <c r="W900" s="5"/>
      <c r="X900" s="5"/>
      <c r="Y900" s="5"/>
      <c r="Z900" s="1477">
        <v>0</v>
      </c>
      <c r="AA900" s="1338"/>
      <c r="AB900" s="1338"/>
      <c r="AC900" s="1338"/>
      <c r="AD900" s="1338"/>
      <c r="AE900" s="1339"/>
      <c r="AZ900" s="34"/>
      <c r="BB900" s="30"/>
      <c r="BC900" s="816"/>
      <c r="BD900" s="1642"/>
      <c r="BE900" s="1642"/>
      <c r="BF900" s="14"/>
    </row>
    <row r="901" spans="1:58" ht="13.25" customHeight="1">
      <c r="H901" s="121" t="s">
        <v>240</v>
      </c>
      <c r="I901" s="5"/>
      <c r="J901" s="5"/>
      <c r="K901" s="5"/>
      <c r="L901" s="5"/>
      <c r="M901" s="5"/>
      <c r="N901" s="5"/>
      <c r="O901" s="5"/>
      <c r="P901" s="5"/>
      <c r="Q901" s="5"/>
      <c r="R901" s="5"/>
      <c r="S901" s="5"/>
      <c r="T901" s="5"/>
      <c r="U901" s="5"/>
      <c r="V901" s="5"/>
      <c r="W901" s="5"/>
      <c r="X901" s="5"/>
      <c r="Y901" s="5"/>
      <c r="Z901" s="1477">
        <v>0</v>
      </c>
      <c r="AA901" s="1338"/>
      <c r="AB901" s="1338"/>
      <c r="AC901" s="1338"/>
      <c r="AD901" s="1338"/>
      <c r="AE901" s="1339"/>
      <c r="AZ901" s="34"/>
      <c r="BB901" s="30"/>
      <c r="BC901" s="816"/>
      <c r="BD901" s="1641"/>
      <c r="BE901" s="1641"/>
      <c r="BF901" s="14"/>
    </row>
    <row r="902" spans="1:58" ht="13.25"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41"/>
      <c r="BE902" s="1641"/>
      <c r="BF902" s="14"/>
    </row>
    <row r="903" spans="1:58" ht="13.2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3.2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3.2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0"/>
      <c r="BE905" s="1670"/>
      <c r="BF905" s="1670"/>
    </row>
    <row r="906" spans="1:58" ht="13.2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3.2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3.2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3.25" customHeight="1">
      <c r="AZ909" s="34"/>
      <c r="BB909" s="30"/>
      <c r="BC909" s="816"/>
    </row>
    <row r="910" spans="1:58" ht="13.2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42"/>
      <c r="BE910" s="1641"/>
      <c r="BF910" s="911"/>
    </row>
    <row r="911" spans="1:58" ht="13.2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3.2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2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25" customHeight="1">
      <c r="AZ914" s="34"/>
      <c r="BA914" s="34"/>
      <c r="BB914" s="34"/>
      <c r="BC914" s="34"/>
    </row>
    <row r="915" spans="1:58" ht="13.25" customHeight="1">
      <c r="F915" s="1717" t="s">
        <v>792</v>
      </c>
      <c r="G915" s="1718"/>
      <c r="H915" s="1718"/>
      <c r="I915" s="1718"/>
      <c r="J915" s="1718"/>
      <c r="K915" s="1718"/>
      <c r="L915" s="1718"/>
      <c r="M915" s="1718"/>
      <c r="N915" s="1718"/>
      <c r="O915" s="1718"/>
      <c r="P915" s="1718"/>
      <c r="Q915" s="1718"/>
      <c r="R915" s="1718"/>
      <c r="S915" s="1718"/>
      <c r="T915" s="1719"/>
      <c r="U915" s="1760" t="s">
        <v>31</v>
      </c>
      <c r="V915" s="1692"/>
      <c r="W915" s="1692"/>
      <c r="X915" s="1692"/>
      <c r="Y915" s="1692"/>
      <c r="Z915" s="1692"/>
      <c r="AA915" s="43"/>
      <c r="AB915" s="105"/>
      <c r="AC915" s="105"/>
      <c r="AD915" s="105"/>
      <c r="AE915" s="105"/>
      <c r="AF915" s="106"/>
      <c r="AZ915" s="34"/>
      <c r="BA915" s="34"/>
      <c r="BB915" s="34"/>
      <c r="BC915" s="34"/>
    </row>
    <row r="916" spans="1:58" ht="13.25" customHeight="1">
      <c r="B916" s="2"/>
      <c r="F916" s="1761" t="s">
        <v>818</v>
      </c>
      <c r="G916" s="1762"/>
      <c r="H916" s="1762"/>
      <c r="I916" s="1762"/>
      <c r="J916" s="1762"/>
      <c r="K916" s="1762"/>
      <c r="L916" s="1762"/>
      <c r="M916" s="1762"/>
      <c r="N916" s="1762"/>
      <c r="O916" s="1762"/>
      <c r="P916" s="1762"/>
      <c r="Q916" s="1762"/>
      <c r="R916" s="1762"/>
      <c r="S916" s="1762"/>
      <c r="T916" s="1784"/>
      <c r="U916" s="1761"/>
      <c r="V916" s="1762"/>
      <c r="W916" s="1762"/>
      <c r="X916" s="1762"/>
      <c r="Y916" s="1762"/>
      <c r="Z916" s="1762"/>
      <c r="AA916" s="44"/>
      <c r="AB916" s="4"/>
      <c r="AC916" s="4"/>
      <c r="AD916" s="4"/>
      <c r="AE916" s="4"/>
      <c r="AF916" s="107"/>
      <c r="AZ916" s="34"/>
      <c r="BA916" s="34"/>
      <c r="BB916" s="34"/>
      <c r="BC916" s="34"/>
    </row>
    <row r="917" spans="1:58" ht="13.25" customHeight="1">
      <c r="B917" s="2"/>
      <c r="F917" s="1763"/>
      <c r="G917" s="1694"/>
      <c r="H917" s="1694"/>
      <c r="I917" s="1694"/>
      <c r="J917" s="1694"/>
      <c r="K917" s="1694"/>
      <c r="L917" s="1694"/>
      <c r="M917" s="1694"/>
      <c r="N917" s="1694"/>
      <c r="O917" s="1694"/>
      <c r="P917" s="1694"/>
      <c r="Q917" s="1694"/>
      <c r="R917" s="1694"/>
      <c r="S917" s="1694"/>
      <c r="T917" s="1695"/>
      <c r="U917" s="1763"/>
      <c r="V917" s="1694"/>
      <c r="W917" s="1694"/>
      <c r="X917" s="1694"/>
      <c r="Y917" s="1694"/>
      <c r="Z917" s="1694"/>
      <c r="AA917" s="108"/>
      <c r="AB917" s="1431" t="s">
        <v>391</v>
      </c>
      <c r="AC917" s="1431"/>
      <c r="AD917" s="1431"/>
      <c r="AE917" s="1431"/>
      <c r="AF917" s="109"/>
      <c r="AZ917" s="34"/>
      <c r="BA917" s="34"/>
      <c r="BB917" s="34"/>
      <c r="BC917" s="34"/>
    </row>
    <row r="918" spans="1:58" ht="13.25" customHeight="1">
      <c r="B918" s="2"/>
      <c r="F918" s="45" t="s">
        <v>758</v>
      </c>
      <c r="G918" s="48"/>
      <c r="H918" s="48"/>
      <c r="I918" s="48"/>
      <c r="J918" s="48"/>
      <c r="K918" s="48"/>
      <c r="L918" s="48"/>
      <c r="M918" s="48"/>
      <c r="N918" s="48"/>
      <c r="O918" s="48"/>
      <c r="P918" s="48"/>
      <c r="Q918" s="48"/>
      <c r="R918" s="48"/>
      <c r="S918" s="48"/>
      <c r="T918" s="49"/>
      <c r="U918" s="1635" t="s">
        <v>545</v>
      </c>
      <c r="V918" s="1427"/>
      <c r="W918" s="1427"/>
      <c r="X918" s="1427"/>
      <c r="Y918" s="1427"/>
      <c r="Z918" s="1428"/>
      <c r="AA918" s="1639">
        <v>31300000</v>
      </c>
      <c r="AB918" s="1527"/>
      <c r="AC918" s="1527"/>
      <c r="AD918" s="1527"/>
      <c r="AE918" s="1527"/>
      <c r="AF918" s="1640"/>
      <c r="AZ918" s="34"/>
      <c r="BA918" s="34"/>
      <c r="BB918" s="34"/>
      <c r="BC918" s="34"/>
    </row>
    <row r="919" spans="1:58" ht="13.25" customHeight="1">
      <c r="B919" s="2"/>
      <c r="F919" s="66" t="s">
        <v>675</v>
      </c>
      <c r="G919" s="48"/>
      <c r="H919" s="48"/>
      <c r="I919" s="48"/>
      <c r="J919" s="48"/>
      <c r="K919" s="48"/>
      <c r="L919" s="48"/>
      <c r="M919" s="48"/>
      <c r="N919" s="48"/>
      <c r="O919" s="48"/>
      <c r="P919" s="48"/>
      <c r="Q919" s="48"/>
      <c r="R919" s="48"/>
      <c r="S919" s="48"/>
      <c r="T919" s="49"/>
      <c r="U919" s="1635" t="s">
        <v>545</v>
      </c>
      <c r="V919" s="1427"/>
      <c r="W919" s="1427"/>
      <c r="X919" s="1427"/>
      <c r="Y919" s="1427"/>
      <c r="Z919" s="1428"/>
      <c r="AA919" s="1639"/>
      <c r="AB919" s="1527"/>
      <c r="AC919" s="1527"/>
      <c r="AD919" s="1527"/>
      <c r="AE919" s="1527"/>
      <c r="AF919" s="1640"/>
      <c r="AZ919" s="34"/>
      <c r="BA919" s="34"/>
      <c r="BB919" s="34"/>
      <c r="BC919" s="34"/>
    </row>
    <row r="920" spans="1:58" ht="13.25" customHeight="1">
      <c r="F920" s="45" t="s">
        <v>801</v>
      </c>
      <c r="G920" s="5"/>
      <c r="H920" s="5"/>
      <c r="I920" s="5"/>
      <c r="J920" s="5"/>
      <c r="K920" s="5"/>
      <c r="L920" s="5"/>
      <c r="M920" s="5"/>
      <c r="N920" s="5"/>
      <c r="O920" s="5"/>
      <c r="P920" s="5"/>
      <c r="Q920" s="5"/>
      <c r="R920" s="5"/>
      <c r="S920" s="5"/>
      <c r="T920" s="46"/>
      <c r="U920" s="1635" t="s">
        <v>591</v>
      </c>
      <c r="V920" s="1427"/>
      <c r="W920" s="1427"/>
      <c r="X920" s="1427"/>
      <c r="Y920" s="1427"/>
      <c r="Z920" s="1428"/>
      <c r="AA920" s="1639"/>
      <c r="AB920" s="1527"/>
      <c r="AC920" s="1527"/>
      <c r="AD920" s="1527"/>
      <c r="AE920" s="1527"/>
      <c r="AF920" s="1640"/>
      <c r="AZ920" s="34"/>
      <c r="BA920" s="34"/>
      <c r="BB920" s="34"/>
      <c r="BC920" s="34"/>
    </row>
    <row r="921" spans="1:58" ht="13.25" customHeight="1">
      <c r="F921" s="45" t="s">
        <v>678</v>
      </c>
      <c r="G921" s="5"/>
      <c r="H921" s="5"/>
      <c r="I921" s="5"/>
      <c r="J921" s="5"/>
      <c r="K921" s="5"/>
      <c r="L921" s="5"/>
      <c r="M921" s="5"/>
      <c r="N921" s="5"/>
      <c r="O921" s="5"/>
      <c r="P921" s="5"/>
      <c r="Q921" s="5"/>
      <c r="R921" s="5"/>
      <c r="S921" s="5"/>
      <c r="T921" s="46"/>
      <c r="U921" s="1635" t="s">
        <v>591</v>
      </c>
      <c r="V921" s="1427"/>
      <c r="W921" s="1427"/>
      <c r="X921" s="1427"/>
      <c r="Y921" s="1427"/>
      <c r="Z921" s="1428"/>
      <c r="AA921" s="1639"/>
      <c r="AB921" s="1527"/>
      <c r="AC921" s="1527"/>
      <c r="AD921" s="1527"/>
      <c r="AE921" s="1527"/>
      <c r="AF921" s="1640"/>
      <c r="AZ921" s="34"/>
      <c r="BA921" s="34"/>
      <c r="BB921" s="34"/>
      <c r="BC921" s="34"/>
    </row>
    <row r="922" spans="1:58" ht="13.25" customHeight="1">
      <c r="F922" s="66" t="s">
        <v>786</v>
      </c>
      <c r="G922" s="5"/>
      <c r="H922" s="5"/>
      <c r="I922" s="5"/>
      <c r="J922" s="5"/>
      <c r="K922" s="5"/>
      <c r="L922" s="5"/>
      <c r="M922" s="5"/>
      <c r="N922" s="5"/>
      <c r="O922" s="5"/>
      <c r="P922" s="5"/>
      <c r="Q922" s="5"/>
      <c r="R922" s="5"/>
      <c r="S922" s="5"/>
      <c r="T922" s="46"/>
      <c r="U922" s="1635" t="s">
        <v>591</v>
      </c>
      <c r="V922" s="1427"/>
      <c r="W922" s="1427"/>
      <c r="X922" s="1427"/>
      <c r="Y922" s="1427"/>
      <c r="Z922" s="1428"/>
      <c r="AA922" s="1639"/>
      <c r="AB922" s="1527"/>
      <c r="AC922" s="1527"/>
      <c r="AD922" s="1527"/>
      <c r="AE922" s="1527"/>
      <c r="AF922" s="1640"/>
      <c r="AZ922" s="34"/>
      <c r="BA922" s="34"/>
      <c r="BB922" s="34"/>
      <c r="BC922" s="34"/>
    </row>
    <row r="923" spans="1:58" ht="13.25" customHeight="1">
      <c r="F923" s="66" t="s">
        <v>787</v>
      </c>
      <c r="G923" s="5"/>
      <c r="H923" s="5"/>
      <c r="I923" s="5"/>
      <c r="J923" s="5"/>
      <c r="K923" s="5"/>
      <c r="L923" s="5"/>
      <c r="M923" s="5"/>
      <c r="N923" s="5"/>
      <c r="O923" s="5"/>
      <c r="P923" s="5"/>
      <c r="Q923" s="5"/>
      <c r="R923" s="5"/>
      <c r="S923" s="5"/>
      <c r="T923" s="46"/>
      <c r="U923" s="1635" t="s">
        <v>591</v>
      </c>
      <c r="V923" s="1427"/>
      <c r="W923" s="1427"/>
      <c r="X923" s="1427"/>
      <c r="Y923" s="1427"/>
      <c r="Z923" s="1428"/>
      <c r="AA923" s="1639"/>
      <c r="AB923" s="1527"/>
      <c r="AC923" s="1527"/>
      <c r="AD923" s="1527"/>
      <c r="AE923" s="1527"/>
      <c r="AF923" s="1640"/>
      <c r="AZ923" s="34"/>
      <c r="BA923" s="34"/>
      <c r="BB923" s="34"/>
      <c r="BC923" s="34"/>
    </row>
    <row r="924" spans="1:58" ht="13.25" customHeight="1">
      <c r="F924" s="66" t="s">
        <v>788</v>
      </c>
      <c r="G924" s="5"/>
      <c r="H924" s="5"/>
      <c r="I924" s="5"/>
      <c r="J924" s="5"/>
      <c r="K924" s="5"/>
      <c r="L924" s="5"/>
      <c r="M924" s="5"/>
      <c r="N924" s="5"/>
      <c r="O924" s="5"/>
      <c r="P924" s="5"/>
      <c r="Q924" s="5"/>
      <c r="R924" s="5"/>
      <c r="S924" s="5"/>
      <c r="T924" s="46"/>
      <c r="U924" s="1635" t="s">
        <v>591</v>
      </c>
      <c r="V924" s="1427"/>
      <c r="W924" s="1427"/>
      <c r="X924" s="1427"/>
      <c r="Y924" s="1427"/>
      <c r="Z924" s="1428"/>
      <c r="AA924" s="1639"/>
      <c r="AB924" s="1527"/>
      <c r="AC924" s="1527"/>
      <c r="AD924" s="1527"/>
      <c r="AE924" s="1527"/>
      <c r="AF924" s="1640"/>
      <c r="AZ924" s="34"/>
      <c r="BA924" s="34"/>
      <c r="BB924" s="34"/>
      <c r="BC924" s="34"/>
    </row>
    <row r="925" spans="1:58" ht="13.25" customHeight="1">
      <c r="F925" s="45" t="s">
        <v>677</v>
      </c>
      <c r="G925" s="5"/>
      <c r="H925" s="5"/>
      <c r="I925" s="5"/>
      <c r="J925" s="5"/>
      <c r="K925" s="5"/>
      <c r="L925" s="5"/>
      <c r="M925" s="5"/>
      <c r="N925" s="5"/>
      <c r="O925" s="5"/>
      <c r="P925" s="5"/>
      <c r="Q925" s="5"/>
      <c r="R925" s="5"/>
      <c r="S925" s="5"/>
      <c r="T925" s="46"/>
      <c r="U925" s="1635" t="s">
        <v>591</v>
      </c>
      <c r="V925" s="1427"/>
      <c r="W925" s="1427"/>
      <c r="X925" s="1427"/>
      <c r="Y925" s="1427"/>
      <c r="Z925" s="1428"/>
      <c r="AA925" s="1639"/>
      <c r="AB925" s="1527"/>
      <c r="AC925" s="1527"/>
      <c r="AD925" s="1527"/>
      <c r="AE925" s="1527"/>
      <c r="AF925" s="1640"/>
      <c r="AZ925" s="34"/>
      <c r="BA925" s="34"/>
      <c r="BB925" s="34"/>
      <c r="BC925" s="34"/>
    </row>
    <row r="926" spans="1:58" ht="13.25" customHeight="1">
      <c r="F926" s="1632" t="s">
        <v>2192</v>
      </c>
      <c r="G926" s="1633"/>
      <c r="H926" s="1633"/>
      <c r="I926" s="1633"/>
      <c r="J926" s="1633"/>
      <c r="K926" s="1633"/>
      <c r="L926" s="1633"/>
      <c r="M926" s="1633"/>
      <c r="N926" s="1633"/>
      <c r="O926" s="1633"/>
      <c r="P926" s="1633"/>
      <c r="Q926" s="1633"/>
      <c r="R926" s="1633"/>
      <c r="S926" s="1633"/>
      <c r="T926" s="1634"/>
      <c r="U926" s="1635" t="s">
        <v>591</v>
      </c>
      <c r="V926" s="1427"/>
      <c r="W926" s="1427"/>
      <c r="X926" s="1427"/>
      <c r="Y926" s="1427"/>
      <c r="Z926" s="1428"/>
      <c r="AA926" s="1639"/>
      <c r="AB926" s="1527"/>
      <c r="AC926" s="1527"/>
      <c r="AD926" s="1527"/>
      <c r="AE926" s="1527"/>
      <c r="AF926" s="1640"/>
      <c r="AZ926" s="34"/>
      <c r="BA926" s="34"/>
      <c r="BB926" s="34"/>
      <c r="BC926" s="34"/>
    </row>
    <row r="927" spans="1:58" ht="13.25" customHeight="1">
      <c r="F927" s="1632" t="s">
        <v>679</v>
      </c>
      <c r="G927" s="1633"/>
      <c r="H927" s="1633"/>
      <c r="I927" s="1633"/>
      <c r="J927" s="1633"/>
      <c r="K927" s="1633"/>
      <c r="L927" s="1633"/>
      <c r="M927" s="1633"/>
      <c r="N927" s="1633"/>
      <c r="O927" s="1633"/>
      <c r="P927" s="1633"/>
      <c r="Q927" s="1633"/>
      <c r="R927" s="1633"/>
      <c r="S927" s="1633"/>
      <c r="T927" s="1634"/>
      <c r="U927" s="1635" t="s">
        <v>591</v>
      </c>
      <c r="V927" s="1427"/>
      <c r="W927" s="1427"/>
      <c r="X927" s="1427"/>
      <c r="Y927" s="1427"/>
      <c r="Z927" s="1428"/>
      <c r="AA927" s="1639"/>
      <c r="AB927" s="1527"/>
      <c r="AC927" s="1527"/>
      <c r="AD927" s="1527"/>
      <c r="AE927" s="1527"/>
      <c r="AF927" s="1640"/>
      <c r="AU927" s="2"/>
      <c r="AZ927" s="34"/>
      <c r="BA927" s="34"/>
      <c r="BB927" s="34"/>
      <c r="BC927" s="34"/>
    </row>
    <row r="928" spans="1:58" ht="13.25" customHeight="1">
      <c r="F928" s="1632" t="s">
        <v>2193</v>
      </c>
      <c r="G928" s="1633"/>
      <c r="H928" s="1633"/>
      <c r="I928" s="1633"/>
      <c r="J928" s="1633"/>
      <c r="K928" s="1633"/>
      <c r="L928" s="1633"/>
      <c r="M928" s="1633"/>
      <c r="N928" s="1633"/>
      <c r="O928" s="1633"/>
      <c r="P928" s="1633"/>
      <c r="Q928" s="1633"/>
      <c r="R928" s="1633"/>
      <c r="S928" s="1633"/>
      <c r="T928" s="1634"/>
      <c r="U928" s="1635" t="s">
        <v>591</v>
      </c>
      <c r="V928" s="1427"/>
      <c r="W928" s="1427"/>
      <c r="X928" s="1427"/>
      <c r="Y928" s="1427"/>
      <c r="Z928" s="1428"/>
      <c r="AA928" s="1639"/>
      <c r="AB928" s="1527"/>
      <c r="AC928" s="1527"/>
      <c r="AD928" s="1527"/>
      <c r="AE928" s="1527"/>
      <c r="AF928" s="1640"/>
      <c r="AU928" s="2"/>
      <c r="AZ928" s="34"/>
      <c r="BA928" s="34"/>
      <c r="BB928" s="34"/>
      <c r="BC928" s="34"/>
    </row>
    <row r="929" spans="6:55" ht="13.25" customHeight="1">
      <c r="F929" s="1632" t="s">
        <v>2194</v>
      </c>
      <c r="G929" s="1633"/>
      <c r="H929" s="1633"/>
      <c r="I929" s="1633"/>
      <c r="J929" s="1633"/>
      <c r="K929" s="1633"/>
      <c r="L929" s="1633"/>
      <c r="M929" s="1633"/>
      <c r="N929" s="1633"/>
      <c r="O929" s="1633"/>
      <c r="P929" s="1633"/>
      <c r="Q929" s="1633"/>
      <c r="R929" s="1633"/>
      <c r="S929" s="1633"/>
      <c r="T929" s="1634"/>
      <c r="U929" s="1635" t="s">
        <v>591</v>
      </c>
      <c r="V929" s="1427"/>
      <c r="W929" s="1427"/>
      <c r="X929" s="1427"/>
      <c r="Y929" s="1427"/>
      <c r="Z929" s="1428"/>
      <c r="AA929" s="1639"/>
      <c r="AB929" s="1527"/>
      <c r="AC929" s="1527"/>
      <c r="AD929" s="1527"/>
      <c r="AE929" s="1527"/>
      <c r="AF929" s="1640"/>
      <c r="AU929" s="2"/>
      <c r="AZ929" s="34"/>
      <c r="BA929" s="34"/>
      <c r="BB929" s="34"/>
      <c r="BC929" s="34"/>
    </row>
    <row r="930" spans="6:55" ht="13.25" customHeight="1">
      <c r="F930" s="1632" t="s">
        <v>2195</v>
      </c>
      <c r="G930" s="1633"/>
      <c r="H930" s="1633"/>
      <c r="I930" s="1633"/>
      <c r="J930" s="1633"/>
      <c r="K930" s="1633"/>
      <c r="L930" s="1633"/>
      <c r="M930" s="1633"/>
      <c r="N930" s="1633"/>
      <c r="O930" s="1633"/>
      <c r="P930" s="1633"/>
      <c r="Q930" s="1633"/>
      <c r="R930" s="1633"/>
      <c r="S930" s="1633"/>
      <c r="T930" s="1634"/>
      <c r="U930" s="1635" t="s">
        <v>591</v>
      </c>
      <c r="V930" s="1427"/>
      <c r="W930" s="1427"/>
      <c r="X930" s="1427"/>
      <c r="Y930" s="1427"/>
      <c r="Z930" s="1428"/>
      <c r="AA930" s="1639"/>
      <c r="AB930" s="1527"/>
      <c r="AC930" s="1527"/>
      <c r="AD930" s="1527"/>
      <c r="AE930" s="1527"/>
      <c r="AF930" s="1640"/>
      <c r="AU930" s="2"/>
      <c r="AZ930" s="34"/>
      <c r="BA930" s="34"/>
      <c r="BB930" s="34"/>
      <c r="BC930" s="34"/>
    </row>
    <row r="931" spans="6:55" ht="13.25" customHeight="1">
      <c r="F931" s="1632" t="s">
        <v>2196</v>
      </c>
      <c r="G931" s="1633"/>
      <c r="H931" s="1633"/>
      <c r="I931" s="1633"/>
      <c r="J931" s="1633"/>
      <c r="K931" s="1633"/>
      <c r="L931" s="1633"/>
      <c r="M931" s="1633"/>
      <c r="N931" s="1633"/>
      <c r="O931" s="1633"/>
      <c r="P931" s="1633"/>
      <c r="Q931" s="1633"/>
      <c r="R931" s="1633"/>
      <c r="S931" s="1633"/>
      <c r="T931" s="1634"/>
      <c r="U931" s="1635" t="s">
        <v>591</v>
      </c>
      <c r="V931" s="1427"/>
      <c r="W931" s="1427"/>
      <c r="X931" s="1427"/>
      <c r="Y931" s="1427"/>
      <c r="Z931" s="1428"/>
      <c r="AA931" s="1639"/>
      <c r="AB931" s="1527"/>
      <c r="AC931" s="1527"/>
      <c r="AD931" s="1527"/>
      <c r="AE931" s="1527"/>
      <c r="AF931" s="1640"/>
      <c r="AU931" s="2"/>
      <c r="AZ931" s="34"/>
      <c r="BA931" s="34"/>
      <c r="BB931" s="34"/>
      <c r="BC931" s="34"/>
    </row>
    <row r="932" spans="6:55" ht="13.25" customHeight="1">
      <c r="F932" s="1632" t="s">
        <v>2197</v>
      </c>
      <c r="G932" s="1633"/>
      <c r="H932" s="1633"/>
      <c r="I932" s="1633"/>
      <c r="J932" s="1633"/>
      <c r="K932" s="1633"/>
      <c r="L932" s="1633"/>
      <c r="M932" s="1633"/>
      <c r="N932" s="1633"/>
      <c r="O932" s="1633"/>
      <c r="P932" s="1633"/>
      <c r="Q932" s="1633"/>
      <c r="R932" s="1633"/>
      <c r="S932" s="1633"/>
      <c r="T932" s="1634"/>
      <c r="U932" s="1635" t="s">
        <v>591</v>
      </c>
      <c r="V932" s="1427"/>
      <c r="W932" s="1427"/>
      <c r="X932" s="1427"/>
      <c r="Y932" s="1427"/>
      <c r="Z932" s="1428"/>
      <c r="AA932" s="1639"/>
      <c r="AB932" s="1527"/>
      <c r="AC932" s="1527"/>
      <c r="AD932" s="1527"/>
      <c r="AE932" s="1527"/>
      <c r="AF932" s="1640"/>
      <c r="AZ932" s="30"/>
      <c r="BA932" s="30"/>
    </row>
    <row r="933" spans="6:55" ht="13.25" customHeight="1">
      <c r="F933" s="178" t="s">
        <v>676</v>
      </c>
      <c r="G933" s="5"/>
      <c r="H933" s="5"/>
      <c r="I933" s="5"/>
      <c r="J933" s="5"/>
      <c r="K933" s="5"/>
      <c r="L933" s="5"/>
      <c r="M933" s="5"/>
      <c r="N933" s="5"/>
      <c r="O933" s="5"/>
      <c r="P933" s="5"/>
      <c r="Q933" s="5"/>
      <c r="R933" s="5"/>
      <c r="S933" s="5"/>
      <c r="T933" s="46"/>
      <c r="U933" s="1635" t="s">
        <v>591</v>
      </c>
      <c r="V933" s="1427"/>
      <c r="W933" s="1427"/>
      <c r="X933" s="1427"/>
      <c r="Y933" s="1427"/>
      <c r="Z933" s="1428"/>
      <c r="AA933" s="1639"/>
      <c r="AB933" s="1527"/>
      <c r="AC933" s="1527"/>
      <c r="AD933" s="1527"/>
      <c r="AE933" s="1527"/>
      <c r="AF933" s="1640"/>
    </row>
    <row r="934" spans="6:55" ht="13.25" customHeight="1">
      <c r="F934" s="121" t="s">
        <v>1277</v>
      </c>
      <c r="G934" s="5"/>
      <c r="H934" s="5"/>
      <c r="I934" s="5"/>
      <c r="J934" s="5"/>
      <c r="K934" s="5"/>
      <c r="L934" s="5"/>
      <c r="M934" s="5"/>
      <c r="N934" s="5"/>
      <c r="O934" s="5"/>
      <c r="P934" s="5"/>
      <c r="Q934" s="5"/>
      <c r="R934" s="5"/>
      <c r="S934" s="5"/>
      <c r="T934" s="46"/>
      <c r="U934" s="1635" t="s">
        <v>591</v>
      </c>
      <c r="V934" s="1427"/>
      <c r="W934" s="1427"/>
      <c r="X934" s="1427"/>
      <c r="Y934" s="1427"/>
      <c r="Z934" s="1428"/>
      <c r="AA934" s="1639"/>
      <c r="AB934" s="1527"/>
      <c r="AC934" s="1527"/>
      <c r="AD934" s="1527"/>
      <c r="AE934" s="1527"/>
      <c r="AF934" s="1640"/>
      <c r="AZ934" s="30"/>
      <c r="BA934" s="14"/>
    </row>
    <row r="935" spans="6:55" ht="13.25" customHeight="1">
      <c r="F935" s="66" t="s">
        <v>802</v>
      </c>
      <c r="G935" s="5"/>
      <c r="H935" s="5"/>
      <c r="I935" s="5"/>
      <c r="J935" s="5"/>
      <c r="K935" s="5"/>
      <c r="L935" s="5"/>
      <c r="M935" s="5"/>
      <c r="N935" s="5"/>
      <c r="O935" s="5"/>
      <c r="P935" s="5"/>
      <c r="Q935" s="5"/>
      <c r="R935" s="5"/>
      <c r="S935" s="5"/>
      <c r="T935" s="46"/>
      <c r="U935" s="1635" t="s">
        <v>591</v>
      </c>
      <c r="V935" s="1427"/>
      <c r="W935" s="1427"/>
      <c r="X935" s="1427"/>
      <c r="Y935" s="1427"/>
      <c r="Z935" s="1428"/>
      <c r="AA935" s="1639"/>
      <c r="AB935" s="1527"/>
      <c r="AC935" s="1527"/>
      <c r="AD935" s="1527"/>
      <c r="AE935" s="1527"/>
      <c r="AF935" s="1640"/>
      <c r="AZ935" s="30"/>
      <c r="BA935" s="14"/>
    </row>
    <row r="936" spans="6:55" ht="13.25" customHeight="1">
      <c r="F936" s="1636" t="s">
        <v>2201</v>
      </c>
      <c r="G936" s="1637"/>
      <c r="H936" s="1637"/>
      <c r="I936" s="1637"/>
      <c r="J936" s="1637"/>
      <c r="K936" s="1637"/>
      <c r="L936" s="1637"/>
      <c r="M936" s="1637"/>
      <c r="N936" s="1637"/>
      <c r="O936" s="1637"/>
      <c r="P936" s="1637"/>
      <c r="Q936" s="1637"/>
      <c r="R936" s="1637"/>
      <c r="S936" s="1637"/>
      <c r="T936" s="1638"/>
      <c r="U936" s="1635" t="s">
        <v>591</v>
      </c>
      <c r="V936" s="1427"/>
      <c r="W936" s="1427"/>
      <c r="X936" s="1427"/>
      <c r="Y936" s="1427"/>
      <c r="Z936" s="1428"/>
      <c r="AA936" s="1639"/>
      <c r="AB936" s="1527"/>
      <c r="AC936" s="1527"/>
      <c r="AD936" s="1527"/>
      <c r="AE936" s="1527"/>
      <c r="AF936" s="1640"/>
      <c r="AZ936" s="30"/>
      <c r="BA936" s="14"/>
    </row>
    <row r="937" spans="6:55" ht="13.25" customHeight="1">
      <c r="F937" s="1636" t="s">
        <v>2202</v>
      </c>
      <c r="G937" s="1637"/>
      <c r="H937" s="1637"/>
      <c r="I937" s="1637"/>
      <c r="J937" s="1637"/>
      <c r="K937" s="1637"/>
      <c r="L937" s="1637"/>
      <c r="M937" s="1637"/>
      <c r="N937" s="1637"/>
      <c r="O937" s="1637"/>
      <c r="P937" s="1637"/>
      <c r="Q937" s="1637"/>
      <c r="R937" s="1637"/>
      <c r="S937" s="1637"/>
      <c r="T937" s="1638"/>
      <c r="U937" s="1635" t="s">
        <v>591</v>
      </c>
      <c r="V937" s="1427"/>
      <c r="W937" s="1427"/>
      <c r="X937" s="1427"/>
      <c r="Y937" s="1427"/>
      <c r="Z937" s="1428"/>
      <c r="AA937" s="1639"/>
      <c r="AB937" s="1527"/>
      <c r="AC937" s="1527"/>
      <c r="AD937" s="1527"/>
      <c r="AE937" s="1527"/>
      <c r="AF937" s="1640"/>
      <c r="AZ937" s="30"/>
      <c r="BA937" s="30"/>
    </row>
    <row r="938" spans="6:55" ht="13.25" customHeight="1">
      <c r="F938" s="1632" t="s">
        <v>2198</v>
      </c>
      <c r="G938" s="1633"/>
      <c r="H938" s="1633"/>
      <c r="I938" s="1633"/>
      <c r="J938" s="1633"/>
      <c r="K938" s="1633"/>
      <c r="L938" s="1633"/>
      <c r="M938" s="1633"/>
      <c r="N938" s="1633"/>
      <c r="O938" s="1633"/>
      <c r="P938" s="1633"/>
      <c r="Q938" s="1633"/>
      <c r="R938" s="1633"/>
      <c r="S938" s="1633"/>
      <c r="T938" s="1634"/>
      <c r="U938" s="1635" t="s">
        <v>591</v>
      </c>
      <c r="V938" s="1427"/>
      <c r="W938" s="1427"/>
      <c r="X938" s="1427"/>
      <c r="Y938" s="1427"/>
      <c r="Z938" s="1428"/>
      <c r="AA938" s="1639"/>
      <c r="AB938" s="1527"/>
      <c r="AC938" s="1527"/>
      <c r="AD938" s="1527"/>
      <c r="AE938" s="1527"/>
      <c r="AF938" s="1640"/>
      <c r="AZ938" s="30"/>
      <c r="BA938" s="30"/>
    </row>
    <row r="939" spans="6:55" ht="13.25" customHeight="1">
      <c r="F939" s="1632" t="s">
        <v>2199</v>
      </c>
      <c r="G939" s="1633"/>
      <c r="H939" s="1633"/>
      <c r="I939" s="1633"/>
      <c r="J939" s="1633"/>
      <c r="K939" s="1633"/>
      <c r="L939" s="1633"/>
      <c r="M939" s="1633"/>
      <c r="N939" s="1633"/>
      <c r="O939" s="1633"/>
      <c r="P939" s="1633"/>
      <c r="Q939" s="1633"/>
      <c r="R939" s="1633"/>
      <c r="S939" s="1633"/>
      <c r="T939" s="1634"/>
      <c r="U939" s="1635" t="s">
        <v>591</v>
      </c>
      <c r="V939" s="1427"/>
      <c r="W939" s="1427"/>
      <c r="X939" s="1427"/>
      <c r="Y939" s="1427"/>
      <c r="Z939" s="1428"/>
      <c r="AA939" s="1639"/>
      <c r="AB939" s="1527"/>
      <c r="AC939" s="1527"/>
      <c r="AD939" s="1527"/>
      <c r="AE939" s="1527"/>
      <c r="AF939" s="1640"/>
      <c r="AZ939" s="30"/>
      <c r="BA939" s="30"/>
    </row>
    <row r="940" spans="6:55" ht="13.25" customHeight="1">
      <c r="F940" s="1632" t="s">
        <v>2200</v>
      </c>
      <c r="G940" s="1633"/>
      <c r="H940" s="1633"/>
      <c r="I940" s="1633"/>
      <c r="J940" s="1633"/>
      <c r="K940" s="1633"/>
      <c r="L940" s="1633"/>
      <c r="M940" s="1633"/>
      <c r="N940" s="1633"/>
      <c r="O940" s="1633"/>
      <c r="P940" s="1633"/>
      <c r="Q940" s="1633"/>
      <c r="R940" s="1633"/>
      <c r="S940" s="1633"/>
      <c r="T940" s="1634"/>
      <c r="U940" s="1635" t="s">
        <v>591</v>
      </c>
      <c r="V940" s="1427"/>
      <c r="W940" s="1427"/>
      <c r="X940" s="1427"/>
      <c r="Y940" s="1427"/>
      <c r="Z940" s="1428"/>
      <c r="AA940" s="1639"/>
      <c r="AB940" s="1527"/>
      <c r="AC940" s="1527"/>
      <c r="AD940" s="1527"/>
      <c r="AE940" s="1527"/>
      <c r="AF940" s="1640"/>
      <c r="AZ940" s="34"/>
      <c r="BA940" s="34"/>
      <c r="BB940" s="14"/>
      <c r="BC940" s="14"/>
    </row>
    <row r="941" spans="6:55" ht="13.25" customHeight="1">
      <c r="F941" s="121" t="s">
        <v>1261</v>
      </c>
      <c r="G941" s="5"/>
      <c r="H941" s="5"/>
      <c r="I941" s="5"/>
      <c r="J941" s="5"/>
      <c r="K941" s="5"/>
      <c r="L941" s="5"/>
      <c r="M941" s="5"/>
      <c r="N941" s="5"/>
      <c r="O941" s="5"/>
      <c r="P941" s="5"/>
      <c r="Q941" s="5"/>
      <c r="R941" s="5"/>
      <c r="S941" s="5"/>
      <c r="T941" s="46"/>
      <c r="U941" s="1635" t="s">
        <v>591</v>
      </c>
      <c r="V941" s="1427"/>
      <c r="W941" s="1427"/>
      <c r="X941" s="1427"/>
      <c r="Y941" s="1427"/>
      <c r="Z941" s="1428"/>
      <c r="AA941" s="1639"/>
      <c r="AB941" s="1527"/>
      <c r="AC941" s="1527"/>
      <c r="AD941" s="1527"/>
      <c r="AE941" s="1527"/>
      <c r="AF941" s="1640"/>
      <c r="AZ941" s="34"/>
      <c r="BA941" s="34"/>
      <c r="BB941" s="14"/>
      <c r="BC941" s="14"/>
    </row>
    <row r="942" spans="6:55" ht="13.25" customHeight="1">
      <c r="F942" s="1636" t="s">
        <v>2203</v>
      </c>
      <c r="G942" s="1637"/>
      <c r="H942" s="1637"/>
      <c r="I942" s="1637"/>
      <c r="J942" s="1637"/>
      <c r="K942" s="1637"/>
      <c r="L942" s="1637"/>
      <c r="M942" s="1637"/>
      <c r="N942" s="1637"/>
      <c r="O942" s="1637"/>
      <c r="P942" s="1637"/>
      <c r="Q942" s="1637"/>
      <c r="R942" s="1637"/>
      <c r="S942" s="1637"/>
      <c r="T942" s="1638"/>
      <c r="U942" s="1635" t="s">
        <v>591</v>
      </c>
      <c r="V942" s="1427"/>
      <c r="W942" s="1427"/>
      <c r="X942" s="1427"/>
      <c r="Y942" s="1427"/>
      <c r="Z942" s="1428"/>
      <c r="AA942" s="1639"/>
      <c r="AB942" s="1527"/>
      <c r="AC942" s="1527"/>
      <c r="AD942" s="1527"/>
      <c r="AE942" s="1527"/>
      <c r="AF942" s="1640"/>
      <c r="AZ942" s="34"/>
      <c r="BA942" s="34"/>
      <c r="BB942" s="34"/>
      <c r="BC942" s="34"/>
    </row>
    <row r="943" spans="6:55" ht="13.25" customHeight="1">
      <c r="F943" s="121" t="s">
        <v>1262</v>
      </c>
      <c r="G943" s="5"/>
      <c r="H943" s="5"/>
      <c r="I943" s="5"/>
      <c r="J943" s="5"/>
      <c r="K943" s="5"/>
      <c r="L943" s="5"/>
      <c r="M943" s="5"/>
      <c r="N943" s="5"/>
      <c r="O943" s="5"/>
      <c r="P943" s="5"/>
      <c r="Q943" s="5"/>
      <c r="R943" s="5"/>
      <c r="S943" s="5"/>
      <c r="T943" s="46"/>
      <c r="U943" s="1635" t="s">
        <v>591</v>
      </c>
      <c r="V943" s="1427"/>
      <c r="W943" s="1427"/>
      <c r="X943" s="1427"/>
      <c r="Y943" s="1427"/>
      <c r="Z943" s="1428"/>
      <c r="AA943" s="1639"/>
      <c r="AB943" s="1527"/>
      <c r="AC943" s="1527"/>
      <c r="AD943" s="1527"/>
      <c r="AE943" s="1527"/>
      <c r="AF943" s="1640"/>
      <c r="AZ943" s="34"/>
      <c r="BA943" s="34"/>
      <c r="BB943" s="34"/>
      <c r="BC943" s="34"/>
    </row>
    <row r="944" spans="6:55" ht="13.25" customHeight="1">
      <c r="F944" s="1636" t="s">
        <v>2204</v>
      </c>
      <c r="G944" s="1637"/>
      <c r="H944" s="1637"/>
      <c r="I944" s="1637"/>
      <c r="J944" s="1637"/>
      <c r="K944" s="1637"/>
      <c r="L944" s="1637"/>
      <c r="M944" s="1637"/>
      <c r="N944" s="1637"/>
      <c r="O944" s="1637"/>
      <c r="P944" s="1637"/>
      <c r="Q944" s="1637"/>
      <c r="R944" s="1637"/>
      <c r="S944" s="1637"/>
      <c r="T944" s="1638"/>
      <c r="U944" s="1635" t="s">
        <v>591</v>
      </c>
      <c r="V944" s="1427"/>
      <c r="W944" s="1427"/>
      <c r="X944" s="1427"/>
      <c r="Y944" s="1427"/>
      <c r="Z944" s="1428"/>
      <c r="AA944" s="1639"/>
      <c r="AB944" s="1527"/>
      <c r="AC944" s="1527"/>
      <c r="AD944" s="1527"/>
      <c r="AE944" s="1527"/>
      <c r="AF944" s="1640"/>
      <c r="AZ944" s="34"/>
      <c r="BA944" s="34"/>
      <c r="BB944" s="34"/>
      <c r="BC944" s="34"/>
    </row>
    <row r="945" spans="1:55" ht="13.25" customHeight="1">
      <c r="F945" s="45" t="s">
        <v>806</v>
      </c>
      <c r="G945" s="5"/>
      <c r="H945" s="5"/>
      <c r="I945" s="5"/>
      <c r="J945" s="5"/>
      <c r="K945" s="5"/>
      <c r="L945" s="5"/>
      <c r="M945" s="5"/>
      <c r="N945" s="5"/>
      <c r="O945" s="5"/>
      <c r="P945" s="1635" t="s">
        <v>669</v>
      </c>
      <c r="Q945" s="1427"/>
      <c r="R945" s="1427"/>
      <c r="S945" s="1427"/>
      <c r="T945" s="1428"/>
      <c r="U945" s="1635" t="s">
        <v>591</v>
      </c>
      <c r="V945" s="1427"/>
      <c r="W945" s="1427"/>
      <c r="X945" s="1427"/>
      <c r="Y945" s="1427"/>
      <c r="Z945" s="1428"/>
      <c r="AA945" s="1639"/>
      <c r="AB945" s="1527"/>
      <c r="AC945" s="1527"/>
      <c r="AD945" s="1527"/>
      <c r="AE945" s="1527"/>
      <c r="AF945" s="1640"/>
      <c r="AZ945" s="34"/>
      <c r="BA945" s="34"/>
      <c r="BB945" s="34"/>
      <c r="BC945" s="34"/>
    </row>
    <row r="946" spans="1:55" ht="13.25" customHeight="1">
      <c r="F946" s="1632" t="s">
        <v>2191</v>
      </c>
      <c r="G946" s="1633"/>
      <c r="H946" s="1634"/>
      <c r="I946" s="1649" t="s">
        <v>334</v>
      </c>
      <c r="J946" s="1650"/>
      <c r="K946" s="1650"/>
      <c r="L946" s="1650"/>
      <c r="M946" s="1650"/>
      <c r="N946" s="1650"/>
      <c r="O946" s="1650"/>
      <c r="P946" s="1650"/>
      <c r="Q946" s="1650"/>
      <c r="R946" s="1650"/>
      <c r="S946" s="1650"/>
      <c r="T946" s="1651"/>
      <c r="U946" s="1635" t="s">
        <v>591</v>
      </c>
      <c r="V946" s="1427"/>
      <c r="W946" s="1427"/>
      <c r="X946" s="1427"/>
      <c r="Y946" s="1427"/>
      <c r="Z946" s="1428"/>
      <c r="AA946" s="1639"/>
      <c r="AB946" s="1527"/>
      <c r="AC946" s="1527"/>
      <c r="AD946" s="1527"/>
      <c r="AE946" s="1527"/>
      <c r="AF946" s="1640"/>
      <c r="AZ946" s="34"/>
      <c r="BA946" s="34"/>
      <c r="BB946" s="34"/>
      <c r="BC946" s="34"/>
    </row>
    <row r="947" spans="1:55" ht="13.25" customHeight="1">
      <c r="F947" s="45" t="s">
        <v>86</v>
      </c>
      <c r="G947" s="48"/>
      <c r="H947" s="48"/>
      <c r="I947" s="1649" t="s">
        <v>334</v>
      </c>
      <c r="J947" s="1650"/>
      <c r="K947" s="1650"/>
      <c r="L947" s="1650"/>
      <c r="M947" s="1650"/>
      <c r="N947" s="1650"/>
      <c r="O947" s="1650"/>
      <c r="P947" s="1650"/>
      <c r="Q947" s="1650"/>
      <c r="R947" s="1650"/>
      <c r="S947" s="1650"/>
      <c r="T947" s="1651"/>
      <c r="U947" s="1635" t="s">
        <v>591</v>
      </c>
      <c r="V947" s="1427"/>
      <c r="W947" s="1427"/>
      <c r="X947" s="1427"/>
      <c r="Y947" s="1427"/>
      <c r="Z947" s="1428"/>
      <c r="AA947" s="1639"/>
      <c r="AB947" s="1527"/>
      <c r="AC947" s="1527"/>
      <c r="AD947" s="1527"/>
      <c r="AE947" s="1527"/>
      <c r="AF947" s="1640"/>
      <c r="AZ947" s="34"/>
      <c r="BA947" s="34"/>
      <c r="BB947" s="34"/>
      <c r="BC947" s="34"/>
    </row>
    <row r="948" spans="1:55" ht="13.25" customHeight="1">
      <c r="F948" s="45" t="s">
        <v>10</v>
      </c>
      <c r="G948" s="48"/>
      <c r="H948" s="48"/>
      <c r="I948" s="1704" t="s">
        <v>334</v>
      </c>
      <c r="J948" s="1705"/>
      <c r="K948" s="1705"/>
      <c r="L948" s="1705"/>
      <c r="M948" s="1705"/>
      <c r="N948" s="1705"/>
      <c r="O948" s="1705"/>
      <c r="P948" s="1705"/>
      <c r="Q948" s="1705"/>
      <c r="R948" s="1705"/>
      <c r="S948" s="1705"/>
      <c r="T948" s="1706"/>
      <c r="U948" s="1635" t="s">
        <v>591</v>
      </c>
      <c r="V948" s="1427"/>
      <c r="W948" s="1427"/>
      <c r="X948" s="1427"/>
      <c r="Y948" s="1427"/>
      <c r="Z948" s="1428"/>
      <c r="AA948" s="1639"/>
      <c r="AB948" s="1527"/>
      <c r="AC948" s="1527"/>
      <c r="AD948" s="1527"/>
      <c r="AE948" s="1527"/>
      <c r="AF948" s="1640"/>
      <c r="AV948" s="2"/>
      <c r="AW948" s="2"/>
      <c r="AX948" s="2"/>
      <c r="AY948" s="2"/>
      <c r="AZ948" s="34"/>
      <c r="BA948" s="34"/>
      <c r="BB948" s="34"/>
      <c r="BC948" s="34"/>
    </row>
    <row r="949" spans="1:55" ht="13.25" customHeight="1">
      <c r="F949" s="47" t="s">
        <v>170</v>
      </c>
      <c r="G949" s="48"/>
      <c r="H949" s="48"/>
      <c r="I949" s="1649" t="s">
        <v>2694</v>
      </c>
      <c r="J949" s="1705"/>
      <c r="K949" s="1705"/>
      <c r="L949" s="1705"/>
      <c r="M949" s="1705"/>
      <c r="N949" s="1705"/>
      <c r="O949" s="1705"/>
      <c r="P949" s="1705"/>
      <c r="Q949" s="1705"/>
      <c r="R949" s="1705"/>
      <c r="S949" s="1705"/>
      <c r="T949" s="1706"/>
      <c r="U949" s="1635" t="s">
        <v>545</v>
      </c>
      <c r="V949" s="1427"/>
      <c r="W949" s="1427"/>
      <c r="X949" s="1427"/>
      <c r="Y949" s="1427"/>
      <c r="Z949" s="1428"/>
      <c r="AA949" s="1639">
        <v>10500000</v>
      </c>
      <c r="AB949" s="1527"/>
      <c r="AC949" s="1527"/>
      <c r="AD949" s="1527"/>
      <c r="AE949" s="1527"/>
      <c r="AF949" s="1640"/>
      <c r="AU949" s="2"/>
      <c r="AZ949" s="34"/>
      <c r="BA949" s="34"/>
      <c r="BB949" s="34"/>
      <c r="BC949" s="34"/>
    </row>
    <row r="950" spans="1:55" ht="13.25" customHeight="1">
      <c r="F950" s="47" t="s">
        <v>170</v>
      </c>
      <c r="G950" s="48"/>
      <c r="H950" s="48"/>
      <c r="I950" s="1704" t="s">
        <v>334</v>
      </c>
      <c r="J950" s="1705"/>
      <c r="K950" s="1705"/>
      <c r="L950" s="1705"/>
      <c r="M950" s="1705"/>
      <c r="N950" s="1705"/>
      <c r="O950" s="1705"/>
      <c r="P950" s="1705"/>
      <c r="Q950" s="1705"/>
      <c r="R950" s="1705"/>
      <c r="S950" s="1705"/>
      <c r="T950" s="1706"/>
      <c r="U950" s="1635" t="s">
        <v>591</v>
      </c>
      <c r="V950" s="1427"/>
      <c r="W950" s="1427"/>
      <c r="X950" s="1427"/>
      <c r="Y950" s="1427"/>
      <c r="Z950" s="1428"/>
      <c r="AA950" s="1639"/>
      <c r="AB950" s="1527"/>
      <c r="AC950" s="1527"/>
      <c r="AD950" s="1527"/>
      <c r="AE950" s="1527"/>
      <c r="AF950" s="1640"/>
      <c r="AU950" s="2"/>
      <c r="AZ950" s="34"/>
      <c r="BA950" s="34"/>
      <c r="BB950" s="34"/>
      <c r="BC950" s="34"/>
    </row>
    <row r="951" spans="1:55" ht="13.25" customHeight="1">
      <c r="AU951" s="2"/>
      <c r="AZ951" s="34"/>
      <c r="BA951" s="34"/>
      <c r="BB951" s="34"/>
      <c r="BC951" s="34"/>
    </row>
    <row r="952" spans="1:55" ht="13.25" customHeight="1">
      <c r="A952" s="2" t="s">
        <v>576</v>
      </c>
      <c r="C952" s="2" t="s">
        <v>751</v>
      </c>
      <c r="AZ952" s="34"/>
      <c r="BA952" s="34"/>
      <c r="BB952" s="34"/>
      <c r="BC952" s="34"/>
    </row>
    <row r="953" spans="1:55" ht="13.2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25" customHeight="1">
      <c r="AZ954" s="34"/>
      <c r="BA954" s="34"/>
      <c r="BB954" s="34"/>
      <c r="BC954" s="34"/>
    </row>
    <row r="955" spans="1:55" ht="13.25" customHeight="1">
      <c r="C955" s="66" t="s">
        <v>11</v>
      </c>
      <c r="D955" s="5"/>
      <c r="E955" s="5"/>
      <c r="F955" s="5"/>
      <c r="G955" s="5"/>
      <c r="H955" s="5"/>
      <c r="I955" s="5"/>
      <c r="J955" s="5"/>
      <c r="K955" s="5"/>
      <c r="L955" s="46"/>
      <c r="M955" s="1708" t="s">
        <v>591</v>
      </c>
      <c r="N955" s="1523"/>
      <c r="O955" s="1523"/>
      <c r="P955" s="1523"/>
      <c r="Q955" s="1523"/>
      <c r="R955" s="1523"/>
      <c r="S955" s="1630"/>
      <c r="U955" s="66" t="s">
        <v>11</v>
      </c>
      <c r="V955" s="5"/>
      <c r="W955" s="5"/>
      <c r="X955" s="5"/>
      <c r="Y955" s="5"/>
      <c r="Z955" s="5"/>
      <c r="AA955" s="5"/>
      <c r="AB955" s="5"/>
      <c r="AC955" s="5"/>
      <c r="AD955" s="46"/>
      <c r="AE955" s="1708" t="s">
        <v>591</v>
      </c>
      <c r="AF955" s="1523"/>
      <c r="AG955" s="1523"/>
      <c r="AH955" s="1523"/>
      <c r="AI955" s="1523"/>
      <c r="AJ955" s="1523"/>
      <c r="AK955" s="1630"/>
      <c r="AZ955" s="34"/>
      <c r="BA955" s="34"/>
      <c r="BB955" s="34"/>
      <c r="BC955" s="34"/>
    </row>
    <row r="956" spans="1:55" ht="13.25" customHeight="1">
      <c r="C956" s="66" t="s">
        <v>12</v>
      </c>
      <c r="D956" s="5"/>
      <c r="E956" s="5"/>
      <c r="F956" s="5"/>
      <c r="G956" s="5"/>
      <c r="H956" s="5"/>
      <c r="I956" s="5"/>
      <c r="J956" s="5"/>
      <c r="K956" s="5"/>
      <c r="L956" s="46"/>
      <c r="M956" s="1581"/>
      <c r="N956" s="1537"/>
      <c r="O956" s="1537"/>
      <c r="P956" s="1537"/>
      <c r="Q956" s="1537"/>
      <c r="R956" s="1537"/>
      <c r="S956" s="1668"/>
      <c r="U956" s="66" t="s">
        <v>12</v>
      </c>
      <c r="V956" s="5"/>
      <c r="W956" s="5"/>
      <c r="X956" s="5"/>
      <c r="Y956" s="5"/>
      <c r="Z956" s="5"/>
      <c r="AA956" s="5"/>
      <c r="AB956" s="5"/>
      <c r="AC956" s="5"/>
      <c r="AD956" s="46"/>
      <c r="AE956" s="1581"/>
      <c r="AF956" s="1537"/>
      <c r="AG956" s="1537"/>
      <c r="AH956" s="1537"/>
      <c r="AI956" s="1537"/>
      <c r="AJ956" s="1537"/>
      <c r="AK956" s="1668"/>
      <c r="AZ956" s="34"/>
      <c r="BA956" s="34"/>
      <c r="BB956" s="34"/>
      <c r="BC956" s="34"/>
    </row>
    <row r="957" spans="1:55" ht="13.25" customHeight="1">
      <c r="C957" s="66" t="s">
        <v>880</v>
      </c>
      <c r="D957" s="5"/>
      <c r="E957" s="5"/>
      <c r="J957" s="1812" t="s">
        <v>307</v>
      </c>
      <c r="K957" s="1813"/>
      <c r="L957" s="1813"/>
      <c r="M957" s="1813"/>
      <c r="N957" s="1813"/>
      <c r="O957" s="1813"/>
      <c r="P957" s="1813"/>
      <c r="Q957" s="1813"/>
      <c r="R957" s="1813"/>
      <c r="S957" s="1814"/>
      <c r="U957" s="66" t="s">
        <v>880</v>
      </c>
      <c r="V957" s="5"/>
      <c r="W957" s="5"/>
      <c r="AB957" s="1812" t="s">
        <v>307</v>
      </c>
      <c r="AC957" s="1813"/>
      <c r="AD957" s="1813"/>
      <c r="AE957" s="1813"/>
      <c r="AF957" s="1813"/>
      <c r="AG957" s="1813"/>
      <c r="AH957" s="1813"/>
      <c r="AI957" s="1813"/>
      <c r="AJ957" s="1813"/>
      <c r="AK957" s="1814"/>
      <c r="AZ957" s="34"/>
      <c r="BA957" s="34"/>
      <c r="BB957" s="34"/>
      <c r="BC957" s="34"/>
    </row>
    <row r="958" spans="1:55" ht="13.25" customHeight="1">
      <c r="C958" s="66" t="s">
        <v>13</v>
      </c>
      <c r="D958" s="5"/>
      <c r="E958" s="5"/>
      <c r="F958" s="5"/>
      <c r="G958" s="5"/>
      <c r="H958" s="5"/>
      <c r="I958" s="5"/>
      <c r="J958" s="5"/>
      <c r="K958" s="5"/>
      <c r="L958" s="46"/>
      <c r="M958" s="1709"/>
      <c r="N958" s="1710"/>
      <c r="O958" s="1710"/>
      <c r="P958" s="1710"/>
      <c r="Q958" s="1710"/>
      <c r="R958" s="1710"/>
      <c r="S958" s="1711"/>
      <c r="U958" s="66" t="s">
        <v>13</v>
      </c>
      <c r="V958" s="5"/>
      <c r="W958" s="5"/>
      <c r="X958" s="5"/>
      <c r="Y958" s="5"/>
      <c r="Z958" s="5"/>
      <c r="AA958" s="5"/>
      <c r="AB958" s="5"/>
      <c r="AC958" s="5"/>
      <c r="AD958" s="46"/>
      <c r="AE958" s="1783"/>
      <c r="AF958" s="1710"/>
      <c r="AG958" s="1710"/>
      <c r="AH958" s="1710"/>
      <c r="AI958" s="1710"/>
      <c r="AJ958" s="1710"/>
      <c r="AK958" s="1711"/>
      <c r="AZ958" s="34"/>
      <c r="BA958" s="34"/>
      <c r="BB958" s="34"/>
      <c r="BC958" s="34"/>
    </row>
    <row r="959" spans="1:55" ht="13.25" customHeight="1">
      <c r="C959" s="66" t="s">
        <v>14</v>
      </c>
      <c r="D959" s="5"/>
      <c r="E959" s="5"/>
      <c r="F959" s="5"/>
      <c r="G959" s="5"/>
      <c r="H959" s="5"/>
      <c r="I959" s="5"/>
      <c r="J959" s="5"/>
      <c r="K959" s="5"/>
      <c r="L959" s="46"/>
      <c r="M959" s="1729"/>
      <c r="N959" s="1615"/>
      <c r="O959" s="1615"/>
      <c r="P959" s="1615"/>
      <c r="Q959" s="1615"/>
      <c r="R959" s="1615"/>
      <c r="S959" s="1616"/>
      <c r="U959" s="66" t="s">
        <v>14</v>
      </c>
      <c r="V959" s="5"/>
      <c r="W959" s="5"/>
      <c r="X959" s="5"/>
      <c r="Y959" s="5"/>
      <c r="Z959" s="5"/>
      <c r="AA959" s="5"/>
      <c r="AB959" s="5"/>
      <c r="AC959" s="5"/>
      <c r="AD959" s="46"/>
      <c r="AE959" s="1729"/>
      <c r="AF959" s="1615"/>
      <c r="AG959" s="1615"/>
      <c r="AH959" s="1615"/>
      <c r="AI959" s="1615"/>
      <c r="AJ959" s="1615"/>
      <c r="AK959" s="1616"/>
      <c r="AV959" s="2"/>
      <c r="AW959" s="2"/>
      <c r="AX959" s="2"/>
      <c r="AY959" s="2"/>
      <c r="AZ959" s="34"/>
      <c r="BA959" s="34"/>
      <c r="BB959" s="34"/>
      <c r="BC959" s="34"/>
    </row>
    <row r="960" spans="1:55" ht="13.25" customHeight="1">
      <c r="C960" s="66" t="s">
        <v>15</v>
      </c>
      <c r="D960" s="5"/>
      <c r="E960" s="5"/>
      <c r="F960" s="5"/>
      <c r="G960" s="5"/>
      <c r="H960" s="5"/>
      <c r="I960" s="5"/>
      <c r="J960" s="5"/>
      <c r="K960" s="5"/>
      <c r="L960" s="46"/>
      <c r="M960" s="1639"/>
      <c r="N960" s="1527"/>
      <c r="O960" s="1527"/>
      <c r="P960" s="1527"/>
      <c r="Q960" s="1527"/>
      <c r="R960" s="1527"/>
      <c r="S960" s="1640"/>
      <c r="U960" s="66" t="s">
        <v>15</v>
      </c>
      <c r="V960" s="5"/>
      <c r="W960" s="5"/>
      <c r="X960" s="5"/>
      <c r="Y960" s="5"/>
      <c r="Z960" s="5"/>
      <c r="AA960" s="5"/>
      <c r="AB960" s="5"/>
      <c r="AC960" s="5"/>
      <c r="AD960" s="46"/>
      <c r="AE960" s="1639"/>
      <c r="AF960" s="1527"/>
      <c r="AG960" s="1527"/>
      <c r="AH960" s="1527"/>
      <c r="AI960" s="1527"/>
      <c r="AJ960" s="1527"/>
      <c r="AK960" s="1640"/>
      <c r="AV960" s="2"/>
      <c r="AW960" s="2"/>
      <c r="AX960" s="2"/>
      <c r="AY960" s="2"/>
      <c r="AZ960" s="34"/>
      <c r="BA960" s="34"/>
      <c r="BB960" s="34"/>
      <c r="BC960" s="34"/>
    </row>
    <row r="961" spans="1:64" ht="13.25" customHeight="1">
      <c r="C961" s="66" t="s">
        <v>16</v>
      </c>
      <c r="D961" s="5"/>
      <c r="E961" s="5"/>
      <c r="F961" s="5"/>
      <c r="G961" s="5"/>
      <c r="H961" s="5"/>
      <c r="I961" s="5"/>
      <c r="J961" s="5"/>
      <c r="K961" s="5"/>
      <c r="L961" s="46"/>
      <c r="M961" s="1639"/>
      <c r="N961" s="1527"/>
      <c r="O961" s="1527"/>
      <c r="P961" s="1527"/>
      <c r="Q961" s="1527"/>
      <c r="R961" s="1527"/>
      <c r="S961" s="1640"/>
      <c r="U961" s="66" t="s">
        <v>16</v>
      </c>
      <c r="V961" s="5"/>
      <c r="W961" s="5"/>
      <c r="X961" s="5"/>
      <c r="Y961" s="5"/>
      <c r="Z961" s="5"/>
      <c r="AA961" s="5"/>
      <c r="AB961" s="5"/>
      <c r="AC961" s="5"/>
      <c r="AD961" s="46"/>
      <c r="AE961" s="1639"/>
      <c r="AF961" s="1527"/>
      <c r="AG961" s="1527"/>
      <c r="AH961" s="1527"/>
      <c r="AI961" s="1527"/>
      <c r="AJ961" s="1527"/>
      <c r="AK961" s="1640"/>
      <c r="AV961" s="2"/>
      <c r="AW961" s="2"/>
      <c r="AX961" s="2"/>
      <c r="AY961" s="2"/>
      <c r="AZ961" s="34"/>
      <c r="BB961" s="34"/>
      <c r="BC961" s="34"/>
    </row>
    <row r="962" spans="1:64" ht="13.25" customHeight="1">
      <c r="C962" s="121" t="s">
        <v>1661</v>
      </c>
      <c r="D962" s="5"/>
      <c r="E962" s="5"/>
      <c r="F962" s="5"/>
      <c r="G962" s="5"/>
      <c r="H962" s="5"/>
      <c r="I962" s="5"/>
      <c r="J962" s="5"/>
      <c r="K962" s="5"/>
      <c r="L962" s="46"/>
      <c r="M962" s="1780"/>
      <c r="N962" s="1781"/>
      <c r="O962" s="1781"/>
      <c r="P962" s="1781"/>
      <c r="Q962" s="1781"/>
      <c r="R962" s="1781"/>
      <c r="S962" s="1782"/>
      <c r="U962" s="121" t="s">
        <v>1661</v>
      </c>
      <c r="V962" s="5"/>
      <c r="W962" s="5"/>
      <c r="X962" s="5"/>
      <c r="Y962" s="5"/>
      <c r="Z962" s="5"/>
      <c r="AA962" s="5"/>
      <c r="AB962" s="5"/>
      <c r="AC962" s="5"/>
      <c r="AD962" s="46"/>
      <c r="AE962" s="1780"/>
      <c r="AF962" s="1781"/>
      <c r="AG962" s="1781"/>
      <c r="AH962" s="1781"/>
      <c r="AI962" s="1781"/>
      <c r="AJ962" s="1781"/>
      <c r="AK962" s="1782"/>
      <c r="AZ962" s="34"/>
      <c r="BB962" s="34"/>
      <c r="BC962" s="34"/>
      <c r="BD962" s="34"/>
      <c r="BE962" s="34"/>
      <c r="BF962" s="34"/>
      <c r="BG962" s="34"/>
      <c r="BH962" s="34"/>
      <c r="BI962" s="34"/>
      <c r="BJ962" s="34"/>
      <c r="BK962" s="34"/>
      <c r="BL962" s="34"/>
    </row>
    <row r="963" spans="1:64" ht="13.25" customHeight="1">
      <c r="AZ963" s="34"/>
      <c r="BB963" s="34"/>
      <c r="BC963" s="34"/>
      <c r="BD963" s="34"/>
      <c r="BE963" s="34"/>
      <c r="BF963" s="34"/>
      <c r="BG963" s="34"/>
      <c r="BH963" s="34"/>
      <c r="BI963" s="34"/>
      <c r="BJ963" s="34"/>
      <c r="BK963" s="34"/>
      <c r="BL963" s="34"/>
    </row>
    <row r="964" spans="1:64" ht="13.2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2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2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25" customHeight="1">
      <c r="A967"/>
      <c r="B967"/>
      <c r="C967"/>
      <c r="D967"/>
      <c r="E967"/>
      <c r="F967" s="45" t="s">
        <v>571</v>
      </c>
      <c r="G967" s="5"/>
      <c r="H967" s="5"/>
      <c r="I967" s="5"/>
      <c r="J967" s="5"/>
      <c r="K967" s="5"/>
      <c r="L967" s="46"/>
      <c r="M967" s="1665" t="s">
        <v>591</v>
      </c>
      <c r="N967" s="1666"/>
      <c r="O967" s="1666"/>
      <c r="P967" s="1666"/>
      <c r="Q967" s="1666"/>
      <c r="R967" s="1666"/>
      <c r="S967" s="1667"/>
      <c r="T967" s="66" t="s">
        <v>790</v>
      </c>
      <c r="U967" s="5"/>
      <c r="V967" s="5"/>
      <c r="W967" s="5"/>
      <c r="X967" s="5"/>
      <c r="Y967" s="5"/>
      <c r="Z967" s="46"/>
      <c r="AA967" s="1665" t="s">
        <v>591</v>
      </c>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25" customHeight="1">
      <c r="A968"/>
      <c r="B968"/>
      <c r="C968"/>
      <c r="D968"/>
      <c r="E968"/>
      <c r="F968" s="45" t="s">
        <v>572</v>
      </c>
      <c r="G968" s="5"/>
      <c r="H968" s="5"/>
      <c r="I968" s="5"/>
      <c r="J968" s="5"/>
      <c r="K968" s="5"/>
      <c r="L968" s="46"/>
      <c r="M968" s="1665"/>
      <c r="N968" s="1666"/>
      <c r="O968" s="1666"/>
      <c r="P968" s="1666"/>
      <c r="Q968" s="1666"/>
      <c r="R968" s="1666"/>
      <c r="S968" s="1667"/>
      <c r="T968" s="66" t="s">
        <v>789</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25" customHeight="1">
      <c r="A969"/>
      <c r="B969"/>
      <c r="C969"/>
      <c r="D969"/>
      <c r="E969"/>
      <c r="F969" s="45" t="s">
        <v>901</v>
      </c>
      <c r="G969" s="5"/>
      <c r="H969" s="5"/>
      <c r="I969" s="5"/>
      <c r="J969" s="5"/>
      <c r="K969" s="5"/>
      <c r="L969" s="46"/>
      <c r="M969" s="1712" t="s">
        <v>591</v>
      </c>
      <c r="N969" s="1713"/>
      <c r="O969" s="1713"/>
      <c r="P969" s="1713"/>
      <c r="Q969" s="1713"/>
      <c r="R969" s="1713"/>
      <c r="S969" s="1714"/>
      <c r="T969" s="45" t="s">
        <v>337</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25" customHeight="1">
      <c r="A970"/>
      <c r="B970"/>
      <c r="C970"/>
      <c r="D970"/>
      <c r="E970"/>
      <c r="F970" s="45" t="s">
        <v>573</v>
      </c>
      <c r="G970" s="5"/>
      <c r="H970" s="5"/>
      <c r="I970" s="5"/>
      <c r="J970" s="5"/>
      <c r="K970" s="5"/>
      <c r="L970" s="46"/>
      <c r="M970" s="1665"/>
      <c r="N970" s="1666"/>
      <c r="O970" s="1666"/>
      <c r="P970" s="1666"/>
      <c r="Q970" s="1666"/>
      <c r="R970" s="1666"/>
      <c r="S970" s="1667"/>
      <c r="T970" s="45" t="s">
        <v>338</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25" customHeight="1">
      <c r="A971"/>
      <c r="B971"/>
      <c r="C971"/>
      <c r="D971"/>
      <c r="E971"/>
      <c r="F971" s="45" t="s">
        <v>464</v>
      </c>
      <c r="G971" s="5"/>
      <c r="H971" s="5"/>
      <c r="I971" s="5"/>
      <c r="J971" s="5"/>
      <c r="K971" s="5"/>
      <c r="L971" s="46"/>
      <c r="M971" s="1665"/>
      <c r="N971" s="1666"/>
      <c r="O971" s="1666"/>
      <c r="P971" s="1666"/>
      <c r="Q971" s="1666"/>
      <c r="R971" s="1666"/>
      <c r="S971" s="1667"/>
      <c r="T971" s="45" t="s">
        <v>376</v>
      </c>
      <c r="U971" s="5"/>
      <c r="V971" s="5"/>
      <c r="W971" s="5"/>
      <c r="X971" s="5"/>
      <c r="Y971" s="5"/>
      <c r="Z971" s="46"/>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25" customHeight="1">
      <c r="A972"/>
      <c r="B972"/>
      <c r="C972"/>
      <c r="D972"/>
      <c r="E972"/>
      <c r="F972" s="242" t="s">
        <v>880</v>
      </c>
      <c r="G972" s="42"/>
      <c r="H972" s="42"/>
      <c r="I972" s="42"/>
      <c r="J972" s="42"/>
      <c r="K972" s="42"/>
      <c r="L972" s="58"/>
      <c r="M972" s="1812" t="s">
        <v>307</v>
      </c>
      <c r="N972" s="1813"/>
      <c r="O972" s="1813"/>
      <c r="P972" s="1813"/>
      <c r="Q972" s="1813"/>
      <c r="R972" s="1813"/>
      <c r="S972" s="1814"/>
      <c r="T972" s="1767"/>
      <c r="U972" s="1768"/>
      <c r="V972" s="1768"/>
      <c r="W972" s="1768"/>
      <c r="X972" s="1768"/>
      <c r="Y972" s="1768"/>
      <c r="Z972" s="1769"/>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25" customHeight="1">
      <c r="A973"/>
      <c r="B973"/>
      <c r="C973"/>
      <c r="D973"/>
      <c r="E973"/>
      <c r="F973" s="41" t="s">
        <v>465</v>
      </c>
      <c r="G973" s="42"/>
      <c r="H973" s="42"/>
      <c r="I973" s="42"/>
      <c r="J973" s="42"/>
      <c r="K973" s="42"/>
      <c r="L973" s="58"/>
      <c r="M973" s="1665"/>
      <c r="N973" s="1666"/>
      <c r="O973" s="1666"/>
      <c r="P973" s="1666"/>
      <c r="Q973" s="1666"/>
      <c r="R973" s="1666"/>
      <c r="S973" s="1667"/>
      <c r="T973" s="1767"/>
      <c r="U973" s="1768"/>
      <c r="V973" s="1768"/>
      <c r="W973" s="1768"/>
      <c r="X973" s="1768"/>
      <c r="Y973" s="1768"/>
      <c r="Z973" s="1769"/>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25" customHeight="1">
      <c r="F974" s="41" t="s">
        <v>336</v>
      </c>
      <c r="G974" s="42"/>
      <c r="H974" s="42"/>
      <c r="I974" s="42"/>
      <c r="J974" s="42"/>
      <c r="K974" s="42"/>
      <c r="L974" s="42"/>
      <c r="M974" s="42"/>
      <c r="N974" s="42"/>
      <c r="O974" s="1370" t="s">
        <v>669</v>
      </c>
      <c r="P974" s="1372"/>
      <c r="Q974" s="92"/>
      <c r="R974" s="92"/>
      <c r="S974" s="93"/>
      <c r="T974" s="41" t="s">
        <v>170</v>
      </c>
      <c r="U974" s="42"/>
      <c r="V974" s="42"/>
      <c r="W974" s="1815" t="s">
        <v>334</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3.25" customHeight="1">
      <c r="F975" s="1610" t="s">
        <v>33</v>
      </c>
      <c r="G975" s="1485"/>
      <c r="H975" s="1485"/>
      <c r="I975" s="1485"/>
      <c r="J975" s="1485"/>
      <c r="K975" s="1485"/>
      <c r="L975" s="1485"/>
      <c r="M975" s="1665"/>
      <c r="N975" s="1666"/>
      <c r="O975" s="1666"/>
      <c r="P975" s="1666"/>
      <c r="Q975" s="1666"/>
      <c r="R975" s="1666"/>
      <c r="S975" s="1667"/>
      <c r="T975" s="47"/>
      <c r="U975" s="48"/>
      <c r="V975" s="48"/>
      <c r="W975" s="48"/>
      <c r="X975" s="48"/>
      <c r="Y975" s="48"/>
      <c r="Z975" s="124" t="s">
        <v>134</v>
      </c>
      <c r="AA975" s="1764"/>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3.25"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3.25" customHeight="1">
      <c r="AU977" s="68"/>
      <c r="AV977" s="68"/>
      <c r="AW977" s="68"/>
      <c r="AX977" s="68"/>
      <c r="AY977" s="68"/>
      <c r="AZ977" s="14"/>
      <c r="BA977" s="14"/>
      <c r="BB977" s="912"/>
      <c r="BC977" s="912"/>
      <c r="BD977" s="14"/>
      <c r="BE977" s="14"/>
      <c r="BF977" s="14"/>
      <c r="BG977" s="14"/>
      <c r="BH977" s="14"/>
      <c r="BI977" s="14"/>
      <c r="BJ977" s="14"/>
      <c r="BK977" s="14"/>
      <c r="BL977" s="14"/>
    </row>
    <row r="978" spans="1:64" ht="13.25" customHeight="1">
      <c r="AU978" s="68"/>
      <c r="AV978" s="68"/>
      <c r="AW978" s="68"/>
      <c r="AX978" s="68"/>
      <c r="AY978" s="68"/>
      <c r="AZ978" s="14"/>
      <c r="BA978" s="14"/>
      <c r="BB978" s="912"/>
      <c r="BC978" s="912"/>
    </row>
    <row r="979" spans="1:64" ht="13.25" customHeight="1">
      <c r="A979" s="1539" t="s">
        <v>548</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3.2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3.2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3.2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2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2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25" customHeight="1">
      <c r="A985" s="67"/>
      <c r="B985" s="79"/>
      <c r="C985" s="928"/>
      <c r="D985" s="1795" t="s">
        <v>638</v>
      </c>
      <c r="E985" s="1796"/>
      <c r="F985" s="1796"/>
      <c r="G985" s="1796"/>
      <c r="H985" s="1796"/>
      <c r="I985" s="1796"/>
      <c r="J985" s="1796"/>
      <c r="K985" s="1796"/>
      <c r="L985" s="1796"/>
      <c r="M985" s="1796"/>
      <c r="N985" s="1796"/>
      <c r="O985" s="1796"/>
      <c r="P985" s="1796"/>
      <c r="Q985" s="1797"/>
      <c r="R985" s="1795" t="s">
        <v>639</v>
      </c>
      <c r="S985" s="1796"/>
      <c r="T985" s="1796"/>
      <c r="U985" s="1796"/>
      <c r="V985" s="1796"/>
      <c r="W985" s="1796"/>
      <c r="X985" s="1796"/>
      <c r="Y985" s="1796"/>
      <c r="Z985" s="1796"/>
      <c r="AA985" s="1797"/>
      <c r="AB985" s="1795" t="s">
        <v>640</v>
      </c>
      <c r="AC985" s="1796"/>
      <c r="AD985" s="1796"/>
      <c r="AE985" s="1796"/>
      <c r="AF985" s="1796"/>
      <c r="AG985" s="1796"/>
      <c r="AH985" s="1796"/>
      <c r="AI985" s="1797"/>
      <c r="AJ985" s="1795" t="s">
        <v>641</v>
      </c>
      <c r="AK985" s="1796"/>
      <c r="AL985" s="1796"/>
      <c r="AM985" s="1796"/>
      <c r="AN985" s="1796"/>
      <c r="AO985" s="1796"/>
      <c r="AP985" s="1796"/>
      <c r="AQ985" s="1797"/>
      <c r="AR985" s="68"/>
      <c r="AS985" s="68"/>
      <c r="AT985" s="68"/>
      <c r="AU985" s="68"/>
      <c r="AV985" s="68"/>
      <c r="AW985" s="68"/>
      <c r="AX985" s="68"/>
      <c r="AY985" s="68"/>
      <c r="AZ985" s="30"/>
      <c r="BB985" s="14"/>
      <c r="BC985" s="14"/>
    </row>
    <row r="986" spans="1:64" ht="13.25" customHeight="1">
      <c r="A986" s="14"/>
      <c r="B986" s="73"/>
      <c r="C986" s="929"/>
      <c r="D986" s="1801" t="s">
        <v>633</v>
      </c>
      <c r="E986" s="1802"/>
      <c r="F986" s="1802"/>
      <c r="G986" s="1802"/>
      <c r="H986" s="1802"/>
      <c r="I986" s="1802"/>
      <c r="J986" s="1802"/>
      <c r="K986" s="1802"/>
      <c r="L986" s="1802"/>
      <c r="M986" s="1802"/>
      <c r="N986" s="1802"/>
      <c r="O986" s="1802"/>
      <c r="P986" s="1802"/>
      <c r="Q986" s="1803"/>
      <c r="R986" s="1788">
        <f>IF(ISNA(IF($CU$122="4%",(INDEX($CS$160:$CW$217,MATCH($DG$122,$CR$160:$CR$217,0),MATCH(D986,$CS$159:$CW$159,0))),(INDEX($CZ$160:$DD$217,MATCH($DG$122,$CY$160:$CY$217,0),MATCH(D986,$CZ$159:$DD$159,0))))),0,IF($CU$122="4%",(INDEX($CS$160:$CW$217,MATCH($DG$122,$CR$160:$CR$217,0),MATCH(D986,$CS$159:$CW$159,0))),(INDEX($CZ$160:$DD$217,MATCH($DG$122,$CY$160:$CY$217,0),MATCH(D986,$CZ$159:$DD$159,0)))))</f>
        <v>437727</v>
      </c>
      <c r="S986" s="1788"/>
      <c r="T986" s="1788"/>
      <c r="U986" s="1788"/>
      <c r="V986" s="1788"/>
      <c r="W986" s="1788"/>
      <c r="X986" s="1788"/>
      <c r="Y986" s="1788"/>
      <c r="Z986" s="1788"/>
      <c r="AA986" s="1788"/>
      <c r="AB986" s="1785">
        <f>CP802</f>
        <v>0</v>
      </c>
      <c r="AC986" s="1786"/>
      <c r="AD986" s="1786"/>
      <c r="AE986" s="1786"/>
      <c r="AF986" s="1786"/>
      <c r="AG986" s="1786"/>
      <c r="AH986" s="1786"/>
      <c r="AI986" s="1787"/>
      <c r="AJ986" s="1721">
        <f>IF(ISERROR((R986*AB986)),0,(R986*AB986))</f>
        <v>0</v>
      </c>
      <c r="AK986" s="1722"/>
      <c r="AL986" s="1722"/>
      <c r="AM986" s="1722"/>
      <c r="AN986" s="1722"/>
      <c r="AO986" s="1722"/>
      <c r="AP986" s="1722"/>
      <c r="AQ986" s="1723"/>
      <c r="AR986" s="68"/>
      <c r="AS986" s="68"/>
      <c r="AT986" s="68"/>
      <c r="AU986" s="68"/>
      <c r="AV986" s="68"/>
      <c r="AW986" s="68"/>
      <c r="AX986" s="68"/>
      <c r="AY986" s="68"/>
      <c r="AZ986" s="30"/>
      <c r="BB986" s="14"/>
      <c r="BC986" s="14"/>
    </row>
    <row r="987" spans="1:64" ht="13.25" customHeight="1">
      <c r="A987" s="14"/>
      <c r="B987" s="73"/>
      <c r="C987" s="83"/>
      <c r="D987" s="1801" t="s">
        <v>325</v>
      </c>
      <c r="E987" s="1802"/>
      <c r="F987" s="1802"/>
      <c r="G987" s="1802"/>
      <c r="H987" s="1802"/>
      <c r="I987" s="1802"/>
      <c r="J987" s="1802"/>
      <c r="K987" s="1802"/>
      <c r="L987" s="1802"/>
      <c r="M987" s="1802"/>
      <c r="N987" s="1802"/>
      <c r="O987" s="1802"/>
      <c r="P987" s="1802"/>
      <c r="Q987" s="1803"/>
      <c r="R987" s="1788">
        <f>IF(ISNA(IF($CU$122="4%",(INDEX($CS$160:$CW$217,MATCH($DG$122,$CR$160:$CR$217,0),MATCH(D987,$CS$159:$CW$159,0))),(INDEX($CZ$160:$DD$217,MATCH($DG$122,$CY$160:$CY$217,0),MATCH(D987,$CZ$159:$DD$159,0))))),0,IF($CU$122="4%",(INDEX($CS$160:$CW$217,MATCH($DG$122,$CR$160:$CR$217,0),MATCH(D987,$CS$159:$CW$159,0))),(INDEX($CZ$160:$DD$217,MATCH($DG$122,$CY$160:$CY$217,0),MATCH(D987,$CZ$159:$DD$159,0)))))</f>
        <v>504695</v>
      </c>
      <c r="S987" s="1788"/>
      <c r="T987" s="1788"/>
      <c r="U987" s="1788"/>
      <c r="V987" s="1788"/>
      <c r="W987" s="1788"/>
      <c r="X987" s="1788"/>
      <c r="Y987" s="1788"/>
      <c r="Z987" s="1788"/>
      <c r="AA987" s="1788"/>
      <c r="AB987" s="1785">
        <f>CU802</f>
        <v>43</v>
      </c>
      <c r="AC987" s="1786"/>
      <c r="AD987" s="1786"/>
      <c r="AE987" s="1786"/>
      <c r="AF987" s="1786"/>
      <c r="AG987" s="1786"/>
      <c r="AH987" s="1786"/>
      <c r="AI987" s="1787"/>
      <c r="AJ987" s="1721">
        <f>IF(ISERROR((R987*AB987)),0,(R987*AB987))</f>
        <v>21701885</v>
      </c>
      <c r="AK987" s="1722"/>
      <c r="AL987" s="1722"/>
      <c r="AM987" s="1722"/>
      <c r="AN987" s="1722"/>
      <c r="AO987" s="1722"/>
      <c r="AP987" s="1722"/>
      <c r="AQ987" s="1723"/>
      <c r="AR987" s="68"/>
      <c r="AS987" s="68"/>
      <c r="AT987" s="68"/>
      <c r="AU987" s="68"/>
      <c r="AV987" s="68"/>
      <c r="AW987" s="68"/>
      <c r="AX987" s="68"/>
      <c r="AY987" s="68"/>
      <c r="AZ987" s="30"/>
      <c r="BB987" s="14"/>
      <c r="BC987" s="14"/>
    </row>
    <row r="988" spans="1:64" ht="13.25" customHeight="1">
      <c r="A988" s="14"/>
      <c r="B988" s="73"/>
      <c r="C988" s="83"/>
      <c r="D988" s="1801" t="s">
        <v>163</v>
      </c>
      <c r="E988" s="1802"/>
      <c r="F988" s="1802"/>
      <c r="G988" s="1802"/>
      <c r="H988" s="1802"/>
      <c r="I988" s="1802"/>
      <c r="J988" s="1802"/>
      <c r="K988" s="1802"/>
      <c r="L988" s="1802"/>
      <c r="M988" s="1802"/>
      <c r="N988" s="1802"/>
      <c r="O988" s="1802"/>
      <c r="P988" s="1802"/>
      <c r="Q988" s="1803"/>
      <c r="R988" s="1788">
        <f>IF(ISNA(IF($CU$122="4%",(INDEX($CS$160:$CW$217,MATCH($DG$122,$CR$160:$CR$217,0),MATCH(D988,$CS$159:$CW$159,0))),(INDEX($CZ$160:$DD$217,MATCH($DG$122,$CY$160:$CY$217,0),MATCH(D988,$CZ$159:$DD$159,0))))),0,IF($CU$122="4%",(INDEX($CS$160:$CW$217,MATCH($DG$122,$CR$160:$CR$217,0),MATCH(D988,$CS$159:$CW$159,0))),(INDEX($CZ$160:$DD$217,MATCH($DG$122,$CY$160:$CY$217,0),MATCH(D988,$CZ$159:$DD$159,0)))))</f>
        <v>608800</v>
      </c>
      <c r="S988" s="1788"/>
      <c r="T988" s="1788"/>
      <c r="U988" s="1788"/>
      <c r="V988" s="1788"/>
      <c r="W988" s="1788"/>
      <c r="X988" s="1788"/>
      <c r="Y988" s="1788"/>
      <c r="Z988" s="1788"/>
      <c r="AA988" s="1788"/>
      <c r="AB988" s="1785">
        <f>CZ802</f>
        <v>43</v>
      </c>
      <c r="AC988" s="1786"/>
      <c r="AD988" s="1786"/>
      <c r="AE988" s="1786"/>
      <c r="AF988" s="1786"/>
      <c r="AG988" s="1786"/>
      <c r="AH988" s="1786"/>
      <c r="AI988" s="1787"/>
      <c r="AJ988" s="1721">
        <f>IF(ISERROR((R988*AB988)),0,(R988*AB988))</f>
        <v>26178400</v>
      </c>
      <c r="AK988" s="1722"/>
      <c r="AL988" s="1722"/>
      <c r="AM988" s="1722"/>
      <c r="AN988" s="1722"/>
      <c r="AO988" s="1722"/>
      <c r="AP988" s="1722"/>
      <c r="AQ988" s="1723"/>
      <c r="AR988" s="68"/>
      <c r="AS988" s="68"/>
      <c r="AT988" s="68"/>
      <c r="AU988" s="68"/>
      <c r="AV988" s="68"/>
      <c r="AW988" s="68"/>
      <c r="AX988" s="68"/>
      <c r="AY988" s="68"/>
      <c r="AZ988" s="30"/>
      <c r="BB988" s="14"/>
      <c r="BC988" s="14"/>
    </row>
    <row r="989" spans="1:64" ht="13.25" customHeight="1">
      <c r="A989" s="14"/>
      <c r="B989" s="73"/>
      <c r="C989" s="83"/>
      <c r="D989" s="1801" t="s">
        <v>164</v>
      </c>
      <c r="E989" s="1802"/>
      <c r="F989" s="1802"/>
      <c r="G989" s="1802"/>
      <c r="H989" s="1802"/>
      <c r="I989" s="1802"/>
      <c r="J989" s="1802"/>
      <c r="K989" s="1802"/>
      <c r="L989" s="1802"/>
      <c r="M989" s="1802"/>
      <c r="N989" s="1802"/>
      <c r="O989" s="1802"/>
      <c r="P989" s="1802"/>
      <c r="Q989" s="1803"/>
      <c r="R989" s="1788">
        <f>IF(ISNA(IF($CU$122="4%",(INDEX($CS$160:$CW$217,MATCH($DG$122,$CR$160:$CR$217,0),MATCH(D989,$CS$159:$CW$159,0))),(INDEX($CZ$160:$DD$217,MATCH($DG$122,$CY$160:$CY$217,0),MATCH(D989,$CZ$159:$DD$159,0))))),0,IF($CU$122="4%",(INDEX($CS$160:$CW$217,MATCH($DG$122,$CR$160:$CR$217,0),MATCH(D989,$CS$159:$CW$159,0))),(INDEX($CZ$160:$DD$217,MATCH($DG$122,$CY$160:$CY$217,0),MATCH(D989,$CZ$159:$DD$159,0)))))</f>
        <v>779264</v>
      </c>
      <c r="S989" s="1788"/>
      <c r="T989" s="1788"/>
      <c r="U989" s="1788"/>
      <c r="V989" s="1788"/>
      <c r="W989" s="1788"/>
      <c r="X989" s="1788"/>
      <c r="Y989" s="1788"/>
      <c r="Z989" s="1788"/>
      <c r="AA989" s="1788"/>
      <c r="AB989" s="1785">
        <f>DE802</f>
        <v>86</v>
      </c>
      <c r="AC989" s="1786"/>
      <c r="AD989" s="1786"/>
      <c r="AE989" s="1786"/>
      <c r="AF989" s="1786"/>
      <c r="AG989" s="1786"/>
      <c r="AH989" s="1786"/>
      <c r="AI989" s="1787"/>
      <c r="AJ989" s="1721">
        <f>IF(ISERROR((R989*AB989)),0,(R989*AB989))</f>
        <v>67016704</v>
      </c>
      <c r="AK989" s="1722"/>
      <c r="AL989" s="1722"/>
      <c r="AM989" s="1722"/>
      <c r="AN989" s="1722"/>
      <c r="AO989" s="1722"/>
      <c r="AP989" s="1722"/>
      <c r="AQ989" s="1723"/>
      <c r="AR989" s="68"/>
      <c r="AS989" s="68"/>
      <c r="AT989" s="68"/>
      <c r="AU989" s="68"/>
      <c r="AV989" s="68"/>
      <c r="AW989" s="68"/>
      <c r="AX989" s="68"/>
      <c r="AY989" s="68"/>
      <c r="AZ989" s="30"/>
      <c r="BA989" s="34"/>
      <c r="BB989" s="14"/>
      <c r="BC989" s="14"/>
    </row>
    <row r="990" spans="1:64" ht="13.25" customHeight="1">
      <c r="A990" s="14"/>
      <c r="B990" s="47"/>
      <c r="C990" s="78"/>
      <c r="D990" s="1801" t="s">
        <v>460</v>
      </c>
      <c r="E990" s="1802"/>
      <c r="F990" s="1802"/>
      <c r="G990" s="1802"/>
      <c r="H990" s="1802"/>
      <c r="I990" s="1802"/>
      <c r="J990" s="1802"/>
      <c r="K990" s="1802"/>
      <c r="L990" s="1802"/>
      <c r="M990" s="1802"/>
      <c r="N990" s="1802"/>
      <c r="O990" s="1802"/>
      <c r="P990" s="1802"/>
      <c r="Q990" s="1803"/>
      <c r="R990" s="1788">
        <f>IF(ISNA(IF($CU$122="4%",(INDEX($CS$160:$CW$217,MATCH($DG$122,$CR$160:$CR$217,0),MATCH(D990,$CS$159:$CW$159,0))),(INDEX($CZ$160:$DD$217,MATCH($DG$122,$CY$160:$CY$217,0),MATCH(D990,$CZ$159:$DD$159,0))))),0,IF($CU$122="4%",(INDEX($CS$160:$CW$217,MATCH($DG$122,$CR$160:$CR$217,0),MATCH(D990,$CS$159:$CW$159,0))),(INDEX($CZ$160:$DD$217,MATCH($DG$122,$CY$160:$CY$217,0),MATCH(D990,$CZ$159:$DD$159,0)))))</f>
        <v>868149</v>
      </c>
      <c r="S990" s="1788"/>
      <c r="T990" s="1788"/>
      <c r="U990" s="1788"/>
      <c r="V990" s="1788"/>
      <c r="W990" s="1788"/>
      <c r="X990" s="1788"/>
      <c r="Y990" s="1788"/>
      <c r="Z990" s="1788"/>
      <c r="AA990" s="1788"/>
      <c r="AB990" s="1785">
        <f>DO802+DJ802</f>
        <v>43</v>
      </c>
      <c r="AC990" s="1786"/>
      <c r="AD990" s="1786"/>
      <c r="AE990" s="1786"/>
      <c r="AF990" s="1786"/>
      <c r="AG990" s="1786"/>
      <c r="AH990" s="1786"/>
      <c r="AI990" s="1787"/>
      <c r="AJ990" s="1721">
        <f>IF(ISERROR((R990*AB990)),0,(R990*AB990))</f>
        <v>37330407</v>
      </c>
      <c r="AK990" s="1722"/>
      <c r="AL990" s="1722"/>
      <c r="AM990" s="1722"/>
      <c r="AN990" s="1722"/>
      <c r="AO990" s="1722"/>
      <c r="AP990" s="1722"/>
      <c r="AQ990" s="1723"/>
      <c r="AR990" s="68"/>
      <c r="AS990" s="68"/>
      <c r="AT990" s="68"/>
      <c r="AU990" s="68"/>
      <c r="AV990" s="68"/>
      <c r="AW990" s="68"/>
      <c r="AX990" s="68"/>
      <c r="AY990" s="68"/>
      <c r="AZ990" s="30"/>
      <c r="BB990" s="14"/>
      <c r="BC990" s="14"/>
    </row>
    <row r="991" spans="1:64" ht="13.25" customHeight="1">
      <c r="A991" s="14"/>
      <c r="B991" s="1742" t="s">
        <v>791</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4"/>
      <c r="AB991" s="1785">
        <f>SUM(AB986:AI990)</f>
        <v>215</v>
      </c>
      <c r="AC991" s="1786"/>
      <c r="AD991" s="1786"/>
      <c r="AE991" s="1786"/>
      <c r="AF991" s="1786"/>
      <c r="AG991" s="1786"/>
      <c r="AH991" s="1786"/>
      <c r="AI991" s="1787"/>
      <c r="AJ991" s="1721"/>
      <c r="AK991" s="1722"/>
      <c r="AL991" s="1722"/>
      <c r="AM991" s="1722"/>
      <c r="AN991" s="1722"/>
      <c r="AO991" s="1722"/>
      <c r="AP991" s="1722"/>
      <c r="AQ991" s="1723"/>
      <c r="AR991" s="68"/>
      <c r="AS991" s="68"/>
      <c r="AT991" s="68"/>
      <c r="AU991" s="68"/>
      <c r="AV991" s="68"/>
      <c r="AW991" s="68"/>
      <c r="AX991" s="68"/>
      <c r="AY991" s="68"/>
      <c r="AZ991" s="34"/>
      <c r="BA991" s="34"/>
      <c r="BB991" s="14"/>
      <c r="BC991" s="14"/>
    </row>
    <row r="992" spans="1:64" ht="13.25" customHeight="1">
      <c r="A992" s="14"/>
      <c r="B992" s="1798" t="s">
        <v>512</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1">
        <f>SUM(AJ986:AQ990)</f>
        <v>152227396</v>
      </c>
      <c r="AK992" s="1722"/>
      <c r="AL992" s="1722"/>
      <c r="AM992" s="1722"/>
      <c r="AN992" s="1722"/>
      <c r="AO992" s="1722"/>
      <c r="AP992" s="1722"/>
      <c r="AQ992" s="1723"/>
      <c r="AR992" s="68"/>
      <c r="AS992" s="68"/>
      <c r="AT992" s="68"/>
      <c r="AU992" s="68"/>
      <c r="AV992" s="68"/>
      <c r="AW992" s="68"/>
      <c r="AX992" s="68"/>
      <c r="AY992" s="68"/>
      <c r="AZ992" s="34"/>
      <c r="BB992" s="34"/>
      <c r="BC992" s="34"/>
    </row>
    <row r="993" spans="1:55" ht="13.25" customHeight="1">
      <c r="A993" s="14"/>
      <c r="B993" s="1751"/>
      <c r="C993" s="1752"/>
      <c r="D993" s="1752"/>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1830" t="s">
        <v>666</v>
      </c>
      <c r="AG993" s="1831"/>
      <c r="AH993" s="1831"/>
      <c r="AI993" s="1832"/>
      <c r="AJ993" s="1751"/>
      <c r="AK993" s="1752"/>
      <c r="AL993" s="1752"/>
      <c r="AM993" s="1752"/>
      <c r="AN993" s="1752"/>
      <c r="AO993" s="1752"/>
      <c r="AP993" s="1752"/>
      <c r="AQ993" s="1753"/>
      <c r="AR993" s="68"/>
      <c r="AS993" s="68"/>
      <c r="AT993" s="68"/>
      <c r="AU993" s="68"/>
      <c r="AV993" s="68"/>
      <c r="AW993" s="68"/>
      <c r="AX993" s="68"/>
      <c r="AY993" s="68"/>
      <c r="AZ993" s="34"/>
      <c r="BA993" s="34"/>
      <c r="BB993" s="34"/>
      <c r="BC993" s="34"/>
    </row>
    <row r="994" spans="1:55" ht="13.25" customHeight="1">
      <c r="A994" s="14"/>
      <c r="B994" s="73"/>
      <c r="C994" s="927" t="s">
        <v>668</v>
      </c>
      <c r="D994" s="1739" t="s">
        <v>1220</v>
      </c>
      <c r="E994" s="1740"/>
      <c r="F994" s="1740"/>
      <c r="G994" s="1740"/>
      <c r="H994" s="1740"/>
      <c r="I994" s="1740"/>
      <c r="J994" s="1740"/>
      <c r="K994" s="1740"/>
      <c r="L994" s="1740"/>
      <c r="M994" s="1740"/>
      <c r="N994" s="1740"/>
      <c r="O994" s="1740"/>
      <c r="P994" s="1740"/>
      <c r="Q994" s="1740"/>
      <c r="R994" s="1740"/>
      <c r="S994" s="1740"/>
      <c r="T994" s="1740"/>
      <c r="U994" s="1740"/>
      <c r="V994" s="1740"/>
      <c r="W994" s="1740"/>
      <c r="X994" s="1740"/>
      <c r="Y994" s="1740"/>
      <c r="Z994" s="1740"/>
      <c r="AA994" s="1740"/>
      <c r="AB994" s="1740"/>
      <c r="AC994" s="1740"/>
      <c r="AD994" s="1740"/>
      <c r="AE994" s="1741"/>
      <c r="AF994" s="79"/>
      <c r="AG994" s="1833" t="s">
        <v>669</v>
      </c>
      <c r="AH994" s="1834"/>
      <c r="AI994" s="87"/>
      <c r="AJ994" s="1730">
        <f>ROUND(IF(AND(AG994="yes",D1000&gt;0),AJ992*0.2,0),0)</f>
        <v>0</v>
      </c>
      <c r="AK994" s="1731"/>
      <c r="AL994" s="1731"/>
      <c r="AM994" s="1731"/>
      <c r="AN994" s="1731"/>
      <c r="AO994" s="1731"/>
      <c r="AP994" s="1731"/>
      <c r="AQ994" s="1732"/>
      <c r="AR994" s="68"/>
      <c r="AS994" s="68"/>
      <c r="AT994" s="68"/>
      <c r="AU994" s="68"/>
      <c r="AV994" s="68"/>
      <c r="AW994" s="68"/>
      <c r="AX994" s="68"/>
      <c r="AY994" s="68"/>
      <c r="AZ994" s="34"/>
      <c r="BA994" s="34"/>
      <c r="BB994" s="34"/>
      <c r="BC994" s="34"/>
    </row>
    <row r="995" spans="1:55" ht="13.25" customHeight="1">
      <c r="A995" s="14"/>
      <c r="B995" s="257"/>
      <c r="C995" s="256"/>
      <c r="D995" s="1773" t="s">
        <v>2234</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3"/>
      <c r="AK995" s="1734"/>
      <c r="AL995" s="1734"/>
      <c r="AM995" s="1734"/>
      <c r="AN995" s="1734"/>
      <c r="AO995" s="1734"/>
      <c r="AP995" s="1734"/>
      <c r="AQ995" s="1735"/>
      <c r="AR995" s="68"/>
      <c r="AS995" s="68"/>
      <c r="AT995" s="68"/>
      <c r="AU995" s="68"/>
      <c r="AV995" s="68"/>
      <c r="AW995" s="68"/>
      <c r="AX995" s="68"/>
      <c r="AY995" s="68"/>
      <c r="AZ995" s="34"/>
      <c r="BA995" s="34"/>
      <c r="BB995" s="34"/>
      <c r="BC995" s="34"/>
    </row>
    <row r="996" spans="1:55" ht="13.25" customHeight="1">
      <c r="A996" s="14"/>
      <c r="B996" s="257"/>
      <c r="C996" s="25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3"/>
      <c r="AK996" s="1734"/>
      <c r="AL996" s="1734"/>
      <c r="AM996" s="1734"/>
      <c r="AN996" s="1734"/>
      <c r="AO996" s="1734"/>
      <c r="AP996" s="1734"/>
      <c r="AQ996" s="1735"/>
      <c r="AR996" s="68"/>
      <c r="AS996" s="68"/>
      <c r="AT996" s="68"/>
      <c r="AU996" s="68"/>
      <c r="AV996" s="68"/>
      <c r="AW996" s="68"/>
      <c r="AX996" s="68"/>
      <c r="AY996" s="68"/>
      <c r="AZ996" s="34"/>
      <c r="BA996" s="34"/>
      <c r="BB996" s="34"/>
      <c r="BC996" s="34"/>
    </row>
    <row r="997" spans="1:55" ht="13.25" customHeight="1">
      <c r="A997" s="14"/>
      <c r="B997" s="257"/>
      <c r="C997" s="25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3"/>
      <c r="AK997" s="1734"/>
      <c r="AL997" s="1734"/>
      <c r="AM997" s="1734"/>
      <c r="AN997" s="1734"/>
      <c r="AO997" s="1734"/>
      <c r="AP997" s="1734"/>
      <c r="AQ997" s="1735"/>
      <c r="AR997" s="68"/>
      <c r="AS997" s="68"/>
      <c r="AT997" s="68"/>
      <c r="AU997" s="68"/>
      <c r="AV997" s="68"/>
      <c r="AW997" s="68"/>
      <c r="AX997" s="68"/>
      <c r="AY997" s="68"/>
      <c r="AZ997" s="34"/>
      <c r="BA997" s="34"/>
      <c r="BB997" s="34"/>
      <c r="BC997" s="34"/>
    </row>
    <row r="998" spans="1:55" ht="13.25" customHeight="1">
      <c r="A998" s="14"/>
      <c r="B998" s="257"/>
      <c r="C998" s="256"/>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3"/>
      <c r="AK998" s="1734"/>
      <c r="AL998" s="1734"/>
      <c r="AM998" s="1734"/>
      <c r="AN998" s="1734"/>
      <c r="AO998" s="1734"/>
      <c r="AP998" s="1734"/>
      <c r="AQ998" s="1735"/>
      <c r="AR998" s="68"/>
      <c r="AS998" s="68"/>
      <c r="AT998" s="68"/>
      <c r="AU998" s="68"/>
      <c r="AV998" s="68"/>
      <c r="AW998" s="68"/>
      <c r="AX998" s="68"/>
      <c r="AY998" s="68"/>
      <c r="AZ998" s="34"/>
      <c r="BA998" s="34"/>
      <c r="BB998" s="34"/>
      <c r="BC998" s="34"/>
    </row>
    <row r="999" spans="1:55" ht="13.25" customHeight="1">
      <c r="A999" s="14"/>
      <c r="B999" s="257"/>
      <c r="C999" s="256"/>
      <c r="D999" s="1776" t="s">
        <v>2205</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3"/>
      <c r="AK999" s="1734"/>
      <c r="AL999" s="1734"/>
      <c r="AM999" s="1734"/>
      <c r="AN999" s="1734"/>
      <c r="AO999" s="1734"/>
      <c r="AP999" s="1734"/>
      <c r="AQ999" s="1735"/>
      <c r="AR999" s="68"/>
      <c r="AS999" s="68"/>
      <c r="AT999" s="68"/>
      <c r="AU999" s="68"/>
      <c r="AV999" s="68"/>
      <c r="AW999" s="68"/>
      <c r="AX999" s="68"/>
      <c r="AY999" s="68"/>
      <c r="AZ999" s="34"/>
      <c r="BA999" s="34"/>
      <c r="BB999" s="34"/>
      <c r="BC999" s="34"/>
    </row>
    <row r="1000" spans="1:55" ht="13.25" customHeight="1">
      <c r="A1000" s="14"/>
      <c r="B1000" s="257"/>
      <c r="C1000" s="256"/>
      <c r="D1000" s="1745"/>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7"/>
      <c r="AG1000" s="7"/>
      <c r="AH1000" s="7"/>
      <c r="AI1000" s="78"/>
      <c r="AJ1000" s="1736"/>
      <c r="AK1000" s="1737"/>
      <c r="AL1000" s="1737"/>
      <c r="AM1000" s="1737"/>
      <c r="AN1000" s="1737"/>
      <c r="AO1000" s="1737"/>
      <c r="AP1000" s="1737"/>
      <c r="AQ1000" s="1738"/>
      <c r="AR1000" s="68"/>
      <c r="AS1000" s="68"/>
      <c r="AT1000" s="68"/>
      <c r="AU1000" s="68"/>
      <c r="AV1000" s="68"/>
      <c r="AW1000" s="68"/>
      <c r="AX1000" s="68"/>
      <c r="AY1000" s="68"/>
      <c r="AZ1000" s="34"/>
      <c r="BA1000" s="34"/>
      <c r="BB1000" s="34"/>
      <c r="BC1000" s="34"/>
    </row>
    <row r="1001" spans="1:55" ht="13.25" customHeight="1">
      <c r="A1001" s="14"/>
      <c r="B1001" s="255"/>
      <c r="C1001" s="318"/>
      <c r="D1001" s="1770" t="s">
        <v>1286</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6" t="s">
        <v>669</v>
      </c>
      <c r="AH1001" s="1757"/>
      <c r="AI1001" s="87"/>
      <c r="AJ1001" s="1730">
        <f>ROUND(IF(AG1001="yes",AJ992*0.05,0),0)</f>
        <v>0</v>
      </c>
      <c r="AK1001" s="1731"/>
      <c r="AL1001" s="1731"/>
      <c r="AM1001" s="1731"/>
      <c r="AN1001" s="1731"/>
      <c r="AO1001" s="1731"/>
      <c r="AP1001" s="1731"/>
      <c r="AQ1001" s="1732"/>
      <c r="AR1001" s="68"/>
      <c r="AS1001" s="68"/>
      <c r="AT1001" s="68"/>
      <c r="AU1001" s="68"/>
      <c r="AV1001" s="68"/>
      <c r="AW1001" s="68"/>
      <c r="AX1001" s="68"/>
      <c r="AY1001" s="68"/>
      <c r="AZ1001" s="34"/>
      <c r="BA1001" s="34"/>
      <c r="BB1001" s="34"/>
      <c r="BC1001" s="34"/>
    </row>
    <row r="1002" spans="1:55" ht="13.25" customHeight="1">
      <c r="A1002" s="14"/>
      <c r="B1002" s="257"/>
      <c r="C1002" s="82"/>
      <c r="D1002" s="1773" t="s">
        <v>1284</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3"/>
      <c r="AK1002" s="1734"/>
      <c r="AL1002" s="1734"/>
      <c r="AM1002" s="1734"/>
      <c r="AN1002" s="1734"/>
      <c r="AO1002" s="1734"/>
      <c r="AP1002" s="1734"/>
      <c r="AQ1002" s="1735"/>
      <c r="AR1002" s="68"/>
      <c r="AS1002" s="68"/>
      <c r="AT1002" s="68"/>
      <c r="AU1002" s="68"/>
      <c r="AV1002" s="68"/>
      <c r="AW1002" s="68"/>
      <c r="AX1002" s="68"/>
      <c r="AY1002" s="34"/>
      <c r="AZ1002" s="34"/>
      <c r="BB1002" s="34"/>
    </row>
    <row r="1003" spans="1:55" ht="13.25" customHeight="1">
      <c r="A1003" s="14"/>
      <c r="B1003" s="25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3"/>
      <c r="AK1003" s="1734"/>
      <c r="AL1003" s="1734"/>
      <c r="AM1003" s="1734"/>
      <c r="AN1003" s="1734"/>
      <c r="AO1003" s="1734"/>
      <c r="AP1003" s="1734"/>
      <c r="AQ1003" s="1735"/>
      <c r="AR1003" s="68"/>
      <c r="AS1003" s="68"/>
      <c r="AT1003" s="68"/>
      <c r="AU1003" s="68"/>
      <c r="AV1003" s="68"/>
      <c r="AW1003" s="68"/>
      <c r="AX1003" s="68"/>
      <c r="AY1003" s="914">
        <f>G753+O797</f>
        <v>213</v>
      </c>
      <c r="AZ1003" s="34"/>
      <c r="BB1003" s="34"/>
    </row>
    <row r="1004" spans="1:55" ht="13.25" customHeight="1">
      <c r="A1004" s="14"/>
      <c r="B1004" s="25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3"/>
      <c r="AK1004" s="1734"/>
      <c r="AL1004" s="1734"/>
      <c r="AM1004" s="1734"/>
      <c r="AN1004" s="1734"/>
      <c r="AO1004" s="1734"/>
      <c r="AP1004" s="1734"/>
      <c r="AQ1004" s="1735"/>
      <c r="AR1004" s="68"/>
      <c r="AS1004" s="68"/>
      <c r="AT1004" s="68"/>
      <c r="AU1004" s="68"/>
      <c r="AV1004" s="68"/>
      <c r="AW1004" s="68"/>
      <c r="AX1004" s="68"/>
      <c r="AY1004" s="14"/>
      <c r="AZ1004" s="34"/>
      <c r="BB1004" s="34"/>
    </row>
    <row r="1005" spans="1:55" ht="13.25" customHeight="1">
      <c r="A1005" s="14"/>
      <c r="B1005" s="257"/>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3"/>
      <c r="AK1005" s="1734"/>
      <c r="AL1005" s="1734"/>
      <c r="AM1005" s="1734"/>
      <c r="AN1005" s="1734"/>
      <c r="AO1005" s="1734"/>
      <c r="AP1005" s="1734"/>
      <c r="AQ1005" s="1735"/>
      <c r="AR1005" s="68"/>
      <c r="AS1005" s="68"/>
      <c r="AT1005" s="68"/>
      <c r="AU1005" s="68"/>
      <c r="AV1005" s="68"/>
      <c r="AW1005" s="68"/>
      <c r="AX1005" s="68"/>
      <c r="AY1005" s="913">
        <f>ROUNDDOWN(X1048/I1048,2)</f>
        <v>0.16</v>
      </c>
      <c r="AZ1005" s="34"/>
      <c r="BB1005" s="34"/>
    </row>
    <row r="1006" spans="1:55" ht="13.25"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6"/>
      <c r="AK1006" s="1737"/>
      <c r="AL1006" s="1737"/>
      <c r="AM1006" s="1737"/>
      <c r="AN1006" s="1737"/>
      <c r="AO1006" s="1737"/>
      <c r="AP1006" s="1737"/>
      <c r="AQ1006" s="1738"/>
      <c r="AR1006" s="68"/>
      <c r="AS1006" s="68"/>
      <c r="AT1006" s="68"/>
      <c r="AU1006" s="68"/>
      <c r="AV1006" s="68"/>
      <c r="AW1006" s="68"/>
      <c r="AX1006" s="68"/>
      <c r="AY1006" s="913">
        <f>ROUNDDOWN(X1052/I1052,2)</f>
        <v>0.1</v>
      </c>
      <c r="AZ1006" s="34"/>
      <c r="BB1006" s="34"/>
    </row>
    <row r="1007" spans="1:55" ht="13.25" customHeight="1">
      <c r="A1007" s="14"/>
      <c r="B1007" s="255"/>
      <c r="C1007" s="80" t="s">
        <v>672</v>
      </c>
      <c r="D1007" s="1770" t="s">
        <v>1683</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6" t="s">
        <v>669</v>
      </c>
      <c r="AH1007" s="1757"/>
      <c r="AI1007" s="87"/>
      <c r="AJ1007" s="1730">
        <f>ROUND(IF(AG1007="yes",AJ992*0.1,0),0)</f>
        <v>0</v>
      </c>
      <c r="AK1007" s="1731"/>
      <c r="AL1007" s="1731"/>
      <c r="AM1007" s="1731"/>
      <c r="AN1007" s="1731"/>
      <c r="AO1007" s="1731"/>
      <c r="AP1007" s="1731"/>
      <c r="AQ1007" s="1732"/>
      <c r="AR1007" s="68"/>
      <c r="AS1007" s="68"/>
      <c r="AT1007" s="68"/>
      <c r="AU1007" s="68"/>
      <c r="AV1007" s="68"/>
      <c r="AW1007" s="68"/>
      <c r="AX1007" s="68"/>
      <c r="BB1007" s="34"/>
    </row>
    <row r="1008" spans="1:55" ht="13.25" customHeight="1">
      <c r="A1008" s="14"/>
      <c r="B1008" s="73"/>
      <c r="C1008" s="74"/>
      <c r="D1008" s="1701" t="s">
        <v>1285</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3"/>
      <c r="AK1008" s="1734"/>
      <c r="AL1008" s="1734"/>
      <c r="AM1008" s="1734"/>
      <c r="AN1008" s="1734"/>
      <c r="AO1008" s="1734"/>
      <c r="AP1008" s="1734"/>
      <c r="AQ1008" s="1735"/>
      <c r="AR1008" s="68"/>
      <c r="AS1008" s="68"/>
      <c r="AT1008" s="68"/>
      <c r="AU1008" s="68"/>
      <c r="AV1008" s="68"/>
      <c r="AW1008" s="68"/>
      <c r="AX1008" s="68"/>
    </row>
    <row r="1009" spans="1:52" ht="13.25"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3"/>
      <c r="AK1009" s="1734"/>
      <c r="AL1009" s="1734"/>
      <c r="AM1009" s="1734"/>
      <c r="AN1009" s="1734"/>
      <c r="AO1009" s="1734"/>
      <c r="AP1009" s="1734"/>
      <c r="AQ1009" s="1735"/>
      <c r="AR1009" s="68"/>
      <c r="AS1009" s="68"/>
      <c r="AT1009" s="68"/>
      <c r="AU1009" s="68"/>
      <c r="AV1009" s="68"/>
      <c r="AW1009" s="68"/>
      <c r="AX1009" s="68"/>
    </row>
    <row r="1010" spans="1:52" ht="13.25" customHeight="1">
      <c r="A1010" s="14"/>
      <c r="B1010" s="85"/>
      <c r="C1010" s="76"/>
      <c r="D1010" s="1748"/>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7"/>
      <c r="AG1010" s="7"/>
      <c r="AH1010" s="7"/>
      <c r="AI1010" s="78"/>
      <c r="AJ1010" s="1736"/>
      <c r="AK1010" s="1737"/>
      <c r="AL1010" s="1737"/>
      <c r="AM1010" s="1737"/>
      <c r="AN1010" s="1737"/>
      <c r="AO1010" s="1737"/>
      <c r="AP1010" s="1737"/>
      <c r="AQ1010" s="1738"/>
      <c r="AR1010" s="68"/>
      <c r="AS1010" s="68"/>
      <c r="AT1010" s="68"/>
      <c r="AU1010" s="68"/>
      <c r="AV1010" s="68"/>
      <c r="AW1010" s="68"/>
      <c r="AX1010" s="68"/>
    </row>
    <row r="1011" spans="1:52" ht="13.25" customHeight="1">
      <c r="A1011" s="14"/>
      <c r="B1011" s="79"/>
      <c r="C1011" s="80" t="s">
        <v>212</v>
      </c>
      <c r="D1011" s="1770" t="s">
        <v>1287</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6" t="s">
        <v>669</v>
      </c>
      <c r="AH1011" s="1757"/>
      <c r="AI1011" s="87"/>
      <c r="AJ1011" s="1730">
        <f>ROUND(IF(AG1011="yes",AJ992*0.02,0),0)</f>
        <v>0</v>
      </c>
      <c r="AK1011" s="1731"/>
      <c r="AL1011" s="1731"/>
      <c r="AM1011" s="1731"/>
      <c r="AN1011" s="1731"/>
      <c r="AO1011" s="1731"/>
      <c r="AP1011" s="1731"/>
      <c r="AQ1011" s="1732"/>
      <c r="AR1011" s="68"/>
      <c r="AS1011" s="68"/>
      <c r="AT1011" s="68"/>
      <c r="AU1011" s="68"/>
      <c r="AV1011" s="68"/>
      <c r="AW1011" s="68"/>
      <c r="AX1011" s="68"/>
    </row>
    <row r="1012" spans="1:52" ht="14.25" customHeight="1">
      <c r="A1012" s="14"/>
      <c r="B1012" s="73"/>
      <c r="C1012" s="74"/>
      <c r="D1012" s="1748" t="s">
        <v>1288</v>
      </c>
      <c r="E1012" s="1749"/>
      <c r="F1012" s="1749"/>
      <c r="G1012" s="1749"/>
      <c r="H1012" s="1749"/>
      <c r="I1012" s="1749"/>
      <c r="J1012" s="1749"/>
      <c r="K1012" s="1749"/>
      <c r="L1012" s="1749"/>
      <c r="M1012" s="1749"/>
      <c r="N1012" s="1749"/>
      <c r="O1012" s="1749"/>
      <c r="P1012" s="1749"/>
      <c r="Q1012" s="1749"/>
      <c r="R1012" s="1749"/>
      <c r="S1012" s="1749"/>
      <c r="T1012" s="1749"/>
      <c r="U1012" s="1749"/>
      <c r="V1012" s="1749"/>
      <c r="W1012" s="1749"/>
      <c r="X1012" s="1749"/>
      <c r="Y1012" s="1749"/>
      <c r="Z1012" s="1749"/>
      <c r="AA1012" s="1749"/>
      <c r="AB1012" s="1749"/>
      <c r="AC1012" s="1749"/>
      <c r="AD1012" s="1749"/>
      <c r="AE1012" s="1750"/>
      <c r="AF1012" s="77"/>
      <c r="AG1012" s="7"/>
      <c r="AH1012" s="7"/>
      <c r="AI1012" s="78"/>
      <c r="AJ1012" s="1736"/>
      <c r="AK1012" s="1737"/>
      <c r="AL1012" s="1737"/>
      <c r="AM1012" s="1737"/>
      <c r="AN1012" s="1737"/>
      <c r="AO1012" s="1737"/>
      <c r="AP1012" s="1737"/>
      <c r="AQ1012" s="1738"/>
      <c r="AR1012" s="68"/>
      <c r="AS1012" s="68"/>
      <c r="AT1012" s="68"/>
      <c r="AU1012" s="68"/>
      <c r="AV1012" s="68"/>
      <c r="AW1012" s="68"/>
      <c r="AX1012" s="3" t="s">
        <v>1841</v>
      </c>
      <c r="AZ1012" s="3" t="s">
        <v>2606</v>
      </c>
    </row>
    <row r="1013" spans="1:52" ht="13.25" customHeight="1">
      <c r="A1013" s="14"/>
      <c r="B1013" s="79"/>
      <c r="C1013" s="80" t="s">
        <v>215</v>
      </c>
      <c r="D1013" s="1770" t="s">
        <v>1289</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6" t="s">
        <v>669</v>
      </c>
      <c r="AH1013" s="1757"/>
      <c r="AI1013" s="79"/>
      <c r="AJ1013" s="1730">
        <f>ROUND(IF(AG1013="yes",AJ992*0.02,0),0)</f>
        <v>0</v>
      </c>
      <c r="AK1013" s="1731"/>
      <c r="AL1013" s="1731"/>
      <c r="AM1013" s="1731"/>
      <c r="AN1013" s="1731"/>
      <c r="AO1013" s="1731"/>
      <c r="AP1013" s="1731"/>
      <c r="AQ1013" s="1732"/>
      <c r="AR1013" s="68"/>
      <c r="AS1013" s="68"/>
      <c r="AT1013" s="68"/>
      <c r="AU1013" s="68"/>
      <c r="AV1013" s="68"/>
      <c r="AW1013" s="68"/>
      <c r="AX1013" s="3">
        <v>1</v>
      </c>
      <c r="AY1013" s="200">
        <f>IF((_xlfn.XLOOKUP(AX1013,$C$1065:$C$1103,$A$1065:$A$1103,"",0,1))="Yes",AZ1013,0)</f>
        <v>0</v>
      </c>
      <c r="AZ1013" s="1255">
        <v>0.2</v>
      </c>
    </row>
    <row r="1014" spans="1:52" ht="13.25" customHeight="1">
      <c r="A1014" s="14"/>
      <c r="B1014" s="73"/>
      <c r="C1014" s="74"/>
      <c r="D1014" s="1701" t="s">
        <v>1290</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4" t="str">
        <f>IF(AND(AG1013="yes",T212&lt;&gt;1),"The project may not be eligible for this boost","")</f>
        <v/>
      </c>
      <c r="AG1014" s="1855"/>
      <c r="AH1014" s="1855"/>
      <c r="AI1014" s="1856"/>
      <c r="AJ1014" s="1733"/>
      <c r="AK1014" s="1734"/>
      <c r="AL1014" s="1734"/>
      <c r="AM1014" s="1734"/>
      <c r="AN1014" s="1734"/>
      <c r="AO1014" s="1734"/>
      <c r="AP1014" s="1734"/>
      <c r="AQ1014" s="1735"/>
      <c r="AR1014" s="68"/>
      <c r="AS1014" s="68"/>
      <c r="AT1014" s="68"/>
      <c r="AU1014" s="68"/>
      <c r="AV1014" s="68"/>
      <c r="AW1014" s="68"/>
      <c r="AX1014" s="3">
        <v>2</v>
      </c>
      <c r="AY1014" s="200">
        <f t="shared" ref="AY1014:AY1023" si="53">IF((_xlfn.XLOOKUP(AX1014,$C$1065:$C$1103,$A$1065:$A$1103,"",0,1))="Yes",AZ1014,0)</f>
        <v>0</v>
      </c>
      <c r="AZ1014" s="1255">
        <v>0.15</v>
      </c>
    </row>
    <row r="1015" spans="1:52" ht="13.25"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1857"/>
      <c r="AG1015" s="1858"/>
      <c r="AH1015" s="1858"/>
      <c r="AI1015" s="1859"/>
      <c r="AJ1015" s="1736"/>
      <c r="AK1015" s="1737"/>
      <c r="AL1015" s="1737"/>
      <c r="AM1015" s="1737"/>
      <c r="AN1015" s="1737"/>
      <c r="AO1015" s="1737"/>
      <c r="AP1015" s="1737"/>
      <c r="AQ1015" s="1738"/>
      <c r="AR1015" s="68"/>
      <c r="AS1015" s="68"/>
      <c r="AT1015" s="68"/>
      <c r="AU1015" s="68"/>
      <c r="AV1015" s="68"/>
      <c r="AW1015" s="68"/>
      <c r="AX1015" s="3">
        <v>3</v>
      </c>
      <c r="AY1015" s="200">
        <f t="shared" si="53"/>
        <v>0</v>
      </c>
      <c r="AZ1015" s="1255">
        <v>0.05</v>
      </c>
    </row>
    <row r="1016" spans="1:52" ht="13.25" customHeight="1">
      <c r="A1016" s="14"/>
      <c r="B1016" s="79"/>
      <c r="C1016" s="80" t="s">
        <v>218</v>
      </c>
      <c r="D1016" s="1739" t="s">
        <v>2235</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79"/>
      <c r="AG1016" s="1756" t="s">
        <v>669</v>
      </c>
      <c r="AH1016" s="1757"/>
      <c r="AI1016" s="87"/>
      <c r="AJ1016" s="1730">
        <f>IF(AG1016="yes",AJ992*AY1024,0)</f>
        <v>0</v>
      </c>
      <c r="AK1016" s="1731"/>
      <c r="AL1016" s="1731"/>
      <c r="AM1016" s="1731"/>
      <c r="AN1016" s="1731"/>
      <c r="AO1016" s="1731"/>
      <c r="AP1016" s="1731"/>
      <c r="AQ1016" s="1732"/>
      <c r="AR1016" s="68"/>
      <c r="AS1016" s="68"/>
      <c r="AT1016" s="68"/>
      <c r="AU1016" s="68"/>
      <c r="AV1016" s="68"/>
      <c r="AW1016" s="68"/>
      <c r="AX1016" s="3">
        <v>4</v>
      </c>
      <c r="AY1016" s="200">
        <f t="shared" si="53"/>
        <v>0</v>
      </c>
      <c r="AZ1016" s="1255">
        <v>0.02</v>
      </c>
    </row>
    <row r="1017" spans="1:52" ht="13.25" customHeight="1">
      <c r="A1017" s="14"/>
      <c r="B1017" s="73"/>
      <c r="C1017" s="74"/>
      <c r="D1017" s="1701" t="s">
        <v>1291</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8" t="str">
        <f>IF(AND(AG1016="Yes",AY1024=0),AY1027,"")</f>
        <v/>
      </c>
      <c r="AG1017" s="1849"/>
      <c r="AH1017" s="1849"/>
      <c r="AI1017" s="1850"/>
      <c r="AJ1017" s="1733"/>
      <c r="AK1017" s="1734"/>
      <c r="AL1017" s="1734"/>
      <c r="AM1017" s="1734"/>
      <c r="AN1017" s="1734"/>
      <c r="AO1017" s="1734"/>
      <c r="AP1017" s="1734"/>
      <c r="AQ1017" s="1735"/>
      <c r="AR1017" s="68"/>
      <c r="AS1017" s="68"/>
      <c r="AT1017" s="68"/>
      <c r="AU1017" s="68"/>
      <c r="AV1017" s="68"/>
      <c r="AW1017" s="68"/>
      <c r="AX1017" s="3">
        <v>5</v>
      </c>
      <c r="AY1017" s="200">
        <f t="shared" si="53"/>
        <v>0</v>
      </c>
      <c r="AZ1017" s="1255">
        <v>0.04</v>
      </c>
    </row>
    <row r="1018" spans="1:52" ht="13.25"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8"/>
      <c r="AG1018" s="1849"/>
      <c r="AH1018" s="1849"/>
      <c r="AI1018" s="1850"/>
      <c r="AJ1018" s="1733"/>
      <c r="AK1018" s="1734"/>
      <c r="AL1018" s="1734"/>
      <c r="AM1018" s="1734"/>
      <c r="AN1018" s="1734"/>
      <c r="AO1018" s="1734"/>
      <c r="AP1018" s="1734"/>
      <c r="AQ1018" s="1735"/>
      <c r="AR1018" s="68"/>
      <c r="AS1018" s="68"/>
      <c r="AT1018" s="68"/>
      <c r="AU1018" s="68"/>
      <c r="AV1018" s="68"/>
      <c r="AW1018" s="68"/>
      <c r="AX1018" s="3">
        <v>6</v>
      </c>
      <c r="AY1018" s="200">
        <f t="shared" si="53"/>
        <v>0</v>
      </c>
      <c r="AZ1018" s="1255">
        <v>0.04</v>
      </c>
    </row>
    <row r="1019" spans="1:52" ht="13.25" customHeight="1">
      <c r="A1019" s="14"/>
      <c r="B1019" s="81"/>
      <c r="C1019" s="82"/>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1851"/>
      <c r="AG1019" s="1852"/>
      <c r="AH1019" s="1852"/>
      <c r="AI1019" s="1853"/>
      <c r="AJ1019" s="1736"/>
      <c r="AK1019" s="1737"/>
      <c r="AL1019" s="1737"/>
      <c r="AM1019" s="1737"/>
      <c r="AN1019" s="1737"/>
      <c r="AO1019" s="1737"/>
      <c r="AP1019" s="1737"/>
      <c r="AQ1019" s="1738"/>
      <c r="AR1019" s="68"/>
      <c r="AS1019" s="68"/>
      <c r="AT1019" s="68"/>
      <c r="AU1019" s="68"/>
      <c r="AV1019" s="68"/>
      <c r="AW1019" s="68"/>
      <c r="AX1019" s="3">
        <v>7</v>
      </c>
      <c r="AY1019" s="200">
        <f t="shared" si="53"/>
        <v>0</v>
      </c>
      <c r="AZ1019" s="1255">
        <v>0.01</v>
      </c>
    </row>
    <row r="1020" spans="1:52" ht="13.25" customHeight="1">
      <c r="A1020" s="14"/>
      <c r="B1020" s="79"/>
      <c r="C1020" s="80" t="s">
        <v>223</v>
      </c>
      <c r="D1020" s="1818" t="s">
        <v>1292</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6" t="s">
        <v>669</v>
      </c>
      <c r="AH1020" s="1757"/>
      <c r="AI1020" s="87"/>
      <c r="AJ1020" s="1730">
        <f>ROUND(IF(AND(AG1020="Yes",J1024&lt;&gt;"N/A",AF1023&lt;&gt;""),MIN(AF1023,(0.15*AJ992)),0),0)</f>
        <v>0</v>
      </c>
      <c r="AK1020" s="1731"/>
      <c r="AL1020" s="1731"/>
      <c r="AM1020" s="1731"/>
      <c r="AN1020" s="1731"/>
      <c r="AO1020" s="1731"/>
      <c r="AP1020" s="1731"/>
      <c r="AQ1020" s="1732"/>
      <c r="AR1020" s="68"/>
      <c r="AS1020" s="68"/>
      <c r="AT1020" s="68"/>
      <c r="AU1020" s="68"/>
      <c r="AV1020" s="68"/>
      <c r="AW1020" s="68"/>
      <c r="AX1020" s="3">
        <v>8</v>
      </c>
      <c r="AY1020" s="200">
        <f t="shared" si="53"/>
        <v>0</v>
      </c>
      <c r="AZ1020" s="1255">
        <v>0.01</v>
      </c>
    </row>
    <row r="1021" spans="1:52" ht="13.25"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5" t="str">
        <f>IF(AG1020="yes","Please Select Type and Enter Amount:","")</f>
        <v/>
      </c>
      <c r="AG1021" s="1836"/>
      <c r="AH1021" s="1836"/>
      <c r="AI1021" s="1837"/>
      <c r="AJ1021" s="1733"/>
      <c r="AK1021" s="1734"/>
      <c r="AL1021" s="1734"/>
      <c r="AM1021" s="1734"/>
      <c r="AN1021" s="1734"/>
      <c r="AO1021" s="1734"/>
      <c r="AP1021" s="1734"/>
      <c r="AQ1021" s="1735"/>
      <c r="AR1021" s="68"/>
      <c r="AS1021" s="68"/>
      <c r="AT1021" s="68"/>
      <c r="AU1021" s="68"/>
      <c r="AV1021" s="68"/>
      <c r="AW1021" s="68"/>
      <c r="AX1021" s="3">
        <v>9</v>
      </c>
      <c r="AY1021" s="200">
        <f t="shared" si="53"/>
        <v>0</v>
      </c>
      <c r="AZ1021" s="1255">
        <v>0.01</v>
      </c>
    </row>
    <row r="1022" spans="1:52" ht="13.25" customHeight="1">
      <c r="A1022" s="14"/>
      <c r="B1022" s="81"/>
      <c r="C1022" s="84"/>
      <c r="D1022" s="1701" t="s">
        <v>1293</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5"/>
      <c r="AG1022" s="1836"/>
      <c r="AH1022" s="1836"/>
      <c r="AI1022" s="1837"/>
      <c r="AJ1022" s="1733"/>
      <c r="AK1022" s="1734"/>
      <c r="AL1022" s="1734"/>
      <c r="AM1022" s="1734"/>
      <c r="AN1022" s="1734"/>
      <c r="AO1022" s="1734"/>
      <c r="AP1022" s="1734"/>
      <c r="AQ1022" s="1735"/>
      <c r="AR1022" s="68"/>
      <c r="AS1022" s="68"/>
      <c r="AT1022" s="68"/>
      <c r="AU1022" s="68"/>
      <c r="AV1022" s="68"/>
      <c r="AW1022" s="68"/>
      <c r="AX1022" s="3">
        <v>10</v>
      </c>
      <c r="AY1022" s="200">
        <f t="shared" si="53"/>
        <v>0</v>
      </c>
      <c r="AZ1022" s="1255">
        <v>0.02</v>
      </c>
    </row>
    <row r="1023" spans="1:52" ht="13.25"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9"/>
      <c r="AG1023" s="1779"/>
      <c r="AH1023" s="1779"/>
      <c r="AI1023" s="1779"/>
      <c r="AJ1023" s="1733"/>
      <c r="AK1023" s="1734"/>
      <c r="AL1023" s="1734"/>
      <c r="AM1023" s="1734"/>
      <c r="AN1023" s="1734"/>
      <c r="AO1023" s="1734"/>
      <c r="AP1023" s="1734"/>
      <c r="AQ1023" s="1735"/>
      <c r="AR1023" s="68"/>
      <c r="AS1023" s="68"/>
      <c r="AT1023" s="68"/>
      <c r="AU1023" s="68"/>
      <c r="AV1023" s="68"/>
      <c r="AW1023" s="68"/>
      <c r="AX1023" s="3">
        <v>11</v>
      </c>
      <c r="AY1023" s="200">
        <f t="shared" si="53"/>
        <v>0</v>
      </c>
      <c r="AZ1023" s="1255">
        <v>0.02</v>
      </c>
    </row>
    <row r="1024" spans="1:52" ht="13.25" customHeight="1">
      <c r="A1024" s="14"/>
      <c r="B1024" s="81"/>
      <c r="C1024" s="84"/>
      <c r="D1024" s="526" t="s">
        <v>359</v>
      </c>
      <c r="E1024" s="90"/>
      <c r="F1024" s="90"/>
      <c r="G1024" s="104"/>
      <c r="H1024" s="104"/>
      <c r="I1024" s="49"/>
      <c r="J1024" s="1827" t="s">
        <v>591</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79"/>
      <c r="AG1024" s="1779"/>
      <c r="AH1024" s="1779"/>
      <c r="AI1024" s="1779"/>
      <c r="AJ1024" s="1736"/>
      <c r="AK1024" s="1737"/>
      <c r="AL1024" s="1737"/>
      <c r="AM1024" s="1737"/>
      <c r="AN1024" s="1737"/>
      <c r="AO1024" s="1737"/>
      <c r="AP1024" s="1737"/>
      <c r="AQ1024" s="1738"/>
      <c r="AR1024" s="68"/>
      <c r="AS1024" s="68"/>
      <c r="AT1024" s="68"/>
      <c r="AU1024" s="68"/>
      <c r="AV1024" s="68"/>
      <c r="AW1024" s="68"/>
      <c r="AX1024" s="1032" t="s">
        <v>2605</v>
      </c>
      <c r="AY1024" s="201">
        <f>IF(SUM(AY1013:AY1023)&lt;=0.2,SUM(AY1013:AY1023),0.2)</f>
        <v>0</v>
      </c>
    </row>
    <row r="1025" spans="1:57" ht="13.25" customHeight="1">
      <c r="A1025" s="14"/>
      <c r="B1025" s="79"/>
      <c r="C1025" s="80" t="s">
        <v>229</v>
      </c>
      <c r="D1025" s="1770" t="s">
        <v>1294</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6" t="s">
        <v>669</v>
      </c>
      <c r="AH1025" s="1757"/>
      <c r="AI1025" s="87"/>
      <c r="AJ1025" s="1730">
        <f>ROUND(IF(AG1025="Yes",AF1027,0),0)</f>
        <v>0</v>
      </c>
      <c r="AK1025" s="1731"/>
      <c r="AL1025" s="1731"/>
      <c r="AM1025" s="1731"/>
      <c r="AN1025" s="1731"/>
      <c r="AO1025" s="1731"/>
      <c r="AP1025" s="1731"/>
      <c r="AQ1025" s="1732"/>
      <c r="AR1025" s="68"/>
      <c r="AS1025" s="68"/>
      <c r="AT1025" s="68"/>
      <c r="AU1025" s="68"/>
      <c r="AV1025" s="68"/>
      <c r="AW1025" s="68"/>
      <c r="AX1025" s="68"/>
      <c r="AY1025" s="68"/>
    </row>
    <row r="1026" spans="1:57" ht="13.25" customHeight="1">
      <c r="A1026" s="14"/>
      <c r="B1026" s="73"/>
      <c r="C1026" s="74"/>
      <c r="D1026" s="1701" t="s">
        <v>1690</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4" t="str">
        <f>IF(AG1025="yes","Enter Amount:","")</f>
        <v/>
      </c>
      <c r="AG1026" s="1825"/>
      <c r="AH1026" s="1825"/>
      <c r="AI1026" s="1826"/>
      <c r="AJ1026" s="1733"/>
      <c r="AK1026" s="1734"/>
      <c r="AL1026" s="1734"/>
      <c r="AM1026" s="1734"/>
      <c r="AN1026" s="1734"/>
      <c r="AO1026" s="1734"/>
      <c r="AP1026" s="1734"/>
      <c r="AQ1026" s="1735"/>
      <c r="AR1026" s="68"/>
      <c r="AS1026" s="68"/>
      <c r="AT1026" s="68"/>
      <c r="AU1026" s="68"/>
      <c r="AV1026" s="68"/>
      <c r="AW1026" s="68"/>
      <c r="AX1026" s="68"/>
      <c r="AY1026" s="68"/>
    </row>
    <row r="1027" spans="1:57" ht="13.25"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9"/>
      <c r="AG1027" s="1779"/>
      <c r="AH1027" s="1779"/>
      <c r="AI1027" s="1779"/>
      <c r="AJ1027" s="1733"/>
      <c r="AK1027" s="1734"/>
      <c r="AL1027" s="1734"/>
      <c r="AM1027" s="1734"/>
      <c r="AN1027" s="1734"/>
      <c r="AO1027" s="1734"/>
      <c r="AP1027" s="1734"/>
      <c r="AQ1027" s="1735"/>
      <c r="AR1027" s="68"/>
      <c r="AS1027" s="68"/>
      <c r="AT1027" s="68"/>
      <c r="AU1027" s="68"/>
      <c r="AV1027" s="68"/>
      <c r="AW1027" s="68"/>
      <c r="AX1027" s="68"/>
      <c r="AY1027" s="14" t="str">
        <f>"Select items beginning on row #"&amp;TEXT(ROW(A1061),"#")&amp;" to claim this boost"</f>
        <v>Select items beginning on row #1061 to claim this boost</v>
      </c>
    </row>
    <row r="1028" spans="1:57" ht="13.25" customHeight="1">
      <c r="A1028" s="14"/>
      <c r="B1028" s="85"/>
      <c r="C1028" s="84"/>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779"/>
      <c r="AG1028" s="1779"/>
      <c r="AH1028" s="1779"/>
      <c r="AI1028" s="1779"/>
      <c r="AJ1028" s="1736"/>
      <c r="AK1028" s="1737"/>
      <c r="AL1028" s="1737"/>
      <c r="AM1028" s="1737"/>
      <c r="AN1028" s="1737"/>
      <c r="AO1028" s="1737"/>
      <c r="AP1028" s="1737"/>
      <c r="AQ1028" s="1738"/>
      <c r="AR1028" s="68"/>
      <c r="AS1028" s="68"/>
      <c r="AT1028" s="68"/>
      <c r="AU1028" s="68"/>
      <c r="AV1028" s="68"/>
      <c r="AW1028" s="68"/>
      <c r="AX1028" s="68"/>
      <c r="AY1028" s="68"/>
    </row>
    <row r="1029" spans="1:57" ht="13.25" customHeight="1">
      <c r="A1029" s="14"/>
      <c r="B1029" s="79"/>
      <c r="C1029" s="80" t="s">
        <v>234</v>
      </c>
      <c r="D1029" s="1739" t="s">
        <v>1295</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9"/>
      <c r="AG1029" s="1756" t="s">
        <v>669</v>
      </c>
      <c r="AH1029" s="1757"/>
      <c r="AI1029" s="87"/>
      <c r="AJ1029" s="1730">
        <f>ROUND(IF(AG1029="yes",(AJ992*0.1),0),0)</f>
        <v>0</v>
      </c>
      <c r="AK1029" s="1731"/>
      <c r="AL1029" s="1731"/>
      <c r="AM1029" s="1731"/>
      <c r="AN1029" s="1731"/>
      <c r="AO1029" s="1731"/>
      <c r="AP1029" s="1731"/>
      <c r="AQ1029" s="1732"/>
      <c r="AR1029" s="68"/>
      <c r="AS1029" s="68"/>
      <c r="AT1029" s="68"/>
      <c r="AU1029" s="68"/>
      <c r="AV1029" s="68"/>
      <c r="AW1029" s="68"/>
      <c r="AX1029" s="68"/>
      <c r="AY1029" s="68"/>
    </row>
    <row r="1030" spans="1:57" ht="13.25" customHeight="1">
      <c r="A1030" s="14"/>
      <c r="B1030" s="73"/>
      <c r="C1030" s="74"/>
      <c r="D1030" s="1701" t="s">
        <v>1296</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3"/>
      <c r="AK1030" s="1734"/>
      <c r="AL1030" s="1734"/>
      <c r="AM1030" s="1734"/>
      <c r="AN1030" s="1734"/>
      <c r="AO1030" s="1734"/>
      <c r="AP1030" s="1734"/>
      <c r="AQ1030" s="1735"/>
      <c r="AR1030" s="68"/>
      <c r="AS1030" s="68"/>
      <c r="AT1030" s="68"/>
      <c r="AU1030" s="68"/>
      <c r="AV1030" s="68"/>
      <c r="AW1030" s="68"/>
      <c r="AX1030" s="68"/>
      <c r="AY1030" s="68"/>
    </row>
    <row r="1031" spans="1:57" ht="13.25" customHeight="1">
      <c r="A1031" s="14"/>
      <c r="B1031" s="77"/>
      <c r="C1031" s="74"/>
      <c r="D1031" s="1748"/>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73"/>
      <c r="AG1031" s="14"/>
      <c r="AH1031" s="14"/>
      <c r="AI1031" s="83"/>
      <c r="AJ1031" s="1736"/>
      <c r="AK1031" s="1737"/>
      <c r="AL1031" s="1737"/>
      <c r="AM1031" s="1737"/>
      <c r="AN1031" s="1737"/>
      <c r="AO1031" s="1737"/>
      <c r="AP1031" s="1737"/>
      <c r="AQ1031" s="1738"/>
      <c r="AR1031" s="68"/>
      <c r="AS1031" s="68"/>
      <c r="AT1031" s="68"/>
      <c r="AU1031" s="68"/>
      <c r="AV1031" s="68"/>
      <c r="AW1031" s="68"/>
      <c r="AX1031" s="68"/>
      <c r="AY1031" s="68"/>
    </row>
    <row r="1032" spans="1:57" ht="13.25" customHeight="1">
      <c r="A1032" s="14"/>
      <c r="B1032" s="73"/>
      <c r="C1032" s="339" t="s">
        <v>687</v>
      </c>
      <c r="D1032" s="1770" t="s">
        <v>1686</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6" t="s">
        <v>669</v>
      </c>
      <c r="AH1032" s="1757"/>
      <c r="AI1032" s="87"/>
      <c r="AJ1032" s="1730">
        <f>ROUND(IF(AG1032="yes",(AJ992*0.15),0),0)</f>
        <v>0</v>
      </c>
      <c r="AK1032" s="1731"/>
      <c r="AL1032" s="1731"/>
      <c r="AM1032" s="1731"/>
      <c r="AN1032" s="1731"/>
      <c r="AO1032" s="1731"/>
      <c r="AP1032" s="1731"/>
      <c r="AQ1032" s="1732"/>
      <c r="AR1032" s="68"/>
      <c r="AS1032" s="68"/>
      <c r="AT1032" s="68"/>
      <c r="AU1032" s="68"/>
      <c r="AV1032" s="68"/>
      <c r="AW1032" s="68"/>
      <c r="AX1032" s="68"/>
      <c r="AY1032" s="68"/>
    </row>
    <row r="1033" spans="1:57" ht="13.25" customHeight="1">
      <c r="A1033" s="14"/>
      <c r="B1033" s="73"/>
      <c r="C1033" s="74"/>
      <c r="D1033" s="1807"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8"/>
      <c r="AF1033" s="915"/>
      <c r="AG1033" s="916"/>
      <c r="AH1033" s="916"/>
      <c r="AI1033" s="917"/>
      <c r="AJ1033" s="1733"/>
      <c r="AK1033" s="1734"/>
      <c r="AL1033" s="1734"/>
      <c r="AM1033" s="1734"/>
      <c r="AN1033" s="1734"/>
      <c r="AO1033" s="1734"/>
      <c r="AP1033" s="1734"/>
      <c r="AQ1033" s="1735"/>
      <c r="AR1033" s="68"/>
      <c r="AS1033" s="68"/>
      <c r="AT1033" s="68"/>
      <c r="AU1033" s="68"/>
      <c r="AV1033" s="68"/>
      <c r="AW1033" s="68"/>
      <c r="AX1033" s="68"/>
      <c r="AY1033" s="68"/>
    </row>
    <row r="1034" spans="1:57" ht="13.25" customHeight="1">
      <c r="A1034" s="14"/>
      <c r="B1034" s="73"/>
      <c r="C1034" s="74"/>
      <c r="D1034" s="180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8"/>
      <c r="AF1034" s="915"/>
      <c r="AG1034" s="916"/>
      <c r="AH1034" s="916"/>
      <c r="AI1034" s="917"/>
      <c r="AJ1034" s="1733"/>
      <c r="AK1034" s="1734"/>
      <c r="AL1034" s="1734"/>
      <c r="AM1034" s="1734"/>
      <c r="AN1034" s="1734"/>
      <c r="AO1034" s="1734"/>
      <c r="AP1034" s="1734"/>
      <c r="AQ1034" s="1735"/>
      <c r="AR1034" s="68"/>
      <c r="AS1034" s="68"/>
      <c r="AT1034" s="68"/>
      <c r="AU1034" s="68"/>
      <c r="AV1034" s="68"/>
      <c r="AW1034" s="68"/>
      <c r="AX1034" s="68"/>
      <c r="AY1034" s="68"/>
    </row>
    <row r="1035" spans="1:57" ht="13.25"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6"/>
      <c r="AK1035" s="1737"/>
      <c r="AL1035" s="1737"/>
      <c r="AM1035" s="1737"/>
      <c r="AN1035" s="1737"/>
      <c r="AO1035" s="1737"/>
      <c r="AP1035" s="1737"/>
      <c r="AQ1035" s="1738"/>
      <c r="AR1035" s="68"/>
      <c r="AS1035" s="68"/>
      <c r="AT1035" s="68"/>
      <c r="AU1035" s="68"/>
      <c r="AV1035" s="68"/>
      <c r="AW1035" s="68"/>
      <c r="AX1035" s="68"/>
      <c r="AY1035" s="68"/>
    </row>
    <row r="1036" spans="1:57" ht="13.25" customHeight="1">
      <c r="A1036" s="14"/>
      <c r="B1036" s="73"/>
      <c r="C1036" s="339" t="s">
        <v>687</v>
      </c>
      <c r="D1036" s="1739" t="s">
        <v>1688</v>
      </c>
      <c r="E1036" s="1740"/>
      <c r="F1036" s="1740"/>
      <c r="G1036" s="1740"/>
      <c r="H1036" s="1740"/>
      <c r="I1036" s="1740"/>
      <c r="J1036" s="1740"/>
      <c r="K1036" s="1740"/>
      <c r="L1036" s="1740"/>
      <c r="M1036" s="1740"/>
      <c r="N1036" s="1740"/>
      <c r="O1036" s="1740"/>
      <c r="P1036" s="1740"/>
      <c r="Q1036" s="1740"/>
      <c r="R1036" s="1740"/>
      <c r="S1036" s="1740"/>
      <c r="T1036" s="1740"/>
      <c r="U1036" s="1740"/>
      <c r="V1036" s="1740"/>
      <c r="W1036" s="1740"/>
      <c r="X1036" s="1740"/>
      <c r="Y1036" s="1740"/>
      <c r="Z1036" s="1740"/>
      <c r="AA1036" s="1740"/>
      <c r="AB1036" s="1740"/>
      <c r="AC1036" s="1740"/>
      <c r="AD1036" s="1740"/>
      <c r="AE1036" s="1741"/>
      <c r="AF1036" s="73"/>
      <c r="AG1036" s="1758" t="s">
        <v>669</v>
      </c>
      <c r="AH1036" s="1759"/>
      <c r="AI1036" s="83"/>
      <c r="AJ1036" s="1730">
        <f>ROUND(IF(AND(AG1036="yes",AJ1032=0),(AJ992*0.1),0),0)</f>
        <v>0</v>
      </c>
      <c r="AK1036" s="1731"/>
      <c r="AL1036" s="1731"/>
      <c r="AM1036" s="1731"/>
      <c r="AN1036" s="1731"/>
      <c r="AO1036" s="1731"/>
      <c r="AP1036" s="1731"/>
      <c r="AQ1036" s="1732"/>
      <c r="AR1036" s="68"/>
      <c r="AS1036" s="68"/>
      <c r="AT1036" s="68"/>
      <c r="AU1036" s="68"/>
      <c r="AV1036" s="68"/>
      <c r="AW1036" s="68"/>
      <c r="AX1036" s="68"/>
      <c r="AY1036" s="68"/>
    </row>
    <row r="1037" spans="1:57" ht="13.25" customHeight="1">
      <c r="A1037" s="14"/>
      <c r="B1037" s="73"/>
      <c r="C1037" s="74"/>
      <c r="D1037" s="1807"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8"/>
      <c r="AF1037" s="73"/>
      <c r="AG1037" s="14"/>
      <c r="AH1037" s="14"/>
      <c r="AI1037" s="83"/>
      <c r="AJ1037" s="1733"/>
      <c r="AK1037" s="1734"/>
      <c r="AL1037" s="1734"/>
      <c r="AM1037" s="1734"/>
      <c r="AN1037" s="1734"/>
      <c r="AO1037" s="1734"/>
      <c r="AP1037" s="1734"/>
      <c r="AQ1037" s="1735"/>
      <c r="AR1037" s="68"/>
      <c r="AS1037" s="68"/>
      <c r="AT1037" s="68"/>
      <c r="AU1037" s="68"/>
      <c r="AV1037" s="68"/>
      <c r="AW1037" s="68"/>
      <c r="AX1037" s="68"/>
      <c r="AY1037" s="68"/>
    </row>
    <row r="1038" spans="1:57" ht="13.25" customHeight="1">
      <c r="A1038" s="14"/>
      <c r="B1038" s="73"/>
      <c r="C1038" s="74"/>
      <c r="D1038" s="180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8"/>
      <c r="AF1038" s="73"/>
      <c r="AG1038" s="14"/>
      <c r="AH1038" s="14"/>
      <c r="AI1038" s="83"/>
      <c r="AJ1038" s="1733"/>
      <c r="AK1038" s="1734"/>
      <c r="AL1038" s="1734"/>
      <c r="AM1038" s="1734"/>
      <c r="AN1038" s="1734"/>
      <c r="AO1038" s="1734"/>
      <c r="AP1038" s="1734"/>
      <c r="AQ1038" s="1735"/>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25" customHeight="1">
      <c r="A1039" s="14"/>
      <c r="B1039" s="73"/>
      <c r="C1039" s="74"/>
      <c r="D1039" s="180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8"/>
      <c r="AF1039" s="73"/>
      <c r="AG1039" s="14"/>
      <c r="AH1039" s="14"/>
      <c r="AI1039" s="83"/>
      <c r="AJ1039" s="1733"/>
      <c r="AK1039" s="1734"/>
      <c r="AL1039" s="1734"/>
      <c r="AM1039" s="1734"/>
      <c r="AN1039" s="1734"/>
      <c r="AO1039" s="1734"/>
      <c r="AP1039" s="1734"/>
      <c r="AQ1039" s="1735"/>
      <c r="AR1039" s="68"/>
      <c r="AS1039" s="68"/>
      <c r="AT1039" s="68"/>
      <c r="AU1039" s="68"/>
      <c r="AV1039" s="68"/>
      <c r="AW1039" s="68"/>
      <c r="AX1039" s="68"/>
      <c r="AY1039" s="68"/>
      <c r="BA1039">
        <f>IFERROR((($CI$753+$CM$753)/$AG$440),0)</f>
        <v>0.27699530516431925</v>
      </c>
      <c r="BB1039" s="3" t="s">
        <v>2492</v>
      </c>
    </row>
    <row r="1040" spans="1:57" ht="13.25"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3"/>
      <c r="AK1040" s="1734"/>
      <c r="AL1040" s="1734"/>
      <c r="AM1040" s="1734"/>
      <c r="AN1040" s="1734"/>
      <c r="AO1040" s="1734"/>
      <c r="AP1040" s="1734"/>
      <c r="AQ1040" s="1735"/>
      <c r="AR1040" s="68"/>
      <c r="AS1040" s="68"/>
      <c r="AT1040" s="68"/>
      <c r="AU1040" s="68"/>
      <c r="AV1040" s="68"/>
      <c r="AW1040" s="68"/>
      <c r="AX1040" s="68"/>
      <c r="AY1040" s="68"/>
      <c r="BA1040" t="b">
        <f>'Points System'!AJ164="Yes"</f>
        <v>0</v>
      </c>
      <c r="BB1040" s="3" t="s">
        <v>2489</v>
      </c>
    </row>
    <row r="1041" spans="1:56" ht="13.25" customHeight="1">
      <c r="A1041" s="14"/>
      <c r="B1041" s="79"/>
      <c r="C1041" s="131" t="s">
        <v>1010</v>
      </c>
      <c r="D1041" s="1770" t="s">
        <v>1297</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6" t="s">
        <v>669</v>
      </c>
      <c r="AH1041" s="1757"/>
      <c r="AI1041" s="87"/>
      <c r="AJ1041" s="1730">
        <f>ROUND(IF(AG1041="yes",(AJ992*0.1),0),0)</f>
        <v>0</v>
      </c>
      <c r="AK1041" s="1731"/>
      <c r="AL1041" s="1731"/>
      <c r="AM1041" s="1731"/>
      <c r="AN1041" s="1731"/>
      <c r="AO1041" s="1731"/>
      <c r="AP1041" s="1731"/>
      <c r="AQ1041" s="1732"/>
      <c r="AR1041" s="68"/>
      <c r="AS1041" s="68"/>
      <c r="AT1041" s="68"/>
      <c r="AU1041" s="68"/>
      <c r="AV1041" s="68"/>
      <c r="AW1041" s="68"/>
      <c r="AX1041" s="68"/>
      <c r="AY1041" s="68"/>
      <c r="BA1041">
        <f>Q212</f>
        <v>0</v>
      </c>
      <c r="BB1041" s="3" t="s">
        <v>2490</v>
      </c>
    </row>
    <row r="1042" spans="1:56" ht="13.25" customHeight="1">
      <c r="A1042" s="14"/>
      <c r="B1042" s="73"/>
      <c r="C1042" s="74"/>
      <c r="D1042" s="1701" t="s">
        <v>2144</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3"/>
      <c r="AK1042" s="1734"/>
      <c r="AL1042" s="1734"/>
      <c r="AM1042" s="1734"/>
      <c r="AN1042" s="1734"/>
      <c r="AO1042" s="1734"/>
      <c r="AP1042" s="1734"/>
      <c r="AQ1042" s="1735"/>
      <c r="AR1042" s="68"/>
      <c r="AS1042" s="68"/>
      <c r="AT1042" s="68"/>
      <c r="AU1042" s="68"/>
      <c r="AV1042" s="68"/>
      <c r="AW1042" s="68"/>
      <c r="AX1042" s="68"/>
      <c r="AY1042" s="68"/>
      <c r="BA1042" s="1184">
        <f>T212</f>
        <v>0</v>
      </c>
      <c r="BB1042" s="3" t="s">
        <v>2491</v>
      </c>
    </row>
    <row r="1043" spans="1:56" ht="13.25"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3"/>
      <c r="AK1043" s="1734"/>
      <c r="AL1043" s="1734"/>
      <c r="AM1043" s="1734"/>
      <c r="AN1043" s="1734"/>
      <c r="AO1043" s="1734"/>
      <c r="AP1043" s="1734"/>
      <c r="AQ1043" s="1735"/>
      <c r="AR1043" s="68"/>
      <c r="AS1043" s="68"/>
      <c r="AT1043" s="68"/>
      <c r="AU1043" s="68"/>
      <c r="AV1043" s="68"/>
      <c r="AW1043" s="68"/>
      <c r="AX1043" s="68"/>
      <c r="AY1043" s="68"/>
    </row>
    <row r="1044" spans="1:56" ht="13.25" customHeight="1">
      <c r="A1044" s="14"/>
      <c r="B1044" s="73"/>
      <c r="C1044" s="74"/>
      <c r="D1044" s="1748"/>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3"/>
      <c r="AG1044" s="14"/>
      <c r="AH1044" s="14"/>
      <c r="AI1044" s="83"/>
      <c r="AJ1044" s="1736"/>
      <c r="AK1044" s="1737"/>
      <c r="AL1044" s="1737"/>
      <c r="AM1044" s="1737"/>
      <c r="AN1044" s="1737"/>
      <c r="AO1044" s="1737"/>
      <c r="AP1044" s="1737"/>
      <c r="AQ1044" s="1738"/>
      <c r="AR1044" s="68"/>
      <c r="AS1044" s="68"/>
      <c r="AT1044" s="68"/>
      <c r="AU1044" s="68"/>
      <c r="AV1044" s="68"/>
      <c r="AW1044" s="68"/>
      <c r="AX1044" s="68"/>
      <c r="AY1044" s="68"/>
    </row>
    <row r="1045" spans="1:56" ht="13.25" customHeight="1">
      <c r="A1045" s="14"/>
      <c r="B1045" s="79"/>
      <c r="C1045" s="131" t="s">
        <v>1684</v>
      </c>
      <c r="D1045" s="1739" t="s">
        <v>1864</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9"/>
      <c r="AG1045" s="1754" t="str">
        <f>IF(X1048&gt;0,"Yes","No")</f>
        <v>Yes</v>
      </c>
      <c r="AH1045" s="1755"/>
      <c r="AI1045" s="87"/>
      <c r="AJ1045" s="1730">
        <f>IF((X1048=0),0,AY1005*AJ992)</f>
        <v>24356383.359999999</v>
      </c>
      <c r="AK1045" s="1731"/>
      <c r="AL1045" s="1731"/>
      <c r="AM1045" s="1731"/>
      <c r="AN1045" s="1731"/>
      <c r="AO1045" s="1731"/>
      <c r="AP1045" s="1731"/>
      <c r="AQ1045" s="173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25" customHeight="1">
      <c r="A1046" s="14"/>
      <c r="B1046" s="73"/>
      <c r="C1046" s="442"/>
      <c r="D1046" s="1701" t="s">
        <v>1299</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3"/>
      <c r="AK1046" s="1734"/>
      <c r="AL1046" s="1734"/>
      <c r="AM1046" s="1734"/>
      <c r="AN1046" s="1734"/>
      <c r="AO1046" s="1734"/>
      <c r="AP1046" s="1734"/>
      <c r="AQ1046" s="1735"/>
      <c r="AR1046" s="68"/>
      <c r="AS1046" s="68"/>
      <c r="AT1046" s="68"/>
      <c r="AU1046" s="13"/>
      <c r="AV1046" s="68"/>
      <c r="AW1046" s="68"/>
      <c r="AX1046" s="68"/>
      <c r="AY1046" s="68"/>
      <c r="AZ1046" s="962">
        <f>'Sources and Uses Budget'!S97*BA1046</f>
        <v>13678742.25</v>
      </c>
      <c r="BA1046" s="1182">
        <f>IF(BA1040,20%,15%)</f>
        <v>0.15</v>
      </c>
      <c r="BB1046" s="3" t="s">
        <v>2478</v>
      </c>
      <c r="BC1046" s="3" t="s">
        <v>2479</v>
      </c>
      <c r="BD1046" s="3"/>
    </row>
    <row r="1047" spans="1:56" ht="13.25"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3"/>
      <c r="AK1047" s="1734"/>
      <c r="AL1047" s="1734"/>
      <c r="AM1047" s="1734"/>
      <c r="AN1047" s="1734"/>
      <c r="AO1047" s="1734"/>
      <c r="AP1047" s="1734"/>
      <c r="AQ1047" s="1735"/>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25" customHeight="1">
      <c r="A1048" s="14"/>
      <c r="B1048" s="77"/>
      <c r="C1048" s="78"/>
      <c r="D1048" s="132" t="s">
        <v>972</v>
      </c>
      <c r="E1048" s="133"/>
      <c r="F1048" s="133"/>
      <c r="G1048" s="133"/>
      <c r="H1048" s="133"/>
      <c r="I1048" s="1793">
        <f>AY1003</f>
        <v>213</v>
      </c>
      <c r="J1048" s="1794"/>
      <c r="K1048" s="7"/>
      <c r="L1048" s="133"/>
      <c r="M1048" s="133"/>
      <c r="N1048" s="133"/>
      <c r="O1048" s="133"/>
      <c r="P1048" s="133"/>
      <c r="Q1048" s="133"/>
      <c r="R1048" s="133"/>
      <c r="S1048" s="133"/>
      <c r="T1048" s="133"/>
      <c r="U1048" s="133"/>
      <c r="V1048" s="134" t="s">
        <v>973</v>
      </c>
      <c r="W1048" s="48"/>
      <c r="X1048" s="1791">
        <f>CI753</f>
        <v>36</v>
      </c>
      <c r="Y1048" s="1792"/>
      <c r="Z1048" s="48"/>
      <c r="AA1048" s="48"/>
      <c r="AB1048" s="48"/>
      <c r="AC1048" s="48"/>
      <c r="AD1048" s="48"/>
      <c r="AE1048" s="49"/>
      <c r="AF1048" s="924"/>
      <c r="AG1048" s="925"/>
      <c r="AH1048" s="925"/>
      <c r="AI1048" s="926"/>
      <c r="AJ1048" s="1736"/>
      <c r="AK1048" s="1737"/>
      <c r="AL1048" s="1737"/>
      <c r="AM1048" s="1737"/>
      <c r="AN1048" s="1737"/>
      <c r="AO1048" s="1737"/>
      <c r="AP1048" s="1737"/>
      <c r="AQ1048" s="1738"/>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25" customHeight="1">
      <c r="A1049" s="14"/>
      <c r="B1049" s="79"/>
      <c r="C1049" s="131" t="s">
        <v>1685</v>
      </c>
      <c r="D1049" s="1770" t="s">
        <v>2170</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4" t="str">
        <f>IF(X1052&gt;0,"Yes","No")</f>
        <v>Yes</v>
      </c>
      <c r="AH1049" s="1755"/>
      <c r="AI1049" s="83"/>
      <c r="AJ1049" s="1730">
        <f>IF((X1052=0),0,(2*AY1006)*AJ992)</f>
        <v>30445479.200000003</v>
      </c>
      <c r="AK1049" s="1731"/>
      <c r="AL1049" s="1731"/>
      <c r="AM1049" s="1731"/>
      <c r="AN1049" s="1731"/>
      <c r="AO1049" s="1731"/>
      <c r="AP1049" s="1731"/>
      <c r="AQ1049" s="1732"/>
      <c r="AR1049" s="68"/>
      <c r="AS1049" s="68"/>
      <c r="AT1049" s="68"/>
      <c r="AU1049" s="14"/>
      <c r="AV1049" s="68"/>
      <c r="AW1049" s="68"/>
      <c r="AX1049" s="68"/>
      <c r="AY1049" s="68"/>
      <c r="AZ1049" s="962">
        <f>AZ1045*BA1049</f>
        <v>0</v>
      </c>
      <c r="BA1049" s="1182">
        <v>0.15</v>
      </c>
      <c r="BB1049" s="3" t="s">
        <v>2478</v>
      </c>
      <c r="BC1049" s="3" t="s">
        <v>2482</v>
      </c>
      <c r="BD1049" s="3"/>
    </row>
    <row r="1050" spans="1:56" ht="13.25" customHeight="1">
      <c r="A1050" s="14"/>
      <c r="B1050" s="73"/>
      <c r="C1050" s="442"/>
      <c r="D1050" s="1701" t="s">
        <v>1298</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3"/>
      <c r="AK1050" s="1734"/>
      <c r="AL1050" s="1734"/>
      <c r="AM1050" s="1734"/>
      <c r="AN1050" s="1734"/>
      <c r="AO1050" s="1734"/>
      <c r="AP1050" s="1734"/>
      <c r="AQ1050" s="1735"/>
      <c r="AR1050" s="68"/>
      <c r="AS1050" s="68"/>
      <c r="AT1050" s="68"/>
      <c r="AU1050" s="68"/>
      <c r="AV1050" s="68"/>
      <c r="AW1050" s="68"/>
      <c r="AX1050" s="68"/>
      <c r="AY1050" s="68"/>
      <c r="AZ1050" s="962"/>
      <c r="BA1050" s="3"/>
      <c r="BB1050" s="3"/>
      <c r="BC1050" s="3"/>
      <c r="BD1050" s="3"/>
    </row>
    <row r="1051" spans="1:56" ht="13.25"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3"/>
      <c r="AK1051" s="1734"/>
      <c r="AL1051" s="1734"/>
      <c r="AM1051" s="1734"/>
      <c r="AN1051" s="1734"/>
      <c r="AO1051" s="1734"/>
      <c r="AP1051" s="1734"/>
      <c r="AQ1051" s="1735"/>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25" customHeight="1">
      <c r="A1052" s="14"/>
      <c r="B1052" s="77"/>
      <c r="C1052" s="78"/>
      <c r="D1052" s="132" t="s">
        <v>972</v>
      </c>
      <c r="E1052" s="133"/>
      <c r="F1052" s="133"/>
      <c r="G1052" s="133"/>
      <c r="H1052" s="133"/>
      <c r="I1052" s="1793">
        <f>AY1003</f>
        <v>213</v>
      </c>
      <c r="J1052" s="1794"/>
      <c r="K1052" s="14"/>
      <c r="L1052" s="133"/>
      <c r="M1052" s="133"/>
      <c r="N1052" s="133"/>
      <c r="O1052" s="133"/>
      <c r="P1052" s="133"/>
      <c r="Q1052" s="133"/>
      <c r="R1052" s="133"/>
      <c r="S1052" s="133"/>
      <c r="T1052" s="133"/>
      <c r="U1052" s="133"/>
      <c r="V1052" s="134" t="s">
        <v>974</v>
      </c>
      <c r="X1052" s="1791">
        <f>CM753</f>
        <v>23</v>
      </c>
      <c r="Y1052" s="1792"/>
      <c r="AF1052" s="924"/>
      <c r="AG1052" s="925"/>
      <c r="AH1052" s="925"/>
      <c r="AI1052" s="926"/>
      <c r="AJ1052" s="1736"/>
      <c r="AK1052" s="1737"/>
      <c r="AL1052" s="1737"/>
      <c r="AM1052" s="1737"/>
      <c r="AN1052" s="1737"/>
      <c r="AO1052" s="1737"/>
      <c r="AP1052" s="1737"/>
      <c r="AQ1052" s="1738"/>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25" customHeight="1">
      <c r="A1053" s="14"/>
      <c r="B1053" s="102"/>
      <c r="C1053" s="103"/>
      <c r="D1053" s="1789" t="s">
        <v>513</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4">
        <f>SUM(AJ992:AQ1052)</f>
        <v>207029258.56</v>
      </c>
      <c r="AK1053" s="1805"/>
      <c r="AL1053" s="1805"/>
      <c r="AM1053" s="1805"/>
      <c r="AN1053" s="1805"/>
      <c r="AO1053" s="1805"/>
      <c r="AP1053" s="1805"/>
      <c r="AQ1053" s="1806"/>
      <c r="AR1053" s="68"/>
      <c r="AS1053" s="68"/>
      <c r="AT1053" s="68"/>
      <c r="AU1053" s="68"/>
      <c r="AV1053" s="68"/>
      <c r="AW1053" s="68"/>
      <c r="AX1053" s="68"/>
      <c r="AY1053" s="68"/>
      <c r="AZ1053" s="1181">
        <v>6000000</v>
      </c>
      <c r="BA1053" s="3" t="s">
        <v>2485</v>
      </c>
      <c r="BB1053" s="3"/>
      <c r="BC1053" s="3"/>
      <c r="BD1053" s="3"/>
    </row>
    <row r="1054" spans="1:56" ht="13.2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2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2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104870357</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13678742.25</v>
      </c>
      <c r="BB1056" s="3" t="s">
        <v>2487</v>
      </c>
      <c r="BC1056" s="3"/>
      <c r="BD1056" s="3"/>
    </row>
    <row r="1057" spans="1:54" ht="13.2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0.61547144247281216</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2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13678742</v>
      </c>
      <c r="BB1058" s="3" t="s">
        <v>2493</v>
      </c>
    </row>
    <row r="1059" spans="1:54" ht="13.2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11178742</v>
      </c>
      <c r="BB1059" s="3" t="s">
        <v>2494</v>
      </c>
    </row>
    <row r="1060" spans="1:54" ht="13.2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25" customHeight="1">
      <c r="A1061" s="1842" t="s">
        <v>794</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3.2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2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2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25" customHeight="1">
      <c r="A1065" s="1415" t="s">
        <v>591</v>
      </c>
      <c r="B1065" s="1415"/>
      <c r="C1065" s="1861">
        <v>1</v>
      </c>
      <c r="D1065" s="1861"/>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2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25" customHeight="1">
      <c r="A1067" s="1415" t="s">
        <v>591</v>
      </c>
      <c r="B1067" s="1415"/>
      <c r="C1067" s="1861">
        <v>2</v>
      </c>
      <c r="D1067" s="1861"/>
      <c r="E1067" s="1863" t="s">
        <v>2237</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3.25"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3.2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2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2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2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2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2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2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2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2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2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2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2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25" customHeight="1">
      <c r="A1081" s="1415" t="s">
        <v>591</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2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2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2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25" customHeight="1">
      <c r="A1085" s="1415" t="s">
        <v>591</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2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2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2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25"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2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2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2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2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2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2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2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25" customHeight="1">
      <c r="A1097" s="1415" t="s">
        <v>591</v>
      </c>
      <c r="B1097" s="1415"/>
      <c r="C1097" s="1861">
        <v>9</v>
      </c>
      <c r="D1097" s="1861"/>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25" customHeight="1">
      <c r="A1098" s="1"/>
      <c r="B1098" s="1"/>
      <c r="C1098" s="1861"/>
      <c r="D1098" s="1861"/>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25"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25" customHeight="1">
      <c r="A1100" s="1415" t="s">
        <v>591</v>
      </c>
      <c r="B1100" s="1415"/>
      <c r="C1100" s="1861">
        <v>10</v>
      </c>
      <c r="D1100" s="1861"/>
      <c r="E1100" s="1862" t="s">
        <v>2238</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3.25"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3.2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25" customHeight="1">
      <c r="A1103" s="1415" t="s">
        <v>591</v>
      </c>
      <c r="B1103" s="1415"/>
      <c r="C1103" s="1861">
        <v>11</v>
      </c>
      <c r="D1103" s="1861"/>
      <c r="E1103" s="1862" t="s">
        <v>2240</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3.25"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3.2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2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2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2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2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2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2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2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2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2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2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2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2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2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2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2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2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2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2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7"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selection activeCell="A2" sqref="A2"/>
    </sheetView>
  </sheetViews>
  <sheetFormatPr defaultColWidth="0" defaultRowHeight="11.5" zeroHeight="1"/>
  <cols>
    <col min="1" max="1" width="35.7265625" style="187" customWidth="1"/>
    <col min="2" max="12" width="12.26953125" style="158" customWidth="1"/>
    <col min="13" max="17" width="11.26953125" style="158" customWidth="1"/>
    <col min="18" max="18" width="12.7265625" style="158" customWidth="1"/>
    <col min="19" max="20" width="12.26953125" style="158" customWidth="1"/>
    <col min="21" max="21" width="0.26953125" style="161" customWidth="1"/>
    <col min="22" max="16383" width="8.7265625" style="158" hidden="1"/>
    <col min="16384" max="16384" width="0.269531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2)Citibank, N.A.</v>
      </c>
      <c r="H2" s="139" t="str">
        <f>Application!B629&amp;Application!C629</f>
        <v>3)GP Capital Contribution</v>
      </c>
      <c r="I2" s="139" t="str">
        <f>Application!B630&amp;Application!C630</f>
        <v>4)Deferred Developer Fee</v>
      </c>
      <c r="J2" s="139" t="str">
        <f>Application!B631&amp;Application!C631</f>
        <v>5)Cashflow From Operations</v>
      </c>
      <c r="K2" s="139" t="str">
        <f>Application!B632&amp;Application!C632</f>
        <v>6)GP Note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6600000</v>
      </c>
      <c r="C4" s="147">
        <v>6600000</v>
      </c>
      <c r="D4" s="147"/>
      <c r="E4" s="147">
        <f>C4</f>
        <v>6600000</v>
      </c>
      <c r="F4" s="147"/>
      <c r="G4" s="147"/>
      <c r="H4" s="147"/>
      <c r="I4" s="147"/>
      <c r="J4" s="147"/>
      <c r="K4" s="147"/>
      <c r="L4" s="147"/>
      <c r="M4" s="147"/>
      <c r="N4" s="147"/>
      <c r="O4" s="147"/>
      <c r="P4" s="147"/>
      <c r="Q4" s="147"/>
      <c r="R4" s="516">
        <f>SUM(E4:Q4)</f>
        <v>6600000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6600000</v>
      </c>
      <c r="C8" s="146">
        <f t="shared" ref="C8:Q8" si="0">SUM(C4:C7)</f>
        <v>6600000</v>
      </c>
      <c r="D8" s="146">
        <f t="shared" si="0"/>
        <v>0</v>
      </c>
      <c r="E8" s="146">
        <f t="shared" si="0"/>
        <v>6600000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6600000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6600000</v>
      </c>
      <c r="C12" s="146">
        <f t="shared" si="2"/>
        <v>6600000</v>
      </c>
      <c r="D12" s="146">
        <f t="shared" si="2"/>
        <v>0</v>
      </c>
      <c r="E12" s="146">
        <f t="shared" si="2"/>
        <v>6600000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6600000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1875000</v>
      </c>
      <c r="C29" s="147">
        <v>1875000</v>
      </c>
      <c r="D29" s="147"/>
      <c r="E29" s="147">
        <f>C29-H29</f>
        <v>1874900</v>
      </c>
      <c r="F29" s="147"/>
      <c r="G29" s="147"/>
      <c r="H29" s="147">
        <v>100</v>
      </c>
      <c r="I29" s="147"/>
      <c r="J29" s="147"/>
      <c r="K29" s="147"/>
      <c r="L29" s="147"/>
      <c r="M29" s="147"/>
      <c r="N29" s="147"/>
      <c r="O29" s="147"/>
      <c r="P29" s="147"/>
      <c r="Q29" s="147"/>
      <c r="R29" s="516">
        <f t="shared" ref="R29:R37" si="7">SUM(E29:Q29)</f>
        <v>1875000</v>
      </c>
      <c r="S29" s="147">
        <v>1875000</v>
      </c>
      <c r="T29" s="147"/>
      <c r="U29" s="143"/>
    </row>
    <row r="30" spans="1:21" s="144" customFormat="1">
      <c r="A30" s="145" t="s">
        <v>599</v>
      </c>
      <c r="B30" s="146">
        <f t="shared" si="6"/>
        <v>62545454</v>
      </c>
      <c r="C30" s="147">
        <v>62545454</v>
      </c>
      <c r="D30" s="147"/>
      <c r="E30" s="147"/>
      <c r="F30" s="147">
        <v>41800000</v>
      </c>
      <c r="G30" s="147">
        <v>12200000</v>
      </c>
      <c r="H30" s="147"/>
      <c r="I30" s="147"/>
      <c r="J30" s="147"/>
      <c r="K30" s="147">
        <f>C30-G30-F30</f>
        <v>8545454</v>
      </c>
      <c r="L30" s="147"/>
      <c r="M30" s="147"/>
      <c r="N30" s="147"/>
      <c r="O30" s="147"/>
      <c r="P30" s="147"/>
      <c r="Q30" s="147"/>
      <c r="R30" s="516">
        <f t="shared" si="7"/>
        <v>62545454</v>
      </c>
      <c r="S30" s="147">
        <v>62045454</v>
      </c>
      <c r="T30" s="147"/>
      <c r="U30" s="143"/>
    </row>
    <row r="31" spans="1:21" s="144" customFormat="1">
      <c r="A31" s="145" t="s">
        <v>600</v>
      </c>
      <c r="B31" s="146">
        <f t="shared" si="6"/>
        <v>3127273</v>
      </c>
      <c r="C31" s="147">
        <v>3127273</v>
      </c>
      <c r="D31" s="147"/>
      <c r="E31" s="147">
        <f>C31</f>
        <v>3127273</v>
      </c>
      <c r="F31" s="147"/>
      <c r="G31" s="147"/>
      <c r="H31" s="147"/>
      <c r="I31" s="147"/>
      <c r="J31" s="147"/>
      <c r="K31" s="147"/>
      <c r="L31" s="147"/>
      <c r="M31" s="147"/>
      <c r="N31" s="147"/>
      <c r="O31" s="147"/>
      <c r="P31" s="147"/>
      <c r="Q31" s="147"/>
      <c r="R31" s="516">
        <f t="shared" si="7"/>
        <v>3127273</v>
      </c>
      <c r="S31" s="147">
        <v>3127273</v>
      </c>
      <c r="T31" s="147"/>
      <c r="U31" s="143"/>
    </row>
    <row r="32" spans="1:21" s="144" customFormat="1">
      <c r="A32" s="145" t="s">
        <v>137</v>
      </c>
      <c r="B32" s="146">
        <f t="shared" si="6"/>
        <v>1250909</v>
      </c>
      <c r="C32" s="147">
        <v>1250909</v>
      </c>
      <c r="D32" s="147"/>
      <c r="E32" s="147">
        <f>C32</f>
        <v>1250909</v>
      </c>
      <c r="F32" s="147"/>
      <c r="G32" s="147"/>
      <c r="H32" s="147"/>
      <c r="I32" s="147"/>
      <c r="J32" s="147"/>
      <c r="K32" s="147"/>
      <c r="L32" s="147"/>
      <c r="M32" s="147"/>
      <c r="N32" s="147"/>
      <c r="O32" s="147"/>
      <c r="P32" s="147"/>
      <c r="Q32" s="147"/>
      <c r="R32" s="516">
        <f t="shared" si="7"/>
        <v>1250909</v>
      </c>
      <c r="S32" s="147">
        <v>1250909</v>
      </c>
      <c r="T32" s="147"/>
      <c r="U32" s="143"/>
    </row>
    <row r="33" spans="1:21" s="144" customFormat="1">
      <c r="A33" s="145" t="s">
        <v>138</v>
      </c>
      <c r="B33" s="146">
        <f t="shared" si="6"/>
        <v>1876364</v>
      </c>
      <c r="C33" s="147">
        <v>1876364</v>
      </c>
      <c r="D33" s="147"/>
      <c r="E33" s="147">
        <f>C33</f>
        <v>1876364</v>
      </c>
      <c r="F33" s="147"/>
      <c r="G33" s="147"/>
      <c r="H33" s="147"/>
      <c r="I33" s="147"/>
      <c r="J33" s="147"/>
      <c r="K33" s="147"/>
      <c r="L33" s="147"/>
      <c r="M33" s="147"/>
      <c r="N33" s="147"/>
      <c r="O33" s="147"/>
      <c r="P33" s="147"/>
      <c r="Q33" s="147"/>
      <c r="R33" s="516">
        <f t="shared" si="7"/>
        <v>1876364</v>
      </c>
      <c r="S33" s="147">
        <v>1876364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1032000</v>
      </c>
      <c r="C35" s="147">
        <v>1032000</v>
      </c>
      <c r="D35" s="147"/>
      <c r="E35" s="147">
        <f>C35</f>
        <v>1032000</v>
      </c>
      <c r="F35" s="147"/>
      <c r="G35" s="147"/>
      <c r="H35" s="147"/>
      <c r="I35" s="147"/>
      <c r="J35" s="147"/>
      <c r="K35" s="147"/>
      <c r="L35" s="147"/>
      <c r="M35" s="147"/>
      <c r="N35" s="147"/>
      <c r="O35" s="147"/>
      <c r="P35" s="147"/>
      <c r="Q35" s="147"/>
      <c r="R35" s="516">
        <f t="shared" si="7"/>
        <v>1032000</v>
      </c>
      <c r="S35" s="147">
        <v>1032000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2698</v>
      </c>
      <c r="B37" s="146">
        <f t="shared" si="6"/>
        <v>0</v>
      </c>
      <c r="C37" s="147">
        <v>0</v>
      </c>
      <c r="D37" s="147"/>
      <c r="E37" s="147">
        <f>C37</f>
        <v>0</v>
      </c>
      <c r="F37" s="147"/>
      <c r="G37" s="147"/>
      <c r="H37" s="147"/>
      <c r="I37" s="147"/>
      <c r="J37" s="147"/>
      <c r="K37" s="147"/>
      <c r="L37" s="147"/>
      <c r="M37" s="147"/>
      <c r="N37" s="147"/>
      <c r="O37" s="147"/>
      <c r="P37" s="147"/>
      <c r="Q37" s="147"/>
      <c r="R37" s="516">
        <f t="shared" si="7"/>
        <v>0</v>
      </c>
      <c r="S37" s="147">
        <v>0</v>
      </c>
      <c r="T37" s="147"/>
      <c r="U37" s="143"/>
    </row>
    <row r="38" spans="1:21" s="144" customFormat="1">
      <c r="A38" s="149" t="s">
        <v>143</v>
      </c>
      <c r="B38" s="146">
        <f t="shared" si="6"/>
        <v>71707000</v>
      </c>
      <c r="C38" s="146">
        <f>SUM(C29:C37)</f>
        <v>71707000</v>
      </c>
      <c r="D38" s="146">
        <f t="shared" ref="D38:Q38" si="8">SUM(D29:D37)</f>
        <v>0</v>
      </c>
      <c r="E38" s="146">
        <f t="shared" si="8"/>
        <v>9161446</v>
      </c>
      <c r="F38" s="146">
        <f t="shared" si="8"/>
        <v>41800000</v>
      </c>
      <c r="G38" s="146">
        <f t="shared" si="8"/>
        <v>12200000</v>
      </c>
      <c r="H38" s="146">
        <f t="shared" si="8"/>
        <v>100</v>
      </c>
      <c r="I38" s="146">
        <f t="shared" si="8"/>
        <v>0</v>
      </c>
      <c r="J38" s="146">
        <f t="shared" si="8"/>
        <v>0</v>
      </c>
      <c r="K38" s="146">
        <f t="shared" si="8"/>
        <v>8545454</v>
      </c>
      <c r="L38" s="146">
        <f t="shared" si="8"/>
        <v>0</v>
      </c>
      <c r="M38" s="146">
        <f t="shared" si="8"/>
        <v>0</v>
      </c>
      <c r="N38" s="146">
        <f t="shared" si="8"/>
        <v>0</v>
      </c>
      <c r="O38" s="146">
        <f t="shared" si="8"/>
        <v>0</v>
      </c>
      <c r="P38" s="146">
        <f t="shared" si="8"/>
        <v>0</v>
      </c>
      <c r="Q38" s="146">
        <f t="shared" si="8"/>
        <v>0</v>
      </c>
      <c r="R38" s="342">
        <f>SUM(R29:R37)</f>
        <v>71707000</v>
      </c>
      <c r="S38" s="150">
        <f>SUM(S29:S37)</f>
        <v>71207000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322500</v>
      </c>
      <c r="C40" s="147">
        <v>322500</v>
      </c>
      <c r="D40" s="147"/>
      <c r="E40" s="147">
        <f>C40</f>
        <v>322500</v>
      </c>
      <c r="F40" s="147"/>
      <c r="G40" s="147"/>
      <c r="H40" s="147"/>
      <c r="I40" s="147"/>
      <c r="J40" s="147"/>
      <c r="K40" s="147"/>
      <c r="L40" s="147"/>
      <c r="M40" s="147"/>
      <c r="N40" s="147"/>
      <c r="O40" s="147"/>
      <c r="P40" s="147"/>
      <c r="Q40" s="147"/>
      <c r="R40" s="516">
        <f>SUM(E40:Q40)</f>
        <v>322500</v>
      </c>
      <c r="S40" s="147">
        <v>322500</v>
      </c>
      <c r="T40" s="147"/>
      <c r="U40" s="143"/>
    </row>
    <row r="41" spans="1:21" s="144" customFormat="1">
      <c r="A41" s="145" t="s">
        <v>146</v>
      </c>
      <c r="B41" s="146">
        <f>SUM(C41+D41)</f>
        <v>250000</v>
      </c>
      <c r="C41" s="147">
        <v>250000</v>
      </c>
      <c r="D41" s="147"/>
      <c r="E41" s="147">
        <f>C41</f>
        <v>250000</v>
      </c>
      <c r="F41" s="147"/>
      <c r="G41" s="147"/>
      <c r="H41" s="147"/>
      <c r="I41" s="147"/>
      <c r="J41" s="147"/>
      <c r="K41" s="147"/>
      <c r="L41" s="147"/>
      <c r="M41" s="147"/>
      <c r="N41" s="147"/>
      <c r="O41" s="147"/>
      <c r="P41" s="147"/>
      <c r="Q41" s="147"/>
      <c r="R41" s="516">
        <f>SUM(E41:Q41)</f>
        <v>250000</v>
      </c>
      <c r="S41" s="147">
        <v>250000</v>
      </c>
      <c r="T41" s="147"/>
      <c r="U41" s="143"/>
    </row>
    <row r="42" spans="1:21" s="144" customFormat="1">
      <c r="A42" s="149" t="s">
        <v>147</v>
      </c>
      <c r="B42" s="146">
        <f>SUM(C42:D42)</f>
        <v>572500</v>
      </c>
      <c r="C42" s="146">
        <f>SUM(C39:C41)</f>
        <v>572500</v>
      </c>
      <c r="D42" s="146">
        <f>SUM(D39:D41)</f>
        <v>0</v>
      </c>
      <c r="E42" s="146">
        <f t="shared" ref="E42:T42" si="9">SUM(E40:E41)</f>
        <v>572500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572500</v>
      </c>
      <c r="S42" s="150">
        <f t="shared" si="9"/>
        <v>572500</v>
      </c>
      <c r="T42" s="150">
        <f t="shared" si="9"/>
        <v>0</v>
      </c>
      <c r="U42" s="143"/>
    </row>
    <row r="43" spans="1:21" s="144" customFormat="1">
      <c r="A43" s="149" t="s">
        <v>148</v>
      </c>
      <c r="B43" s="146">
        <f>SUM(C43:D43)</f>
        <v>1223800</v>
      </c>
      <c r="C43" s="147">
        <v>1223800</v>
      </c>
      <c r="D43" s="147"/>
      <c r="E43" s="147">
        <f>C43</f>
        <v>1223800</v>
      </c>
      <c r="F43" s="147"/>
      <c r="G43" s="147"/>
      <c r="H43" s="147"/>
      <c r="I43" s="147"/>
      <c r="J43" s="147"/>
      <c r="K43" s="147"/>
      <c r="L43" s="147"/>
      <c r="M43" s="147"/>
      <c r="N43" s="147"/>
      <c r="O43" s="147"/>
      <c r="P43" s="147"/>
      <c r="Q43" s="147"/>
      <c r="R43" s="516">
        <f>SUM(E43:Q43)</f>
        <v>1223800</v>
      </c>
      <c r="S43" s="147">
        <v>1083800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6806127</v>
      </c>
      <c r="C45" s="147">
        <v>6806127</v>
      </c>
      <c r="D45" s="147"/>
      <c r="E45" s="147">
        <f>C45</f>
        <v>6806127</v>
      </c>
      <c r="F45" s="147"/>
      <c r="G45" s="147"/>
      <c r="H45" s="147"/>
      <c r="I45" s="147"/>
      <c r="J45" s="147"/>
      <c r="K45" s="147"/>
      <c r="L45" s="147"/>
      <c r="M45" s="147"/>
      <c r="N45" s="147"/>
      <c r="O45" s="147"/>
      <c r="P45" s="147"/>
      <c r="Q45" s="147"/>
      <c r="R45" s="516">
        <f t="shared" ref="R45:R53" si="11">SUM(E45:Q45)</f>
        <v>6806127</v>
      </c>
      <c r="S45" s="147">
        <v>5637174</v>
      </c>
      <c r="T45" s="147"/>
      <c r="U45" s="143"/>
    </row>
    <row r="46" spans="1:21" s="144" customFormat="1">
      <c r="A46" s="145" t="s">
        <v>151</v>
      </c>
      <c r="B46" s="146">
        <f t="shared" si="10"/>
        <v>822824</v>
      </c>
      <c r="C46" s="147">
        <v>822824</v>
      </c>
      <c r="D46" s="147"/>
      <c r="E46" s="147">
        <f>C46</f>
        <v>822824</v>
      </c>
      <c r="F46" s="147"/>
      <c r="G46" s="147"/>
      <c r="H46" s="147"/>
      <c r="I46" s="147"/>
      <c r="J46" s="147"/>
      <c r="K46" s="147"/>
      <c r="L46" s="147"/>
      <c r="M46" s="147"/>
      <c r="N46" s="147"/>
      <c r="O46" s="147"/>
      <c r="P46" s="147"/>
      <c r="Q46" s="147"/>
      <c r="R46" s="516">
        <f t="shared" si="11"/>
        <v>822824</v>
      </c>
      <c r="S46" s="147">
        <v>822824</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447200</v>
      </c>
      <c r="C48" s="147">
        <v>447200</v>
      </c>
      <c r="D48" s="147"/>
      <c r="E48" s="147">
        <f>C48</f>
        <v>447200</v>
      </c>
      <c r="F48" s="147"/>
      <c r="G48" s="147"/>
      <c r="H48" s="147"/>
      <c r="I48" s="147"/>
      <c r="J48" s="147"/>
      <c r="K48" s="147"/>
      <c r="L48" s="147"/>
      <c r="M48" s="147"/>
      <c r="N48" s="147"/>
      <c r="O48" s="147"/>
      <c r="P48" s="147"/>
      <c r="Q48" s="147"/>
      <c r="R48" s="516">
        <f t="shared" si="11"/>
        <v>447200</v>
      </c>
      <c r="S48" s="147">
        <v>447200</v>
      </c>
      <c r="T48" s="147"/>
      <c r="U48" s="143"/>
    </row>
    <row r="49" spans="1:21" s="144" customFormat="1">
      <c r="A49" s="145" t="s">
        <v>57</v>
      </c>
      <c r="B49" s="146">
        <f t="shared" si="10"/>
        <v>20900</v>
      </c>
      <c r="C49" s="147">
        <v>20900</v>
      </c>
      <c r="D49" s="147"/>
      <c r="E49" s="147">
        <f>C49</f>
        <v>20900</v>
      </c>
      <c r="F49" s="147"/>
      <c r="G49" s="147"/>
      <c r="H49" s="147"/>
      <c r="I49" s="147"/>
      <c r="J49" s="147"/>
      <c r="K49" s="147"/>
      <c r="L49" s="147"/>
      <c r="M49" s="147"/>
      <c r="N49" s="147"/>
      <c r="O49" s="147"/>
      <c r="P49" s="147"/>
      <c r="Q49" s="147"/>
      <c r="R49" s="516">
        <f t="shared" si="11"/>
        <v>20900</v>
      </c>
      <c r="S49" s="147">
        <v>2322</v>
      </c>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8097051</v>
      </c>
      <c r="C54" s="150">
        <f t="shared" ref="C54:T54" si="12">SUM(C45:C53)</f>
        <v>8097051</v>
      </c>
      <c r="D54" s="150">
        <f t="shared" si="12"/>
        <v>0</v>
      </c>
      <c r="E54" s="150">
        <f t="shared" si="12"/>
        <v>8097051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8097051</v>
      </c>
      <c r="S54" s="150">
        <f t="shared" si="12"/>
        <v>6909520</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v>0</v>
      </c>
      <c r="D56" s="147"/>
      <c r="E56" s="147">
        <f>C56</f>
        <v>0</v>
      </c>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109500</v>
      </c>
      <c r="C58" s="147">
        <v>109500</v>
      </c>
      <c r="D58" s="147"/>
      <c r="E58" s="147">
        <f>C58</f>
        <v>109500</v>
      </c>
      <c r="F58" s="147"/>
      <c r="G58" s="147"/>
      <c r="H58" s="147"/>
      <c r="I58" s="147"/>
      <c r="J58" s="147"/>
      <c r="K58" s="147"/>
      <c r="L58" s="147"/>
      <c r="M58" s="147"/>
      <c r="N58" s="147"/>
      <c r="O58" s="147"/>
      <c r="P58" s="147"/>
      <c r="Q58" s="147"/>
      <c r="R58" s="516">
        <f t="shared" si="14"/>
        <v>109500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75000</v>
      </c>
      <c r="C60" s="147">
        <v>75000</v>
      </c>
      <c r="D60" s="147"/>
      <c r="E60" s="147">
        <f>C60</f>
        <v>75000</v>
      </c>
      <c r="F60" s="147"/>
      <c r="G60" s="147"/>
      <c r="H60" s="147"/>
      <c r="I60" s="147"/>
      <c r="J60" s="147"/>
      <c r="K60" s="147"/>
      <c r="L60" s="147"/>
      <c r="M60" s="147"/>
      <c r="N60" s="147"/>
      <c r="O60" s="147"/>
      <c r="P60" s="147"/>
      <c r="Q60" s="147"/>
      <c r="R60" s="516">
        <f t="shared" si="14"/>
        <v>75000</v>
      </c>
      <c r="S60" s="148"/>
      <c r="T60" s="148"/>
      <c r="U60" s="143"/>
    </row>
    <row r="61" spans="1:21" s="144" customFormat="1">
      <c r="A61" s="1149" t="s">
        <v>2698</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4" customHeight="1">
      <c r="A62" s="149" t="s">
        <v>301</v>
      </c>
      <c r="B62" s="146">
        <f>SUM(C62:D62)</f>
        <v>184500</v>
      </c>
      <c r="C62" s="146">
        <f t="shared" ref="C62:R62" si="15">SUM(C56:C61)</f>
        <v>184500</v>
      </c>
      <c r="D62" s="146">
        <f t="shared" si="15"/>
        <v>0</v>
      </c>
      <c r="E62" s="146">
        <f t="shared" si="15"/>
        <v>184500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184500</v>
      </c>
      <c r="S62" s="148"/>
      <c r="T62" s="148"/>
      <c r="U62" s="143"/>
    </row>
    <row r="63" spans="1:21" s="144" customFormat="1">
      <c r="A63" s="154" t="s">
        <v>302</v>
      </c>
      <c r="B63" s="146">
        <f t="shared" ref="B63:R63" si="16">SUM(B8+B11+B13+B14+B15+B26+B27+B38+B42+B43+B54+B62)</f>
        <v>88384851</v>
      </c>
      <c r="C63" s="146">
        <f t="shared" si="16"/>
        <v>88384851</v>
      </c>
      <c r="D63" s="146">
        <f t="shared" si="16"/>
        <v>0</v>
      </c>
      <c r="E63" s="146">
        <f t="shared" si="16"/>
        <v>25839297</v>
      </c>
      <c r="F63" s="146">
        <f t="shared" si="16"/>
        <v>41800000</v>
      </c>
      <c r="G63" s="146">
        <f t="shared" si="16"/>
        <v>12200000</v>
      </c>
      <c r="H63" s="146">
        <f t="shared" si="16"/>
        <v>100</v>
      </c>
      <c r="I63" s="146">
        <f t="shared" si="16"/>
        <v>0</v>
      </c>
      <c r="J63" s="146">
        <f t="shared" si="16"/>
        <v>0</v>
      </c>
      <c r="K63" s="146">
        <f t="shared" si="16"/>
        <v>8545454</v>
      </c>
      <c r="L63" s="146">
        <f t="shared" si="16"/>
        <v>0</v>
      </c>
      <c r="M63" s="146">
        <f t="shared" si="16"/>
        <v>0</v>
      </c>
      <c r="N63" s="146">
        <f t="shared" si="16"/>
        <v>0</v>
      </c>
      <c r="O63" s="146">
        <f t="shared" si="16"/>
        <v>0</v>
      </c>
      <c r="P63" s="146">
        <f t="shared" si="16"/>
        <v>0</v>
      </c>
      <c r="Q63" s="146">
        <f t="shared" si="16"/>
        <v>0</v>
      </c>
      <c r="R63" s="342">
        <f t="shared" si="16"/>
        <v>88384851</v>
      </c>
      <c r="S63" s="146">
        <f>SUM(S10+S13+S14+S15+S26+S27+S38+S42+S43+S54)</f>
        <v>79772820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205000</v>
      </c>
      <c r="C65" s="147">
        <v>205000</v>
      </c>
      <c r="D65" s="147"/>
      <c r="E65" s="147">
        <f>C65</f>
        <v>205000</v>
      </c>
      <c r="F65" s="147"/>
      <c r="G65" s="147"/>
      <c r="H65" s="147"/>
      <c r="I65" s="147"/>
      <c r="J65" s="147"/>
      <c r="K65" s="147"/>
      <c r="L65" s="147"/>
      <c r="M65" s="147"/>
      <c r="N65" s="147"/>
      <c r="O65" s="147"/>
      <c r="P65" s="147"/>
      <c r="Q65" s="147"/>
      <c r="R65" s="516">
        <f>SUM(E65:Q65)</f>
        <v>205000</v>
      </c>
      <c r="S65" s="147">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205000</v>
      </c>
      <c r="C70" s="146">
        <f>SUM(C65:C69)</f>
        <v>205000</v>
      </c>
      <c r="D70" s="146">
        <f>SUM(D65:D69)</f>
        <v>0</v>
      </c>
      <c r="E70" s="146">
        <f t="shared" ref="E70:T70" si="17">SUM(E65:E69)</f>
        <v>205000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205000</v>
      </c>
      <c r="S70" s="150">
        <f t="shared" si="17"/>
        <v>100000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c r="E72" s="147">
        <f>C72-J72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997984</v>
      </c>
      <c r="C75" s="147">
        <v>997984</v>
      </c>
      <c r="D75" s="147"/>
      <c r="E75" s="147">
        <f>C75</f>
        <v>997984</v>
      </c>
      <c r="F75" s="147"/>
      <c r="G75" s="147"/>
      <c r="H75" s="147"/>
      <c r="I75" s="147"/>
      <c r="J75" s="147"/>
      <c r="K75" s="147"/>
      <c r="L75" s="147"/>
      <c r="M75" s="147"/>
      <c r="N75" s="147"/>
      <c r="O75" s="147"/>
      <c r="P75" s="147"/>
      <c r="Q75" s="147"/>
      <c r="R75" s="516">
        <f>SUM(E75:Q75)</f>
        <v>997984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997984</v>
      </c>
      <c r="C77" s="146">
        <f>SUM(C72:C76)</f>
        <v>997984</v>
      </c>
      <c r="D77" s="146">
        <f>SUM(D72:D76)</f>
        <v>0</v>
      </c>
      <c r="E77" s="146">
        <f t="shared" ref="E77:Q77" si="18">SUM(E72:E76)</f>
        <v>997984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997984</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3440000</v>
      </c>
      <c r="C79" s="147">
        <v>3440000</v>
      </c>
      <c r="D79" s="147"/>
      <c r="E79" s="147">
        <f>C79</f>
        <v>3440000</v>
      </c>
      <c r="F79" s="147"/>
      <c r="G79" s="147"/>
      <c r="H79" s="147"/>
      <c r="I79" s="147"/>
      <c r="J79" s="147"/>
      <c r="K79" s="147"/>
      <c r="L79" s="147"/>
      <c r="M79" s="147"/>
      <c r="N79" s="147"/>
      <c r="O79" s="147"/>
      <c r="P79" s="147"/>
      <c r="Q79" s="147"/>
      <c r="R79" s="516">
        <f>SUM(E79:Q79)</f>
        <v>3440000</v>
      </c>
      <c r="S79" s="147">
        <v>3440000</v>
      </c>
      <c r="T79" s="147"/>
      <c r="U79" s="143"/>
    </row>
    <row r="80" spans="1:21" s="144" customFormat="1">
      <c r="A80" s="283" t="s">
        <v>58</v>
      </c>
      <c r="B80" s="146">
        <f>SUM(C80:D80)</f>
        <v>0</v>
      </c>
      <c r="C80" s="147"/>
      <c r="D80" s="147"/>
      <c r="E80" s="147"/>
      <c r="F80" s="147"/>
      <c r="G80" s="147"/>
      <c r="H80" s="147"/>
      <c r="I80" s="147"/>
      <c r="J80" s="147"/>
      <c r="K80" s="147"/>
      <c r="L80" s="147"/>
      <c r="M80" s="147"/>
      <c r="N80" s="147"/>
      <c r="O80" s="147"/>
      <c r="P80" s="147"/>
      <c r="Q80" s="147"/>
      <c r="R80" s="516">
        <f>SUM(E80:Q80)</f>
        <v>0</v>
      </c>
      <c r="S80" s="147"/>
      <c r="T80" s="147"/>
      <c r="U80" s="143"/>
    </row>
    <row r="81" spans="1:21" s="144" customFormat="1">
      <c r="A81" s="149" t="s">
        <v>1209</v>
      </c>
      <c r="B81" s="146">
        <f>SUM(C81:D81)</f>
        <v>3440000</v>
      </c>
      <c r="C81" s="509">
        <f>SUM(C79:C80)</f>
        <v>3440000</v>
      </c>
      <c r="D81" s="509">
        <f t="shared" ref="D81:T81" si="19">SUM(D79:D80)</f>
        <v>0</v>
      </c>
      <c r="E81" s="509">
        <f t="shared" si="19"/>
        <v>3440000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3440000</v>
      </c>
      <c r="S81" s="509">
        <f t="shared" si="19"/>
        <v>3440000</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4" customHeight="1">
      <c r="A83" s="145" t="s">
        <v>2094</v>
      </c>
      <c r="B83" s="146">
        <f t="shared" ref="B83:B95" si="20">SUM(C83+D83)</f>
        <v>193949</v>
      </c>
      <c r="C83" s="147">
        <v>193949</v>
      </c>
      <c r="D83" s="147"/>
      <c r="E83" s="147">
        <f>C83</f>
        <v>193949</v>
      </c>
      <c r="F83" s="147"/>
      <c r="G83" s="147"/>
      <c r="H83" s="147"/>
      <c r="I83" s="147"/>
      <c r="J83" s="147"/>
      <c r="K83" s="147"/>
      <c r="L83" s="147"/>
      <c r="M83" s="147"/>
      <c r="N83" s="147"/>
      <c r="O83" s="147"/>
      <c r="P83" s="147"/>
      <c r="Q83" s="147"/>
      <c r="R83" s="516">
        <f t="shared" ref="R83:R95" si="21">SUM(E83:Q83)</f>
        <v>193949</v>
      </c>
      <c r="S83" s="148"/>
      <c r="T83" s="148"/>
      <c r="U83" s="143"/>
    </row>
    <row r="84" spans="1:21" s="144" customFormat="1">
      <c r="A84" s="145" t="s">
        <v>767</v>
      </c>
      <c r="B84" s="146">
        <f t="shared" si="20"/>
        <v>10000</v>
      </c>
      <c r="C84" s="147">
        <v>10000</v>
      </c>
      <c r="D84" s="147"/>
      <c r="E84" s="147">
        <f>C84</f>
        <v>10000</v>
      </c>
      <c r="F84" s="147"/>
      <c r="G84" s="147"/>
      <c r="H84" s="147"/>
      <c r="I84" s="147"/>
      <c r="J84" s="147"/>
      <c r="K84" s="147"/>
      <c r="L84" s="147"/>
      <c r="M84" s="147"/>
      <c r="N84" s="147"/>
      <c r="O84" s="147"/>
      <c r="P84" s="147"/>
      <c r="Q84" s="147"/>
      <c r="R84" s="516">
        <f t="shared" si="21"/>
        <v>10000</v>
      </c>
      <c r="S84" s="147">
        <v>10000</v>
      </c>
      <c r="T84" s="147"/>
      <c r="U84" s="143"/>
    </row>
    <row r="85" spans="1:21" s="144" customFormat="1">
      <c r="A85" s="145" t="s">
        <v>768</v>
      </c>
      <c r="B85" s="146">
        <f t="shared" si="20"/>
        <v>6837794</v>
      </c>
      <c r="C85" s="147">
        <v>6837794</v>
      </c>
      <c r="D85" s="147"/>
      <c r="E85" s="147">
        <f>C85-K85</f>
        <v>783248</v>
      </c>
      <c r="F85" s="147"/>
      <c r="G85" s="147"/>
      <c r="H85" s="147"/>
      <c r="I85" s="147"/>
      <c r="J85" s="147"/>
      <c r="K85" s="147">
        <v>6054546</v>
      </c>
      <c r="L85" s="147"/>
      <c r="M85" s="147"/>
      <c r="N85" s="147"/>
      <c r="O85" s="147"/>
      <c r="P85" s="147"/>
      <c r="Q85" s="147"/>
      <c r="R85" s="516">
        <f t="shared" si="21"/>
        <v>6837794</v>
      </c>
      <c r="S85" s="147">
        <v>6837794</v>
      </c>
      <c r="T85" s="147"/>
      <c r="U85" s="143"/>
    </row>
    <row r="86" spans="1:21" s="144" customFormat="1">
      <c r="A86" s="145" t="s">
        <v>769</v>
      </c>
      <c r="B86" s="146">
        <f t="shared" si="20"/>
        <v>500364</v>
      </c>
      <c r="C86" s="147">
        <v>500364</v>
      </c>
      <c r="D86" s="147"/>
      <c r="E86" s="147">
        <f>C86</f>
        <v>500364</v>
      </c>
      <c r="F86" s="147"/>
      <c r="G86" s="147"/>
      <c r="H86" s="147"/>
      <c r="I86" s="147"/>
      <c r="J86" s="147"/>
      <c r="K86" s="147"/>
      <c r="L86" s="147"/>
      <c r="M86" s="147"/>
      <c r="N86" s="147"/>
      <c r="O86" s="147"/>
      <c r="P86" s="147"/>
      <c r="Q86" s="147"/>
      <c r="R86" s="516">
        <f t="shared" si="21"/>
        <v>500364</v>
      </c>
      <c r="S86" s="147">
        <v>500364</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v>0</v>
      </c>
      <c r="D88" s="147"/>
      <c r="E88" s="147">
        <f t="shared" ref="E88:E93" si="22">C88</f>
        <v>0</v>
      </c>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430000</v>
      </c>
      <c r="C89" s="147">
        <v>430000</v>
      </c>
      <c r="D89" s="147"/>
      <c r="E89" s="147">
        <f t="shared" si="22"/>
        <v>430000</v>
      </c>
      <c r="F89" s="147"/>
      <c r="G89" s="147"/>
      <c r="H89" s="147"/>
      <c r="I89" s="147"/>
      <c r="J89" s="147"/>
      <c r="K89" s="147"/>
      <c r="L89" s="147"/>
      <c r="M89" s="147"/>
      <c r="N89" s="147"/>
      <c r="O89" s="147"/>
      <c r="P89" s="147"/>
      <c r="Q89" s="147"/>
      <c r="R89" s="516">
        <f t="shared" si="21"/>
        <v>430000</v>
      </c>
      <c r="S89" s="147">
        <v>430000</v>
      </c>
      <c r="T89" s="147"/>
      <c r="U89" s="143"/>
    </row>
    <row r="90" spans="1:21" s="144" customFormat="1">
      <c r="A90" s="145" t="s">
        <v>773</v>
      </c>
      <c r="B90" s="146">
        <f t="shared" si="20"/>
        <v>7500</v>
      </c>
      <c r="C90" s="147">
        <v>7500</v>
      </c>
      <c r="D90" s="147"/>
      <c r="E90" s="147">
        <f t="shared" si="22"/>
        <v>7500</v>
      </c>
      <c r="F90" s="147"/>
      <c r="G90" s="147"/>
      <c r="H90" s="147"/>
      <c r="I90" s="147"/>
      <c r="J90" s="147"/>
      <c r="K90" s="147"/>
      <c r="L90" s="147"/>
      <c r="M90" s="147"/>
      <c r="N90" s="147"/>
      <c r="O90" s="147"/>
      <c r="P90" s="147"/>
      <c r="Q90" s="147"/>
      <c r="R90" s="516">
        <f t="shared" si="21"/>
        <v>7500</v>
      </c>
      <c r="S90" s="147">
        <v>7500</v>
      </c>
      <c r="T90" s="147"/>
      <c r="U90" s="143"/>
    </row>
    <row r="91" spans="1:21" s="144" customFormat="1">
      <c r="A91" s="145" t="s">
        <v>372</v>
      </c>
      <c r="B91" s="146">
        <f t="shared" si="20"/>
        <v>15000</v>
      </c>
      <c r="C91" s="147">
        <v>15000</v>
      </c>
      <c r="D91" s="147"/>
      <c r="E91" s="147">
        <f t="shared" si="22"/>
        <v>15000</v>
      </c>
      <c r="F91" s="147"/>
      <c r="G91" s="147"/>
      <c r="H91" s="147"/>
      <c r="I91" s="147"/>
      <c r="J91" s="147"/>
      <c r="K91" s="147"/>
      <c r="L91" s="147"/>
      <c r="M91" s="147"/>
      <c r="N91" s="147"/>
      <c r="O91" s="147"/>
      <c r="P91" s="147"/>
      <c r="Q91" s="147"/>
      <c r="R91" s="516">
        <f t="shared" si="21"/>
        <v>15000</v>
      </c>
      <c r="S91" s="147">
        <v>15000</v>
      </c>
      <c r="T91" s="147"/>
      <c r="U91" s="143"/>
    </row>
    <row r="92" spans="1:21" s="144" customFormat="1">
      <c r="A92" s="283" t="s">
        <v>1211</v>
      </c>
      <c r="B92" s="146">
        <f t="shared" si="20"/>
        <v>46000</v>
      </c>
      <c r="C92" s="147">
        <v>46000</v>
      </c>
      <c r="D92" s="147"/>
      <c r="E92" s="147">
        <f t="shared" si="22"/>
        <v>46000</v>
      </c>
      <c r="F92" s="147"/>
      <c r="G92" s="147"/>
      <c r="H92" s="147"/>
      <c r="I92" s="147"/>
      <c r="J92" s="147"/>
      <c r="K92" s="147"/>
      <c r="L92" s="147"/>
      <c r="M92" s="147"/>
      <c r="N92" s="147"/>
      <c r="O92" s="147"/>
      <c r="P92" s="147"/>
      <c r="Q92" s="147"/>
      <c r="R92" s="516">
        <f t="shared" si="21"/>
        <v>46000</v>
      </c>
      <c r="S92" s="147">
        <v>46000</v>
      </c>
      <c r="T92" s="147"/>
      <c r="U92" s="143"/>
    </row>
    <row r="93" spans="1:21" s="144" customFormat="1">
      <c r="A93" s="1149" t="s">
        <v>2719</v>
      </c>
      <c r="B93" s="146">
        <f t="shared" si="20"/>
        <v>289230</v>
      </c>
      <c r="C93" s="147">
        <v>289230</v>
      </c>
      <c r="D93" s="147"/>
      <c r="E93" s="147">
        <f t="shared" si="22"/>
        <v>289230</v>
      </c>
      <c r="F93" s="147"/>
      <c r="G93" s="147"/>
      <c r="H93" s="147"/>
      <c r="I93" s="147"/>
      <c r="J93" s="147"/>
      <c r="K93" s="147"/>
      <c r="L93" s="147"/>
      <c r="M93" s="147"/>
      <c r="N93" s="147"/>
      <c r="O93" s="147"/>
      <c r="P93" s="147"/>
      <c r="Q93" s="147"/>
      <c r="R93" s="516">
        <f t="shared" si="21"/>
        <v>289230</v>
      </c>
      <c r="S93" s="147">
        <v>32137</v>
      </c>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8329837</v>
      </c>
      <c r="C96" s="146">
        <f t="shared" ref="C96:R96" si="23">SUM(C83:C95)</f>
        <v>8329837</v>
      </c>
      <c r="D96" s="146">
        <f t="shared" si="23"/>
        <v>0</v>
      </c>
      <c r="E96" s="146">
        <f t="shared" si="23"/>
        <v>2275291</v>
      </c>
      <c r="F96" s="146">
        <f t="shared" si="23"/>
        <v>0</v>
      </c>
      <c r="G96" s="146">
        <f t="shared" si="23"/>
        <v>0</v>
      </c>
      <c r="H96" s="146">
        <f t="shared" si="23"/>
        <v>0</v>
      </c>
      <c r="I96" s="146">
        <f t="shared" si="23"/>
        <v>0</v>
      </c>
      <c r="J96" s="146">
        <f t="shared" si="23"/>
        <v>0</v>
      </c>
      <c r="K96" s="146">
        <f t="shared" si="23"/>
        <v>6054546</v>
      </c>
      <c r="L96" s="146">
        <f t="shared" si="23"/>
        <v>0</v>
      </c>
      <c r="M96" s="146">
        <f t="shared" si="23"/>
        <v>0</v>
      </c>
      <c r="N96" s="146">
        <f t="shared" si="23"/>
        <v>0</v>
      </c>
      <c r="O96" s="146">
        <f t="shared" si="23"/>
        <v>0</v>
      </c>
      <c r="P96" s="146">
        <f t="shared" si="23"/>
        <v>0</v>
      </c>
      <c r="Q96" s="146">
        <f t="shared" si="23"/>
        <v>0</v>
      </c>
      <c r="R96" s="342">
        <f t="shared" si="23"/>
        <v>8329837</v>
      </c>
      <c r="S96" s="150">
        <f>SUM(S84:S87,S89:S95)</f>
        <v>7878795</v>
      </c>
      <c r="T96" s="146">
        <f>SUM(T84:T87,T89:T95)</f>
        <v>0</v>
      </c>
      <c r="U96" s="143"/>
    </row>
    <row r="97" spans="1:21" s="144" customFormat="1">
      <c r="A97" s="149" t="s">
        <v>775</v>
      </c>
      <c r="B97" s="146">
        <f>SUM(C97:D97)</f>
        <v>101357672</v>
      </c>
      <c r="C97" s="146">
        <f t="shared" ref="C97:R97" si="24">SUM(C63+C70+C77+C81+C96)</f>
        <v>101357672</v>
      </c>
      <c r="D97" s="146">
        <f t="shared" si="24"/>
        <v>0</v>
      </c>
      <c r="E97" s="146">
        <f t="shared" si="24"/>
        <v>32757572</v>
      </c>
      <c r="F97" s="146">
        <f t="shared" si="24"/>
        <v>41800000</v>
      </c>
      <c r="G97" s="146">
        <f t="shared" si="24"/>
        <v>12200000</v>
      </c>
      <c r="H97" s="146">
        <f t="shared" si="24"/>
        <v>100</v>
      </c>
      <c r="I97" s="146">
        <f t="shared" si="24"/>
        <v>0</v>
      </c>
      <c r="J97" s="146">
        <f t="shared" si="24"/>
        <v>0</v>
      </c>
      <c r="K97" s="146">
        <f t="shared" si="24"/>
        <v>14600000</v>
      </c>
      <c r="L97" s="146">
        <f t="shared" si="24"/>
        <v>0</v>
      </c>
      <c r="M97" s="146">
        <f t="shared" si="24"/>
        <v>0</v>
      </c>
      <c r="N97" s="146">
        <f t="shared" si="24"/>
        <v>0</v>
      </c>
      <c r="O97" s="146">
        <f t="shared" si="24"/>
        <v>0</v>
      </c>
      <c r="P97" s="146">
        <f t="shared" si="24"/>
        <v>0</v>
      </c>
      <c r="Q97" s="146">
        <f t="shared" si="24"/>
        <v>0</v>
      </c>
      <c r="R97" s="146">
        <f t="shared" si="24"/>
        <v>101357672</v>
      </c>
      <c r="S97" s="146">
        <f>SUM(S63+S70+S81+S96)</f>
        <v>91191615</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12558999</v>
      </c>
      <c r="C99" s="979">
        <v>12558999</v>
      </c>
      <c r="D99" s="979"/>
      <c r="E99" s="979">
        <f>C99-SUM(I99:J99)</f>
        <v>2194480</v>
      </c>
      <c r="F99" s="147"/>
      <c r="G99" s="147"/>
      <c r="H99" s="147"/>
      <c r="I99" s="147">
        <v>8483325</v>
      </c>
      <c r="J99" s="147">
        <v>1881194</v>
      </c>
      <c r="K99" s="147"/>
      <c r="L99" s="147"/>
      <c r="M99" s="147"/>
      <c r="N99" s="147"/>
      <c r="O99" s="147"/>
      <c r="P99" s="147"/>
      <c r="Q99" s="147"/>
      <c r="R99" s="516">
        <f>SUM(E99:Q99)</f>
        <v>12558999</v>
      </c>
      <c r="S99" s="147">
        <v>12558999</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1119743</v>
      </c>
      <c r="C102" s="147">
        <v>1119743</v>
      </c>
      <c r="D102" s="147"/>
      <c r="E102" s="147">
        <f>C102</f>
        <v>1119743</v>
      </c>
      <c r="F102" s="147"/>
      <c r="G102" s="147"/>
      <c r="H102" s="147"/>
      <c r="I102" s="147"/>
      <c r="J102" s="147"/>
      <c r="K102" s="147"/>
      <c r="L102" s="147"/>
      <c r="M102" s="147"/>
      <c r="N102" s="147"/>
      <c r="O102" s="147"/>
      <c r="P102" s="147"/>
      <c r="Q102" s="147"/>
      <c r="R102" s="516">
        <f>SUM(E102:Q102)</f>
        <v>1119743</v>
      </c>
      <c r="S102" s="147">
        <v>1119743</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13678742</v>
      </c>
      <c r="C104" s="146">
        <f>SUM(C99:C103)</f>
        <v>13678742</v>
      </c>
      <c r="D104" s="146">
        <f t="shared" ref="D104:T104" si="25">SUM(D99:D103)</f>
        <v>0</v>
      </c>
      <c r="E104" s="146">
        <f t="shared" si="25"/>
        <v>3314223</v>
      </c>
      <c r="F104" s="146">
        <f t="shared" si="25"/>
        <v>0</v>
      </c>
      <c r="G104" s="146">
        <f t="shared" si="25"/>
        <v>0</v>
      </c>
      <c r="H104" s="146">
        <f t="shared" si="25"/>
        <v>0</v>
      </c>
      <c r="I104" s="146">
        <f t="shared" si="25"/>
        <v>8483325</v>
      </c>
      <c r="J104" s="146">
        <f t="shared" si="25"/>
        <v>1881194</v>
      </c>
      <c r="K104" s="146">
        <f t="shared" si="25"/>
        <v>0</v>
      </c>
      <c r="L104" s="146">
        <f t="shared" si="25"/>
        <v>0</v>
      </c>
      <c r="M104" s="146">
        <f t="shared" si="25"/>
        <v>0</v>
      </c>
      <c r="N104" s="146">
        <f t="shared" si="25"/>
        <v>0</v>
      </c>
      <c r="O104" s="146">
        <f t="shared" si="25"/>
        <v>0</v>
      </c>
      <c r="P104" s="146">
        <f t="shared" si="25"/>
        <v>0</v>
      </c>
      <c r="Q104" s="146">
        <f t="shared" si="25"/>
        <v>0</v>
      </c>
      <c r="R104" s="342">
        <f t="shared" si="25"/>
        <v>13678742</v>
      </c>
      <c r="S104" s="150">
        <f t="shared" si="25"/>
        <v>13678742</v>
      </c>
      <c r="T104" s="150">
        <f t="shared" si="25"/>
        <v>0</v>
      </c>
      <c r="U104" s="143"/>
    </row>
    <row r="105" spans="1:21" s="144" customFormat="1">
      <c r="A105" s="149" t="s">
        <v>780</v>
      </c>
      <c r="B105" s="150">
        <f>SUM(C105:D105)</f>
        <v>115036414</v>
      </c>
      <c r="C105" s="150">
        <f t="shared" ref="C105:R105" si="26">SUM(C97+C104)</f>
        <v>115036414</v>
      </c>
      <c r="D105" s="150">
        <f t="shared" si="26"/>
        <v>0</v>
      </c>
      <c r="E105" s="150">
        <f t="shared" si="26"/>
        <v>36071795</v>
      </c>
      <c r="F105" s="150">
        <f t="shared" si="26"/>
        <v>41800000</v>
      </c>
      <c r="G105" s="150">
        <f t="shared" si="26"/>
        <v>12200000</v>
      </c>
      <c r="H105" s="150">
        <f t="shared" si="26"/>
        <v>100</v>
      </c>
      <c r="I105" s="150">
        <f t="shared" si="26"/>
        <v>8483325</v>
      </c>
      <c r="J105" s="150">
        <f t="shared" si="26"/>
        <v>1881194</v>
      </c>
      <c r="K105" s="150">
        <f t="shared" si="26"/>
        <v>14600000</v>
      </c>
      <c r="L105" s="150">
        <f t="shared" si="26"/>
        <v>0</v>
      </c>
      <c r="M105" s="150">
        <f t="shared" si="26"/>
        <v>0</v>
      </c>
      <c r="N105" s="150">
        <f t="shared" si="26"/>
        <v>0</v>
      </c>
      <c r="O105" s="150">
        <f t="shared" si="26"/>
        <v>0</v>
      </c>
      <c r="P105" s="150">
        <f t="shared" si="26"/>
        <v>0</v>
      </c>
      <c r="Q105" s="150">
        <f t="shared" si="26"/>
        <v>0</v>
      </c>
      <c r="R105" s="342">
        <f t="shared" si="26"/>
        <v>115036414</v>
      </c>
      <c r="S105" s="150">
        <f>S97+S104</f>
        <v>104870357</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104870357</v>
      </c>
      <c r="T107" s="150">
        <f>T105+T106</f>
        <v>0</v>
      </c>
    </row>
    <row r="108" spans="1:21" s="189" customFormat="1">
      <c r="A108" s="162" t="s">
        <v>879</v>
      </c>
      <c r="B108" s="157"/>
      <c r="C108" s="157"/>
      <c r="D108" s="157"/>
      <c r="E108" s="301">
        <f>Application!AO640</f>
        <v>36071795</v>
      </c>
      <c r="F108" s="301">
        <f>Application!AO627</f>
        <v>41800000</v>
      </c>
      <c r="G108" s="301">
        <f>Application!AO628</f>
        <v>12200000</v>
      </c>
      <c r="H108" s="301">
        <f>Application!AO629</f>
        <v>100</v>
      </c>
      <c r="I108" s="301">
        <f>Application!AO630</f>
        <v>8483325</v>
      </c>
      <c r="J108" s="301">
        <f>Application!AO631</f>
        <v>1881194</v>
      </c>
      <c r="K108" s="301">
        <f>Application!AO632</f>
        <v>14600000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4" t="s">
        <v>990</v>
      </c>
      <c r="E122" s="1874"/>
      <c r="F122" s="187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558"/>
      <c r="F123" s="1558"/>
      <c r="G123" s="1558"/>
      <c r="H123" s="1558"/>
      <c r="I123" s="1558"/>
      <c r="J123" s="1558"/>
      <c r="K123" s="1558"/>
      <c r="L123" s="1558"/>
      <c r="M123" s="1558"/>
      <c r="N123" s="1558"/>
      <c r="O123" s="1558"/>
      <c r="P123" s="1558"/>
      <c r="Q123" s="1558"/>
      <c r="R123" s="1558"/>
      <c r="S123" s="1558"/>
      <c r="T123" s="324"/>
      <c r="U123" s="326"/>
    </row>
    <row r="124" spans="1:21" ht="12.5">
      <c r="A124" s="117" t="s">
        <v>992</v>
      </c>
      <c r="B124" s="333"/>
      <c r="C124" s="117"/>
      <c r="D124" s="1558"/>
      <c r="E124" s="1558"/>
      <c r="F124" s="1558"/>
      <c r="G124" s="1558"/>
      <c r="H124" s="1558"/>
      <c r="I124" s="1558"/>
      <c r="J124" s="1558"/>
      <c r="K124" s="1558"/>
      <c r="L124" s="1558"/>
      <c r="M124" s="1558"/>
      <c r="N124" s="1558"/>
      <c r="O124" s="1558"/>
      <c r="P124" s="1558"/>
      <c r="Q124" s="1558"/>
      <c r="R124" s="1558"/>
      <c r="S124" s="1558"/>
      <c r="T124" s="324"/>
      <c r="U124" s="326"/>
    </row>
    <row r="125" spans="1:21" ht="12.5">
      <c r="A125" s="117" t="s">
        <v>993</v>
      </c>
      <c r="B125" s="333"/>
      <c r="C125" s="117"/>
      <c r="D125" s="1558"/>
      <c r="E125" s="1558"/>
      <c r="F125" s="1558"/>
      <c r="G125" s="1558"/>
      <c r="H125" s="1558"/>
      <c r="I125" s="1558"/>
      <c r="J125" s="1558"/>
      <c r="K125" s="1558"/>
      <c r="L125" s="1558"/>
      <c r="M125" s="1558"/>
      <c r="N125" s="1558"/>
      <c r="O125" s="1558"/>
      <c r="P125" s="1558"/>
      <c r="Q125" s="1558"/>
      <c r="R125" s="1558"/>
      <c r="S125" s="1558"/>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5">
      <c r="A129" s="117" t="s">
        <v>300</v>
      </c>
      <c r="B129" s="333"/>
      <c r="C129" s="117"/>
      <c r="D129" s="1873" t="s">
        <v>997</v>
      </c>
      <c r="E129" s="1873"/>
      <c r="F129" s="1873"/>
      <c r="G129" s="1873"/>
      <c r="H129" s="187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3">
      <c r="A139" s="1864" t="s">
        <v>1004</v>
      </c>
      <c r="B139" s="1864"/>
      <c r="C139" s="1864"/>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115" zoomScaleNormal="115" workbookViewId="0">
      <selection activeCell="A2" sqref="A2"/>
    </sheetView>
  </sheetViews>
  <sheetFormatPr defaultColWidth="0" defaultRowHeight="11.5" zeroHeight="1"/>
  <cols>
    <col min="1" max="1" width="32.7265625" style="397" customWidth="1"/>
    <col min="2" max="3" width="12.26953125" style="393" customWidth="1"/>
    <col min="4" max="6" width="12.7265625" style="393" customWidth="1"/>
    <col min="7" max="9" width="12.26953125" style="393" customWidth="1"/>
    <col min="10" max="10" width="12.26953125" style="394" customWidth="1"/>
    <col min="11" max="11" width="8.7265625" style="395" hidden="1" customWidth="1"/>
    <col min="12" max="21" width="8.7265625" style="393" hidden="1" customWidth="1"/>
    <col min="22" max="23" width="0" style="393" hidden="1"/>
    <col min="24" max="256" width="8.7265625" style="393" hidden="1"/>
    <col min="257" max="257" width="32.7265625" style="393" hidden="1" customWidth="1"/>
    <col min="258" max="259" width="12.26953125" style="393" hidden="1" customWidth="1"/>
    <col min="260" max="260" width="12.7265625" style="393" hidden="1" customWidth="1"/>
    <col min="261" max="266" width="12.26953125" style="393" hidden="1" customWidth="1"/>
    <col min="267" max="277" width="8.7265625" style="393" hidden="1" customWidth="1"/>
    <col min="278" max="512" width="8.7265625" style="393" hidden="1"/>
    <col min="513" max="513" width="32.7265625" style="393" hidden="1" customWidth="1"/>
    <col min="514" max="515" width="12.26953125" style="393" hidden="1" customWidth="1"/>
    <col min="516" max="516" width="12.7265625" style="393" hidden="1" customWidth="1"/>
    <col min="517" max="522" width="12.26953125" style="393" hidden="1" customWidth="1"/>
    <col min="523" max="533" width="8.7265625" style="393" hidden="1" customWidth="1"/>
    <col min="534" max="768" width="8.7265625" style="393" hidden="1"/>
    <col min="769" max="769" width="32.7265625" style="393" hidden="1" customWidth="1"/>
    <col min="770" max="771" width="12.26953125" style="393" hidden="1" customWidth="1"/>
    <col min="772" max="772" width="12.7265625" style="393" hidden="1" customWidth="1"/>
    <col min="773" max="778" width="12.26953125" style="393" hidden="1" customWidth="1"/>
    <col min="779" max="789" width="8.7265625" style="393" hidden="1" customWidth="1"/>
    <col min="790" max="1024" width="8.7265625" style="393" hidden="1"/>
    <col min="1025" max="1025" width="32.7265625" style="393" hidden="1" customWidth="1"/>
    <col min="1026" max="1027" width="12.26953125" style="393" hidden="1" customWidth="1"/>
    <col min="1028" max="1028" width="12.7265625" style="393" hidden="1" customWidth="1"/>
    <col min="1029" max="1034" width="12.26953125" style="393" hidden="1" customWidth="1"/>
    <col min="1035" max="1045" width="8.7265625" style="393" hidden="1" customWidth="1"/>
    <col min="1046" max="1280" width="8.7265625" style="393" hidden="1"/>
    <col min="1281" max="1281" width="32.7265625" style="393" hidden="1" customWidth="1"/>
    <col min="1282" max="1283" width="12.26953125" style="393" hidden="1" customWidth="1"/>
    <col min="1284" max="1284" width="12.7265625" style="393" hidden="1" customWidth="1"/>
    <col min="1285" max="1290" width="12.26953125" style="393" hidden="1" customWidth="1"/>
    <col min="1291" max="1301" width="8.7265625" style="393" hidden="1" customWidth="1"/>
    <col min="1302" max="1536" width="8.7265625" style="393" hidden="1"/>
    <col min="1537" max="1537" width="32.7265625" style="393" hidden="1" customWidth="1"/>
    <col min="1538" max="1539" width="12.26953125" style="393" hidden="1" customWidth="1"/>
    <col min="1540" max="1540" width="12.7265625" style="393" hidden="1" customWidth="1"/>
    <col min="1541" max="1546" width="12.26953125" style="393" hidden="1" customWidth="1"/>
    <col min="1547" max="1557" width="8.7265625" style="393" hidden="1" customWidth="1"/>
    <col min="1558" max="1792" width="8.7265625" style="393" hidden="1"/>
    <col min="1793" max="1793" width="32.7265625" style="393" hidden="1" customWidth="1"/>
    <col min="1794" max="1795" width="12.26953125" style="393" hidden="1" customWidth="1"/>
    <col min="1796" max="1796" width="12.7265625" style="393" hidden="1" customWidth="1"/>
    <col min="1797" max="1802" width="12.26953125" style="393" hidden="1" customWidth="1"/>
    <col min="1803" max="1813" width="8.7265625" style="393" hidden="1" customWidth="1"/>
    <col min="1814" max="2048" width="8.7265625" style="393" hidden="1"/>
    <col min="2049" max="2049" width="32.7265625" style="393" hidden="1" customWidth="1"/>
    <col min="2050" max="2051" width="12.26953125" style="393" hidden="1" customWidth="1"/>
    <col min="2052" max="2052" width="12.7265625" style="393" hidden="1" customWidth="1"/>
    <col min="2053" max="2058" width="12.26953125" style="393" hidden="1" customWidth="1"/>
    <col min="2059" max="2069" width="8.7265625" style="393" hidden="1" customWidth="1"/>
    <col min="2070" max="2304" width="8.7265625" style="393" hidden="1"/>
    <col min="2305" max="2305" width="32.7265625" style="393" hidden="1" customWidth="1"/>
    <col min="2306" max="2307" width="12.26953125" style="393" hidden="1" customWidth="1"/>
    <col min="2308" max="2308" width="12.7265625" style="393" hidden="1" customWidth="1"/>
    <col min="2309" max="2314" width="12.26953125" style="393" hidden="1" customWidth="1"/>
    <col min="2315" max="2325" width="8.7265625" style="393" hidden="1" customWidth="1"/>
    <col min="2326" max="2560" width="8.7265625" style="393" hidden="1"/>
    <col min="2561" max="2561" width="32.7265625" style="393" hidden="1" customWidth="1"/>
    <col min="2562" max="2563" width="12.26953125" style="393" hidden="1" customWidth="1"/>
    <col min="2564" max="2564" width="12.7265625" style="393" hidden="1" customWidth="1"/>
    <col min="2565" max="2570" width="12.26953125" style="393" hidden="1" customWidth="1"/>
    <col min="2571" max="2581" width="8.7265625" style="393" hidden="1" customWidth="1"/>
    <col min="2582" max="2816" width="8.7265625" style="393" hidden="1"/>
    <col min="2817" max="2817" width="32.7265625" style="393" hidden="1" customWidth="1"/>
    <col min="2818" max="2819" width="12.26953125" style="393" hidden="1" customWidth="1"/>
    <col min="2820" max="2820" width="12.7265625" style="393" hidden="1" customWidth="1"/>
    <col min="2821" max="2826" width="12.26953125" style="393" hidden="1" customWidth="1"/>
    <col min="2827" max="2837" width="8.7265625" style="393" hidden="1" customWidth="1"/>
    <col min="2838" max="3072" width="8.7265625" style="393" hidden="1"/>
    <col min="3073" max="3073" width="32.7265625" style="393" hidden="1" customWidth="1"/>
    <col min="3074" max="3075" width="12.26953125" style="393" hidden="1" customWidth="1"/>
    <col min="3076" max="3076" width="12.7265625" style="393" hidden="1" customWidth="1"/>
    <col min="3077" max="3082" width="12.26953125" style="393" hidden="1" customWidth="1"/>
    <col min="3083" max="3093" width="8.7265625" style="393" hidden="1" customWidth="1"/>
    <col min="3094" max="3328" width="8.7265625" style="393" hidden="1"/>
    <col min="3329" max="3329" width="32.7265625" style="393" hidden="1" customWidth="1"/>
    <col min="3330" max="3331" width="12.26953125" style="393" hidden="1" customWidth="1"/>
    <col min="3332" max="3332" width="12.7265625" style="393" hidden="1" customWidth="1"/>
    <col min="3333" max="3338" width="12.26953125" style="393" hidden="1" customWidth="1"/>
    <col min="3339" max="3349" width="8.7265625" style="393" hidden="1" customWidth="1"/>
    <col min="3350" max="3584" width="8.7265625" style="393" hidden="1"/>
    <col min="3585" max="3585" width="32.7265625" style="393" hidden="1" customWidth="1"/>
    <col min="3586" max="3587" width="12.26953125" style="393" hidden="1" customWidth="1"/>
    <col min="3588" max="3588" width="12.7265625" style="393" hidden="1" customWidth="1"/>
    <col min="3589" max="3594" width="12.26953125" style="393" hidden="1" customWidth="1"/>
    <col min="3595" max="3605" width="8.7265625" style="393" hidden="1" customWidth="1"/>
    <col min="3606" max="3840" width="8.7265625" style="393" hidden="1"/>
    <col min="3841" max="3841" width="32.7265625" style="393" hidden="1" customWidth="1"/>
    <col min="3842" max="3843" width="12.26953125" style="393" hidden="1" customWidth="1"/>
    <col min="3844" max="3844" width="12.7265625" style="393" hidden="1" customWidth="1"/>
    <col min="3845" max="3850" width="12.26953125" style="393" hidden="1" customWidth="1"/>
    <col min="3851" max="3861" width="8.7265625" style="393" hidden="1" customWidth="1"/>
    <col min="3862" max="4096" width="8.7265625" style="393" hidden="1"/>
    <col min="4097" max="4097" width="32.7265625" style="393" hidden="1" customWidth="1"/>
    <col min="4098" max="4099" width="12.26953125" style="393" hidden="1" customWidth="1"/>
    <col min="4100" max="4100" width="12.7265625" style="393" hidden="1" customWidth="1"/>
    <col min="4101" max="4106" width="12.26953125" style="393" hidden="1" customWidth="1"/>
    <col min="4107" max="4117" width="8.7265625" style="393" hidden="1" customWidth="1"/>
    <col min="4118" max="4352" width="8.7265625" style="393" hidden="1"/>
    <col min="4353" max="4353" width="32.7265625" style="393" hidden="1" customWidth="1"/>
    <col min="4354" max="4355" width="12.26953125" style="393" hidden="1" customWidth="1"/>
    <col min="4356" max="4356" width="12.7265625" style="393" hidden="1" customWidth="1"/>
    <col min="4357" max="4362" width="12.26953125" style="393" hidden="1" customWidth="1"/>
    <col min="4363" max="4373" width="8.7265625" style="393" hidden="1" customWidth="1"/>
    <col min="4374" max="4608" width="8.7265625" style="393" hidden="1"/>
    <col min="4609" max="4609" width="32.7265625" style="393" hidden="1" customWidth="1"/>
    <col min="4610" max="4611" width="12.26953125" style="393" hidden="1" customWidth="1"/>
    <col min="4612" max="4612" width="12.7265625" style="393" hidden="1" customWidth="1"/>
    <col min="4613" max="4618" width="12.26953125" style="393" hidden="1" customWidth="1"/>
    <col min="4619" max="4629" width="8.7265625" style="393" hidden="1" customWidth="1"/>
    <col min="4630" max="4864" width="8.7265625" style="393" hidden="1"/>
    <col min="4865" max="4865" width="32.7265625" style="393" hidden="1" customWidth="1"/>
    <col min="4866" max="4867" width="12.26953125" style="393" hidden="1" customWidth="1"/>
    <col min="4868" max="4868" width="12.7265625" style="393" hidden="1" customWidth="1"/>
    <col min="4869" max="4874" width="12.26953125" style="393" hidden="1" customWidth="1"/>
    <col min="4875" max="4885" width="8.7265625" style="393" hidden="1" customWidth="1"/>
    <col min="4886" max="5120" width="8.7265625" style="393" hidden="1"/>
    <col min="5121" max="5121" width="32.7265625" style="393" hidden="1" customWidth="1"/>
    <col min="5122" max="5123" width="12.26953125" style="393" hidden="1" customWidth="1"/>
    <col min="5124" max="5124" width="12.7265625" style="393" hidden="1" customWidth="1"/>
    <col min="5125" max="5130" width="12.26953125" style="393" hidden="1" customWidth="1"/>
    <col min="5131" max="5141" width="8.7265625" style="393" hidden="1" customWidth="1"/>
    <col min="5142" max="5376" width="8.7265625" style="393" hidden="1"/>
    <col min="5377" max="5377" width="32.7265625" style="393" hidden="1" customWidth="1"/>
    <col min="5378" max="5379" width="12.26953125" style="393" hidden="1" customWidth="1"/>
    <col min="5380" max="5380" width="12.7265625" style="393" hidden="1" customWidth="1"/>
    <col min="5381" max="5386" width="12.26953125" style="393" hidden="1" customWidth="1"/>
    <col min="5387" max="5397" width="8.7265625" style="393" hidden="1" customWidth="1"/>
    <col min="5398" max="5632" width="8.7265625" style="393" hidden="1"/>
    <col min="5633" max="5633" width="32.7265625" style="393" hidden="1" customWidth="1"/>
    <col min="5634" max="5635" width="12.26953125" style="393" hidden="1" customWidth="1"/>
    <col min="5636" max="5636" width="12.7265625" style="393" hidden="1" customWidth="1"/>
    <col min="5637" max="5642" width="12.26953125" style="393" hidden="1" customWidth="1"/>
    <col min="5643" max="5653" width="8.7265625" style="393" hidden="1" customWidth="1"/>
    <col min="5654" max="5888" width="8.7265625" style="393" hidden="1"/>
    <col min="5889" max="5889" width="32.7265625" style="393" hidden="1" customWidth="1"/>
    <col min="5890" max="5891" width="12.26953125" style="393" hidden="1" customWidth="1"/>
    <col min="5892" max="5892" width="12.7265625" style="393" hidden="1" customWidth="1"/>
    <col min="5893" max="5898" width="12.26953125" style="393" hidden="1" customWidth="1"/>
    <col min="5899" max="5909" width="8.7265625" style="393" hidden="1" customWidth="1"/>
    <col min="5910" max="6144" width="8.7265625" style="393" hidden="1"/>
    <col min="6145" max="6145" width="32.7265625" style="393" hidden="1" customWidth="1"/>
    <col min="6146" max="6147" width="12.26953125" style="393" hidden="1" customWidth="1"/>
    <col min="6148" max="6148" width="12.7265625" style="393" hidden="1" customWidth="1"/>
    <col min="6149" max="6154" width="12.26953125" style="393" hidden="1" customWidth="1"/>
    <col min="6155" max="6165" width="8.7265625" style="393" hidden="1" customWidth="1"/>
    <col min="6166" max="6400" width="8.7265625" style="393" hidden="1"/>
    <col min="6401" max="6401" width="32.7265625" style="393" hidden="1" customWidth="1"/>
    <col min="6402" max="6403" width="12.26953125" style="393" hidden="1" customWidth="1"/>
    <col min="6404" max="6404" width="12.7265625" style="393" hidden="1" customWidth="1"/>
    <col min="6405" max="6410" width="12.26953125" style="393" hidden="1" customWidth="1"/>
    <col min="6411" max="6421" width="8.7265625" style="393" hidden="1" customWidth="1"/>
    <col min="6422" max="6656" width="8.7265625" style="393" hidden="1"/>
    <col min="6657" max="6657" width="32.7265625" style="393" hidden="1" customWidth="1"/>
    <col min="6658" max="6659" width="12.26953125" style="393" hidden="1" customWidth="1"/>
    <col min="6660" max="6660" width="12.7265625" style="393" hidden="1" customWidth="1"/>
    <col min="6661" max="6666" width="12.26953125" style="393" hidden="1" customWidth="1"/>
    <col min="6667" max="6677" width="8.7265625" style="393" hidden="1" customWidth="1"/>
    <col min="6678" max="6912" width="8.7265625" style="393" hidden="1"/>
    <col min="6913" max="6913" width="32.7265625" style="393" hidden="1" customWidth="1"/>
    <col min="6914" max="6915" width="12.26953125" style="393" hidden="1" customWidth="1"/>
    <col min="6916" max="6916" width="12.7265625" style="393" hidden="1" customWidth="1"/>
    <col min="6917" max="6922" width="12.26953125" style="393" hidden="1" customWidth="1"/>
    <col min="6923" max="6933" width="8.7265625" style="393" hidden="1" customWidth="1"/>
    <col min="6934" max="7168" width="8.7265625" style="393" hidden="1"/>
    <col min="7169" max="7169" width="32.7265625" style="393" hidden="1" customWidth="1"/>
    <col min="7170" max="7171" width="12.26953125" style="393" hidden="1" customWidth="1"/>
    <col min="7172" max="7172" width="12.7265625" style="393" hidden="1" customWidth="1"/>
    <col min="7173" max="7178" width="12.26953125" style="393" hidden="1" customWidth="1"/>
    <col min="7179" max="7189" width="8.7265625" style="393" hidden="1" customWidth="1"/>
    <col min="7190" max="7424" width="8.7265625" style="393" hidden="1"/>
    <col min="7425" max="7425" width="32.7265625" style="393" hidden="1" customWidth="1"/>
    <col min="7426" max="7427" width="12.26953125" style="393" hidden="1" customWidth="1"/>
    <col min="7428" max="7428" width="12.7265625" style="393" hidden="1" customWidth="1"/>
    <col min="7429" max="7434" width="12.26953125" style="393" hidden="1" customWidth="1"/>
    <col min="7435" max="7445" width="8.7265625" style="393" hidden="1" customWidth="1"/>
    <col min="7446" max="7680" width="8.7265625" style="393" hidden="1"/>
    <col min="7681" max="7681" width="32.7265625" style="393" hidden="1" customWidth="1"/>
    <col min="7682" max="7683" width="12.26953125" style="393" hidden="1" customWidth="1"/>
    <col min="7684" max="7684" width="12.7265625" style="393" hidden="1" customWidth="1"/>
    <col min="7685" max="7690" width="12.26953125" style="393" hidden="1" customWidth="1"/>
    <col min="7691" max="7701" width="8.7265625" style="393" hidden="1" customWidth="1"/>
    <col min="7702" max="7936" width="8.7265625" style="393" hidden="1"/>
    <col min="7937" max="7937" width="32.7265625" style="393" hidden="1" customWidth="1"/>
    <col min="7938" max="7939" width="12.26953125" style="393" hidden="1" customWidth="1"/>
    <col min="7940" max="7940" width="12.7265625" style="393" hidden="1" customWidth="1"/>
    <col min="7941" max="7946" width="12.26953125" style="393" hidden="1" customWidth="1"/>
    <col min="7947" max="7957" width="8.7265625" style="393" hidden="1" customWidth="1"/>
    <col min="7958" max="8192" width="8.7265625" style="393" hidden="1"/>
    <col min="8193" max="8193" width="32.7265625" style="393" hidden="1" customWidth="1"/>
    <col min="8194" max="8195" width="12.26953125" style="393" hidden="1" customWidth="1"/>
    <col min="8196" max="8196" width="12.7265625" style="393" hidden="1" customWidth="1"/>
    <col min="8197" max="8202" width="12.26953125" style="393" hidden="1" customWidth="1"/>
    <col min="8203" max="8213" width="8.7265625" style="393" hidden="1" customWidth="1"/>
    <col min="8214" max="8448" width="8.7265625" style="393" hidden="1"/>
    <col min="8449" max="8449" width="32.7265625" style="393" hidden="1" customWidth="1"/>
    <col min="8450" max="8451" width="12.26953125" style="393" hidden="1" customWidth="1"/>
    <col min="8452" max="8452" width="12.7265625" style="393" hidden="1" customWidth="1"/>
    <col min="8453" max="8458" width="12.26953125" style="393" hidden="1" customWidth="1"/>
    <col min="8459" max="8469" width="8.7265625" style="393" hidden="1" customWidth="1"/>
    <col min="8470" max="8704" width="8.7265625" style="393" hidden="1"/>
    <col min="8705" max="8705" width="32.7265625" style="393" hidden="1" customWidth="1"/>
    <col min="8706" max="8707" width="12.26953125" style="393" hidden="1" customWidth="1"/>
    <col min="8708" max="8708" width="12.7265625" style="393" hidden="1" customWidth="1"/>
    <col min="8709" max="8714" width="12.26953125" style="393" hidden="1" customWidth="1"/>
    <col min="8715" max="8725" width="8.7265625" style="393" hidden="1" customWidth="1"/>
    <col min="8726" max="8960" width="8.7265625" style="393" hidden="1"/>
    <col min="8961" max="8961" width="32.7265625" style="393" hidden="1" customWidth="1"/>
    <col min="8962" max="8963" width="12.26953125" style="393" hidden="1" customWidth="1"/>
    <col min="8964" max="8964" width="12.7265625" style="393" hidden="1" customWidth="1"/>
    <col min="8965" max="8970" width="12.26953125" style="393" hidden="1" customWidth="1"/>
    <col min="8971" max="8981" width="8.7265625" style="393" hidden="1" customWidth="1"/>
    <col min="8982" max="9216" width="8.7265625" style="393" hidden="1"/>
    <col min="9217" max="9217" width="32.7265625" style="393" hidden="1" customWidth="1"/>
    <col min="9218" max="9219" width="12.26953125" style="393" hidden="1" customWidth="1"/>
    <col min="9220" max="9220" width="12.7265625" style="393" hidden="1" customWidth="1"/>
    <col min="9221" max="9226" width="12.26953125" style="393" hidden="1" customWidth="1"/>
    <col min="9227" max="9237" width="8.7265625" style="393" hidden="1" customWidth="1"/>
    <col min="9238" max="9472" width="8.7265625" style="393" hidden="1"/>
    <col min="9473" max="9473" width="32.7265625" style="393" hidden="1" customWidth="1"/>
    <col min="9474" max="9475" width="12.26953125" style="393" hidden="1" customWidth="1"/>
    <col min="9476" max="9476" width="12.7265625" style="393" hidden="1" customWidth="1"/>
    <col min="9477" max="9482" width="12.26953125" style="393" hidden="1" customWidth="1"/>
    <col min="9483" max="9493" width="8.7265625" style="393" hidden="1" customWidth="1"/>
    <col min="9494" max="9728" width="8.7265625" style="393" hidden="1"/>
    <col min="9729" max="9729" width="32.7265625" style="393" hidden="1" customWidth="1"/>
    <col min="9730" max="9731" width="12.26953125" style="393" hidden="1" customWidth="1"/>
    <col min="9732" max="9732" width="12.7265625" style="393" hidden="1" customWidth="1"/>
    <col min="9733" max="9738" width="12.26953125" style="393" hidden="1" customWidth="1"/>
    <col min="9739" max="9749" width="8.7265625" style="393" hidden="1" customWidth="1"/>
    <col min="9750" max="9984" width="8.7265625" style="393" hidden="1"/>
    <col min="9985" max="9985" width="32.7265625" style="393" hidden="1" customWidth="1"/>
    <col min="9986" max="9987" width="12.26953125" style="393" hidden="1" customWidth="1"/>
    <col min="9988" max="9988" width="12.7265625" style="393" hidden="1" customWidth="1"/>
    <col min="9989" max="9994" width="12.26953125" style="393" hidden="1" customWidth="1"/>
    <col min="9995" max="10005" width="8.7265625" style="393" hidden="1" customWidth="1"/>
    <col min="10006" max="10240" width="8.7265625" style="393" hidden="1"/>
    <col min="10241" max="10241" width="32.7265625" style="393" hidden="1" customWidth="1"/>
    <col min="10242" max="10243" width="12.26953125" style="393" hidden="1" customWidth="1"/>
    <col min="10244" max="10244" width="12.7265625" style="393" hidden="1" customWidth="1"/>
    <col min="10245" max="10250" width="12.26953125" style="393" hidden="1" customWidth="1"/>
    <col min="10251" max="10261" width="8.7265625" style="393" hidden="1" customWidth="1"/>
    <col min="10262" max="10496" width="8.7265625" style="393" hidden="1"/>
    <col min="10497" max="10497" width="32.7265625" style="393" hidden="1" customWidth="1"/>
    <col min="10498" max="10499" width="12.26953125" style="393" hidden="1" customWidth="1"/>
    <col min="10500" max="10500" width="12.7265625" style="393" hidden="1" customWidth="1"/>
    <col min="10501" max="10506" width="12.26953125" style="393" hidden="1" customWidth="1"/>
    <col min="10507" max="10517" width="8.7265625" style="393" hidden="1" customWidth="1"/>
    <col min="10518" max="10752" width="8.7265625" style="393" hidden="1"/>
    <col min="10753" max="10753" width="32.7265625" style="393" hidden="1" customWidth="1"/>
    <col min="10754" max="10755" width="12.26953125" style="393" hidden="1" customWidth="1"/>
    <col min="10756" max="10756" width="12.7265625" style="393" hidden="1" customWidth="1"/>
    <col min="10757" max="10762" width="12.26953125" style="393" hidden="1" customWidth="1"/>
    <col min="10763" max="10773" width="8.7265625" style="393" hidden="1" customWidth="1"/>
    <col min="10774" max="11008" width="8.7265625" style="393" hidden="1"/>
    <col min="11009" max="11009" width="32.7265625" style="393" hidden="1" customWidth="1"/>
    <col min="11010" max="11011" width="12.26953125" style="393" hidden="1" customWidth="1"/>
    <col min="11012" max="11012" width="12.7265625" style="393" hidden="1" customWidth="1"/>
    <col min="11013" max="11018" width="12.26953125" style="393" hidden="1" customWidth="1"/>
    <col min="11019" max="11029" width="8.7265625" style="393" hidden="1" customWidth="1"/>
    <col min="11030" max="11264" width="8.7265625" style="393" hidden="1"/>
    <col min="11265" max="11265" width="32.7265625" style="393" hidden="1" customWidth="1"/>
    <col min="11266" max="11267" width="12.26953125" style="393" hidden="1" customWidth="1"/>
    <col min="11268" max="11268" width="12.7265625" style="393" hidden="1" customWidth="1"/>
    <col min="11269" max="11274" width="12.26953125" style="393" hidden="1" customWidth="1"/>
    <col min="11275" max="11285" width="8.7265625" style="393" hidden="1" customWidth="1"/>
    <col min="11286" max="11520" width="8.7265625" style="393" hidden="1"/>
    <col min="11521" max="11521" width="32.7265625" style="393" hidden="1" customWidth="1"/>
    <col min="11522" max="11523" width="12.26953125" style="393" hidden="1" customWidth="1"/>
    <col min="11524" max="11524" width="12.7265625" style="393" hidden="1" customWidth="1"/>
    <col min="11525" max="11530" width="12.26953125" style="393" hidden="1" customWidth="1"/>
    <col min="11531" max="11541" width="8.7265625" style="393" hidden="1" customWidth="1"/>
    <col min="11542" max="11776" width="8.7265625" style="393" hidden="1"/>
    <col min="11777" max="11777" width="32.7265625" style="393" hidden="1" customWidth="1"/>
    <col min="11778" max="11779" width="12.26953125" style="393" hidden="1" customWidth="1"/>
    <col min="11780" max="11780" width="12.7265625" style="393" hidden="1" customWidth="1"/>
    <col min="11781" max="11786" width="12.26953125" style="393" hidden="1" customWidth="1"/>
    <col min="11787" max="11797" width="8.7265625" style="393" hidden="1" customWidth="1"/>
    <col min="11798" max="12032" width="8.7265625" style="393" hidden="1"/>
    <col min="12033" max="12033" width="32.7265625" style="393" hidden="1" customWidth="1"/>
    <col min="12034" max="12035" width="12.26953125" style="393" hidden="1" customWidth="1"/>
    <col min="12036" max="12036" width="12.7265625" style="393" hidden="1" customWidth="1"/>
    <col min="12037" max="12042" width="12.26953125" style="393" hidden="1" customWidth="1"/>
    <col min="12043" max="12053" width="8.7265625" style="393" hidden="1" customWidth="1"/>
    <col min="12054" max="12288" width="8.7265625" style="393" hidden="1"/>
    <col min="12289" max="12289" width="32.7265625" style="393" hidden="1" customWidth="1"/>
    <col min="12290" max="12291" width="12.26953125" style="393" hidden="1" customWidth="1"/>
    <col min="12292" max="12292" width="12.7265625" style="393" hidden="1" customWidth="1"/>
    <col min="12293" max="12298" width="12.26953125" style="393" hidden="1" customWidth="1"/>
    <col min="12299" max="12309" width="8.7265625" style="393" hidden="1" customWidth="1"/>
    <col min="12310" max="12544" width="8.7265625" style="393" hidden="1"/>
    <col min="12545" max="12545" width="32.7265625" style="393" hidden="1" customWidth="1"/>
    <col min="12546" max="12547" width="12.26953125" style="393" hidden="1" customWidth="1"/>
    <col min="12548" max="12548" width="12.7265625" style="393" hidden="1" customWidth="1"/>
    <col min="12549" max="12554" width="12.26953125" style="393" hidden="1" customWidth="1"/>
    <col min="12555" max="12565" width="8.7265625" style="393" hidden="1" customWidth="1"/>
    <col min="12566" max="12800" width="8.7265625" style="393" hidden="1"/>
    <col min="12801" max="12801" width="32.7265625" style="393" hidden="1" customWidth="1"/>
    <col min="12802" max="12803" width="12.26953125" style="393" hidden="1" customWidth="1"/>
    <col min="12804" max="12804" width="12.7265625" style="393" hidden="1" customWidth="1"/>
    <col min="12805" max="12810" width="12.26953125" style="393" hidden="1" customWidth="1"/>
    <col min="12811" max="12821" width="8.7265625" style="393" hidden="1" customWidth="1"/>
    <col min="12822" max="13056" width="8.7265625" style="393" hidden="1"/>
    <col min="13057" max="13057" width="32.7265625" style="393" hidden="1" customWidth="1"/>
    <col min="13058" max="13059" width="12.26953125" style="393" hidden="1" customWidth="1"/>
    <col min="13060" max="13060" width="12.7265625" style="393" hidden="1" customWidth="1"/>
    <col min="13061" max="13066" width="12.26953125" style="393" hidden="1" customWidth="1"/>
    <col min="13067" max="13077" width="8.7265625" style="393" hidden="1" customWidth="1"/>
    <col min="13078" max="13312" width="8.7265625" style="393" hidden="1"/>
    <col min="13313" max="13313" width="32.7265625" style="393" hidden="1" customWidth="1"/>
    <col min="13314" max="13315" width="12.26953125" style="393" hidden="1" customWidth="1"/>
    <col min="13316" max="13316" width="12.7265625" style="393" hidden="1" customWidth="1"/>
    <col min="13317" max="13322" width="12.26953125" style="393" hidden="1" customWidth="1"/>
    <col min="13323" max="13333" width="8.7265625" style="393" hidden="1" customWidth="1"/>
    <col min="13334" max="13568" width="8.7265625" style="393" hidden="1"/>
    <col min="13569" max="13569" width="32.7265625" style="393" hidden="1" customWidth="1"/>
    <col min="13570" max="13571" width="12.26953125" style="393" hidden="1" customWidth="1"/>
    <col min="13572" max="13572" width="12.7265625" style="393" hidden="1" customWidth="1"/>
    <col min="13573" max="13578" width="12.26953125" style="393" hidden="1" customWidth="1"/>
    <col min="13579" max="13589" width="8.7265625" style="393" hidden="1" customWidth="1"/>
    <col min="13590" max="13824" width="8.7265625" style="393" hidden="1"/>
    <col min="13825" max="13825" width="32.7265625" style="393" hidden="1" customWidth="1"/>
    <col min="13826" max="13827" width="12.26953125" style="393" hidden="1" customWidth="1"/>
    <col min="13828" max="13828" width="12.7265625" style="393" hidden="1" customWidth="1"/>
    <col min="13829" max="13834" width="12.26953125" style="393" hidden="1" customWidth="1"/>
    <col min="13835" max="13845" width="8.7265625" style="393" hidden="1" customWidth="1"/>
    <col min="13846" max="14080" width="8.7265625" style="393" hidden="1"/>
    <col min="14081" max="14081" width="32.7265625" style="393" hidden="1" customWidth="1"/>
    <col min="14082" max="14083" width="12.26953125" style="393" hidden="1" customWidth="1"/>
    <col min="14084" max="14084" width="12.7265625" style="393" hidden="1" customWidth="1"/>
    <col min="14085" max="14090" width="12.26953125" style="393" hidden="1" customWidth="1"/>
    <col min="14091" max="14101" width="8.7265625" style="393" hidden="1" customWidth="1"/>
    <col min="14102" max="14336" width="8.7265625" style="393" hidden="1"/>
    <col min="14337" max="14337" width="32.7265625" style="393" hidden="1" customWidth="1"/>
    <col min="14338" max="14339" width="12.26953125" style="393" hidden="1" customWidth="1"/>
    <col min="14340" max="14340" width="12.7265625" style="393" hidden="1" customWidth="1"/>
    <col min="14341" max="14346" width="12.26953125" style="393" hidden="1" customWidth="1"/>
    <col min="14347" max="14357" width="8.7265625" style="393" hidden="1" customWidth="1"/>
    <col min="14358" max="14592" width="8.7265625" style="393" hidden="1"/>
    <col min="14593" max="14593" width="32.7265625" style="393" hidden="1" customWidth="1"/>
    <col min="14594" max="14595" width="12.26953125" style="393" hidden="1" customWidth="1"/>
    <col min="14596" max="14596" width="12.7265625" style="393" hidden="1" customWidth="1"/>
    <col min="14597" max="14602" width="12.26953125" style="393" hidden="1" customWidth="1"/>
    <col min="14603" max="14613" width="8.7265625" style="393" hidden="1" customWidth="1"/>
    <col min="14614" max="14848" width="8.7265625" style="393" hidden="1"/>
    <col min="14849" max="14849" width="32.7265625" style="393" hidden="1" customWidth="1"/>
    <col min="14850" max="14851" width="12.26953125" style="393" hidden="1" customWidth="1"/>
    <col min="14852" max="14852" width="12.7265625" style="393" hidden="1" customWidth="1"/>
    <col min="14853" max="14858" width="12.26953125" style="393" hidden="1" customWidth="1"/>
    <col min="14859" max="14869" width="8.7265625" style="393" hidden="1" customWidth="1"/>
    <col min="14870" max="15104" width="8.7265625" style="393" hidden="1"/>
    <col min="15105" max="15105" width="32.7265625" style="393" hidden="1" customWidth="1"/>
    <col min="15106" max="15107" width="12.26953125" style="393" hidden="1" customWidth="1"/>
    <col min="15108" max="15108" width="12.7265625" style="393" hidden="1" customWidth="1"/>
    <col min="15109" max="15114" width="12.26953125" style="393" hidden="1" customWidth="1"/>
    <col min="15115" max="15125" width="8.7265625" style="393" hidden="1" customWidth="1"/>
    <col min="15126" max="15360" width="8.7265625" style="393" hidden="1"/>
    <col min="15361" max="15361" width="32.7265625" style="393" hidden="1" customWidth="1"/>
    <col min="15362" max="15363" width="12.26953125" style="393" hidden="1" customWidth="1"/>
    <col min="15364" max="15364" width="12.7265625" style="393" hidden="1" customWidth="1"/>
    <col min="15365" max="15370" width="12.26953125" style="393" hidden="1" customWidth="1"/>
    <col min="15371" max="15381" width="8.7265625" style="393" hidden="1" customWidth="1"/>
    <col min="15382" max="15616" width="8.7265625" style="393" hidden="1"/>
    <col min="15617" max="15617" width="32.7265625" style="393" hidden="1" customWidth="1"/>
    <col min="15618" max="15619" width="12.26953125" style="393" hidden="1" customWidth="1"/>
    <col min="15620" max="15620" width="12.7265625" style="393" hidden="1" customWidth="1"/>
    <col min="15621" max="15626" width="12.26953125" style="393" hidden="1" customWidth="1"/>
    <col min="15627" max="15637" width="8.7265625" style="393" hidden="1" customWidth="1"/>
    <col min="15638" max="15872" width="8.7265625" style="393" hidden="1"/>
    <col min="15873" max="15873" width="32.7265625" style="393" hidden="1" customWidth="1"/>
    <col min="15874" max="15875" width="12.26953125" style="393" hidden="1" customWidth="1"/>
    <col min="15876" max="15876" width="12.7265625" style="393" hidden="1" customWidth="1"/>
    <col min="15877" max="15882" width="12.26953125" style="393" hidden="1" customWidth="1"/>
    <col min="15883" max="15893" width="8.7265625" style="393" hidden="1" customWidth="1"/>
    <col min="15894" max="16128" width="8.7265625" style="393" hidden="1"/>
    <col min="16129" max="16129" width="32.7265625" style="393" hidden="1" customWidth="1"/>
    <col min="16130" max="16131" width="12.26953125" style="393" hidden="1" customWidth="1"/>
    <col min="16132" max="16132" width="12.7265625" style="393" hidden="1" customWidth="1"/>
    <col min="16133" max="16138" width="12.26953125" style="393" hidden="1" customWidth="1"/>
    <col min="16139" max="16149" width="8.7265625" style="393" hidden="1" customWidth="1"/>
    <col min="16150" max="16384" width="8.7265625" style="393" hidden="1"/>
  </cols>
  <sheetData>
    <row r="1" spans="1:11" s="356" customFormat="1" ht="13">
      <c r="A1" s="1877" t="s">
        <v>1227</v>
      </c>
      <c r="B1" s="1878"/>
      <c r="C1" s="1878"/>
      <c r="D1" s="1878"/>
      <c r="E1" s="1878"/>
      <c r="F1" s="1878"/>
      <c r="G1" s="1878"/>
      <c r="H1" s="1878"/>
      <c r="I1" s="1878"/>
      <c r="J1" s="1879"/>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6600000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6600000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6600000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1875000</v>
      </c>
      <c r="C29" s="362"/>
      <c r="D29" s="362"/>
      <c r="E29" s="361">
        <f>'Sources and Uses Budget'!S29</f>
        <v>1875000</v>
      </c>
      <c r="F29" s="362"/>
      <c r="G29" s="362"/>
      <c r="H29" s="361">
        <f>'Sources and Uses Budget'!T29</f>
        <v>0</v>
      </c>
      <c r="I29" s="362"/>
      <c r="J29" s="362"/>
      <c r="K29" s="359"/>
    </row>
    <row r="30" spans="1:11" s="360" customFormat="1">
      <c r="A30" s="145" t="s">
        <v>599</v>
      </c>
      <c r="B30" s="361">
        <f>'Sources and Uses Budget'!C30</f>
        <v>62545454</v>
      </c>
      <c r="C30" s="362"/>
      <c r="D30" s="362"/>
      <c r="E30" s="361">
        <f>'Sources and Uses Budget'!S30</f>
        <v>62045454</v>
      </c>
      <c r="F30" s="362"/>
      <c r="G30" s="362"/>
      <c r="H30" s="361">
        <f>'Sources and Uses Budget'!T30</f>
        <v>0</v>
      </c>
      <c r="I30" s="362"/>
      <c r="J30" s="362"/>
      <c r="K30" s="359"/>
    </row>
    <row r="31" spans="1:11" s="360" customFormat="1">
      <c r="A31" s="145" t="s">
        <v>600</v>
      </c>
      <c r="B31" s="361">
        <f>'Sources and Uses Budget'!C31</f>
        <v>3127273</v>
      </c>
      <c r="C31" s="362"/>
      <c r="D31" s="362"/>
      <c r="E31" s="361">
        <f>'Sources and Uses Budget'!S31</f>
        <v>3127273</v>
      </c>
      <c r="F31" s="362"/>
      <c r="G31" s="362"/>
      <c r="H31" s="361">
        <f>'Sources and Uses Budget'!T31</f>
        <v>0</v>
      </c>
      <c r="I31" s="362"/>
      <c r="J31" s="362"/>
      <c r="K31" s="359"/>
    </row>
    <row r="32" spans="1:11" s="360" customFormat="1">
      <c r="A32" s="145" t="s">
        <v>137</v>
      </c>
      <c r="B32" s="361">
        <f>'Sources and Uses Budget'!C32</f>
        <v>1250909</v>
      </c>
      <c r="C32" s="362"/>
      <c r="D32" s="362"/>
      <c r="E32" s="361">
        <f>'Sources and Uses Budget'!S32</f>
        <v>1250909</v>
      </c>
      <c r="F32" s="362"/>
      <c r="G32" s="362"/>
      <c r="H32" s="361">
        <f>'Sources and Uses Budget'!T32</f>
        <v>0</v>
      </c>
      <c r="I32" s="362"/>
      <c r="J32" s="362"/>
      <c r="K32" s="359"/>
    </row>
    <row r="33" spans="1:11" s="360" customFormat="1">
      <c r="A33" s="145" t="s">
        <v>138</v>
      </c>
      <c r="B33" s="361">
        <f>'Sources and Uses Budget'!C33</f>
        <v>1876364</v>
      </c>
      <c r="C33" s="362"/>
      <c r="D33" s="362"/>
      <c r="E33" s="361">
        <f>'Sources and Uses Budget'!S33</f>
        <v>1876364</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1032000</v>
      </c>
      <c r="C35" s="362"/>
      <c r="D35" s="362"/>
      <c r="E35" s="361">
        <f>'Sources and Uses Budget'!S35</f>
        <v>1032000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71707000</v>
      </c>
      <c r="C38" s="361">
        <f>SUM(C29:C37)</f>
        <v>0</v>
      </c>
      <c r="D38" s="361">
        <f>SUM(D29:D37)</f>
        <v>0</v>
      </c>
      <c r="E38" s="361">
        <f>'Sources and Uses Budget'!S38</f>
        <v>71207000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322500</v>
      </c>
      <c r="C40" s="362"/>
      <c r="D40" s="362"/>
      <c r="E40" s="361">
        <f>'Sources and Uses Budget'!S40</f>
        <v>322500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572500</v>
      </c>
      <c r="C42" s="361">
        <f>SUM(C39:C41)</f>
        <v>0</v>
      </c>
      <c r="D42" s="361">
        <f>SUM(D39:D41)</f>
        <v>0</v>
      </c>
      <c r="E42" s="361">
        <f>'Sources and Uses Budget'!S42</f>
        <v>572500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1223800</v>
      </c>
      <c r="C43" s="362"/>
      <c r="D43" s="362"/>
      <c r="E43" s="361">
        <f>'Sources and Uses Budget'!S43</f>
        <v>1083800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6806127</v>
      </c>
      <c r="C45" s="362"/>
      <c r="D45" s="362"/>
      <c r="E45" s="361">
        <f>'Sources and Uses Budget'!S45</f>
        <v>5637174</v>
      </c>
      <c r="F45" s="362"/>
      <c r="G45" s="362"/>
      <c r="H45" s="361">
        <f>'Sources and Uses Budget'!T45</f>
        <v>0</v>
      </c>
      <c r="I45" s="362"/>
      <c r="J45" s="362"/>
      <c r="K45" s="359"/>
    </row>
    <row r="46" spans="1:11" s="360" customFormat="1">
      <c r="A46" s="364" t="s">
        <v>151</v>
      </c>
      <c r="B46" s="361">
        <f>'Sources and Uses Budget'!C46</f>
        <v>822824</v>
      </c>
      <c r="C46" s="362"/>
      <c r="D46" s="362"/>
      <c r="E46" s="361">
        <f>'Sources and Uses Budget'!S46</f>
        <v>822824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447200</v>
      </c>
      <c r="C48" s="362"/>
      <c r="D48" s="362"/>
      <c r="E48" s="361">
        <f>'Sources and Uses Budget'!S48</f>
        <v>447200</v>
      </c>
      <c r="F48" s="362"/>
      <c r="G48" s="362"/>
      <c r="H48" s="361">
        <f>'Sources and Uses Budget'!T48</f>
        <v>0</v>
      </c>
      <c r="I48" s="362"/>
      <c r="J48" s="362"/>
      <c r="K48" s="359"/>
    </row>
    <row r="49" spans="1:11" s="360" customFormat="1">
      <c r="A49" s="283" t="s">
        <v>57</v>
      </c>
      <c r="B49" s="361">
        <f>'Sources and Uses Budget'!C49</f>
        <v>20900</v>
      </c>
      <c r="C49" s="362"/>
      <c r="D49" s="362"/>
      <c r="E49" s="361">
        <f>'Sources and Uses Budget'!S49</f>
        <v>2322</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8097051</v>
      </c>
      <c r="C54" s="367">
        <f>SUM(C45:C53)</f>
        <v>0</v>
      </c>
      <c r="D54" s="367">
        <f>SUM(D45:D53)</f>
        <v>0</v>
      </c>
      <c r="E54" s="361">
        <f>'Sources and Uses Budget'!S54</f>
        <v>6909520</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109500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75000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4" customHeight="1">
      <c r="A62" s="365" t="s">
        <v>301</v>
      </c>
      <c r="B62" s="361">
        <f>'Sources and Uses Budget'!C62</f>
        <v>184500</v>
      </c>
      <c r="C62" s="361">
        <f>SUM(C56:C61)</f>
        <v>0</v>
      </c>
      <c r="D62" s="361">
        <f>SUM(D56:D61)</f>
        <v>0</v>
      </c>
      <c r="E62" s="363"/>
      <c r="F62" s="363"/>
      <c r="G62" s="363"/>
      <c r="H62" s="363"/>
      <c r="I62" s="363"/>
      <c r="J62" s="363"/>
      <c r="K62" s="359"/>
    </row>
    <row r="63" spans="1:11" s="360" customFormat="1">
      <c r="A63" s="370" t="s">
        <v>302</v>
      </c>
      <c r="B63" s="361">
        <f>'Sources and Uses Budget'!C63</f>
        <v>88384851</v>
      </c>
      <c r="C63" s="361">
        <f>SUM(C8+C11+C13+C14+C15+C26+C27+C38+C42+C43+C54+C62)</f>
        <v>0</v>
      </c>
      <c r="D63" s="361">
        <f>SUM(D8+D11+D13+D14+D15+D26+D27+D38+D42+D43+D54+D62)</f>
        <v>0</v>
      </c>
      <c r="E63" s="361">
        <f>'Sources and Uses Budget'!S63</f>
        <v>79772820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205000</v>
      </c>
      <c r="C65" s="362"/>
      <c r="D65" s="362"/>
      <c r="E65" s="361">
        <f>'Sources and Uses Budget'!S65</f>
        <v>100000</v>
      </c>
      <c r="F65" s="362"/>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205000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997984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997984</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3440000</v>
      </c>
      <c r="C79" s="362"/>
      <c r="D79" s="362"/>
      <c r="E79" s="361">
        <f>'Sources and Uses Budget'!S79</f>
        <v>3440000</v>
      </c>
      <c r="F79" s="362"/>
      <c r="G79" s="362"/>
      <c r="H79" s="361">
        <f>'Sources and Uses Budget'!T79</f>
        <v>0</v>
      </c>
      <c r="I79" s="362"/>
      <c r="J79" s="362"/>
      <c r="K79" s="359"/>
    </row>
    <row r="80" spans="1:11" s="360" customFormat="1">
      <c r="A80" s="364" t="s">
        <v>58</v>
      </c>
      <c r="B80" s="361">
        <f>'Sources and Uses Budget'!C80</f>
        <v>0</v>
      </c>
      <c r="C80" s="362"/>
      <c r="D80" s="362"/>
      <c r="E80" s="361">
        <f>'Sources and Uses Budget'!S80</f>
        <v>0</v>
      </c>
      <c r="F80" s="362"/>
      <c r="G80" s="362"/>
      <c r="H80" s="361">
        <f>'Sources and Uses Budget'!T80</f>
        <v>0</v>
      </c>
      <c r="I80" s="362"/>
      <c r="J80" s="362"/>
      <c r="K80" s="359"/>
    </row>
    <row r="81" spans="1:11" s="360" customFormat="1">
      <c r="A81" s="365" t="s">
        <v>1209</v>
      </c>
      <c r="B81" s="361">
        <f>'Sources and Uses Budget'!C81</f>
        <v>3440000</v>
      </c>
      <c r="C81" s="361">
        <f>SUM(C79:C80)</f>
        <v>0</v>
      </c>
      <c r="D81" s="361">
        <f>SUM(D79:D80)</f>
        <v>0</v>
      </c>
      <c r="E81" s="361">
        <f>'Sources and Uses Budget'!S81</f>
        <v>3440000</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4" customHeight="1">
      <c r="A83" s="145" t="s">
        <v>2094</v>
      </c>
      <c r="B83" s="361">
        <f>'Sources and Uses Budget'!C83</f>
        <v>193949</v>
      </c>
      <c r="C83" s="362"/>
      <c r="D83" s="362"/>
      <c r="E83" s="363"/>
      <c r="F83" s="363"/>
      <c r="G83" s="363"/>
      <c r="H83" s="363"/>
      <c r="I83" s="363"/>
      <c r="J83" s="363"/>
      <c r="K83" s="359"/>
    </row>
    <row r="84" spans="1:11" s="360" customFormat="1">
      <c r="A84" s="145" t="s">
        <v>767</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768</v>
      </c>
      <c r="B85" s="361">
        <f>'Sources and Uses Budget'!C85</f>
        <v>6837794</v>
      </c>
      <c r="C85" s="362"/>
      <c r="D85" s="362"/>
      <c r="E85" s="361">
        <f>'Sources and Uses Budget'!S85</f>
        <v>6837794</v>
      </c>
      <c r="F85" s="362"/>
      <c r="G85" s="362"/>
      <c r="H85" s="361">
        <f>'Sources and Uses Budget'!T85</f>
        <v>0</v>
      </c>
      <c r="I85" s="362"/>
      <c r="J85" s="362"/>
      <c r="K85" s="359"/>
    </row>
    <row r="86" spans="1:11" s="360" customFormat="1">
      <c r="A86" s="145" t="s">
        <v>769</v>
      </c>
      <c r="B86" s="361">
        <f>'Sources and Uses Budget'!C86</f>
        <v>500364</v>
      </c>
      <c r="C86" s="362"/>
      <c r="D86" s="362"/>
      <c r="E86" s="361">
        <f>'Sources and Uses Budget'!S86</f>
        <v>500364</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430000</v>
      </c>
      <c r="C89" s="362"/>
      <c r="D89" s="362"/>
      <c r="E89" s="361">
        <f>'Sources and Uses Budget'!S89</f>
        <v>430000</v>
      </c>
      <c r="F89" s="362"/>
      <c r="G89" s="362"/>
      <c r="H89" s="361">
        <f>'Sources and Uses Budget'!T89</f>
        <v>0</v>
      </c>
      <c r="I89" s="362"/>
      <c r="J89" s="362"/>
      <c r="K89" s="359"/>
    </row>
    <row r="90" spans="1:11" s="360" customFormat="1">
      <c r="A90" s="145" t="s">
        <v>773</v>
      </c>
      <c r="B90" s="361">
        <f>'Sources and Uses Budget'!C90</f>
        <v>7500</v>
      </c>
      <c r="C90" s="362"/>
      <c r="D90" s="362"/>
      <c r="E90" s="361">
        <f>'Sources and Uses Budget'!S90</f>
        <v>7500</v>
      </c>
      <c r="F90" s="362"/>
      <c r="G90" s="362"/>
      <c r="H90" s="361">
        <f>'Sources and Uses Budget'!T90</f>
        <v>0</v>
      </c>
      <c r="I90" s="362"/>
      <c r="J90" s="362"/>
      <c r="K90" s="359"/>
    </row>
    <row r="91" spans="1:11" s="360" customFormat="1">
      <c r="A91" s="155" t="s">
        <v>372</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1211</v>
      </c>
      <c r="B92" s="361">
        <f>'Sources and Uses Budget'!C92</f>
        <v>46000</v>
      </c>
      <c r="C92" s="362"/>
      <c r="D92" s="362"/>
      <c r="E92" s="361">
        <f>'Sources and Uses Budget'!S92</f>
        <v>46000</v>
      </c>
      <c r="F92" s="362"/>
      <c r="G92" s="362"/>
      <c r="H92" s="361">
        <f>'Sources and Uses Budget'!T92</f>
        <v>0</v>
      </c>
      <c r="I92" s="362"/>
      <c r="J92" s="362"/>
      <c r="K92" s="359"/>
    </row>
    <row r="93" spans="1:11" s="360" customFormat="1">
      <c r="A93" s="364" t="str">
        <f>'Sources and Uses Budget'!$A93</f>
        <v>Other: Bond Costs</v>
      </c>
      <c r="B93" s="361">
        <f>'Sources and Uses Budget'!C93</f>
        <v>289230</v>
      </c>
      <c r="C93" s="362"/>
      <c r="D93" s="362"/>
      <c r="E93" s="361">
        <f>'Sources and Uses Budget'!S93</f>
        <v>32137</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8329837</v>
      </c>
      <c r="C96" s="361">
        <f>SUM(C83:C95)</f>
        <v>0</v>
      </c>
      <c r="D96" s="361">
        <f>SUM(D83:D95)</f>
        <v>0</v>
      </c>
      <c r="E96" s="361">
        <f>'Sources and Uses Budget'!S96</f>
        <v>7878795</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101357672</v>
      </c>
      <c r="C97" s="361">
        <f>SUM(C63+C70+C77+C81+C96)</f>
        <v>0</v>
      </c>
      <c r="D97" s="361">
        <f>SUM(D63+D70+D77+D81+D96)</f>
        <v>0</v>
      </c>
      <c r="E97" s="361">
        <f>'Sources and Uses Budget'!S97</f>
        <v>91191615</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12558999</v>
      </c>
      <c r="C99" s="362"/>
      <c r="D99" s="362"/>
      <c r="E99" s="361">
        <f>'Sources and Uses Budget'!S99</f>
        <v>12558999</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1119743</v>
      </c>
      <c r="C102" s="362"/>
      <c r="D102" s="362"/>
      <c r="E102" s="361">
        <f>'Sources and Uses Budget'!S102</f>
        <v>1119743</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13678742</v>
      </c>
      <c r="C104" s="361">
        <f>SUM(C99:C103)</f>
        <v>0</v>
      </c>
      <c r="D104" s="361">
        <f>SUM(D99:D103)</f>
        <v>0</v>
      </c>
      <c r="E104" s="361">
        <f>'Sources and Uses Budget'!S104</f>
        <v>13678742</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115036414</v>
      </c>
      <c r="C105" s="367">
        <f>SUM(C97+C104)</f>
        <v>0</v>
      </c>
      <c r="D105" s="367">
        <f>SUM(D97+D104)</f>
        <v>0</v>
      </c>
      <c r="E105" s="361">
        <f>'Sources and Uses Budget'!S105</f>
        <v>104870357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104870357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5"/>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N10" sqref="N10:T10"/>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36328125" style="1187" hidden="1" customWidth="1"/>
    <col min="66" max="66" width="5.54296875" style="1256" bestFit="1" customWidth="1"/>
    <col min="67" max="68" width="5.54296875" style="1256" customWidth="1"/>
    <col min="69" max="69" width="8" style="1256" customWidth="1"/>
    <col min="70" max="70" width="6" style="1256" customWidth="1"/>
    <col min="71" max="71" width="6.26953125" style="1256" customWidth="1"/>
    <col min="72" max="76" width="5.54296875" style="1256" customWidth="1"/>
    <col min="77" max="77" width="6.26953125" style="1256" bestFit="1" customWidth="1"/>
    <col min="78" max="78" width="5.54296875" style="1187" bestFit="1" customWidth="1"/>
    <col min="79" max="16384" width="2.7265625" style="1187"/>
  </cols>
  <sheetData>
    <row r="1" spans="1:65" ht="15.75" customHeight="1">
      <c r="A1" s="1888" t="s">
        <v>2456</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2455</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0" t="str">
        <f>IF(Application!H18="","",Application!H18)</f>
        <v>Lancaster Family Homes</v>
      </c>
      <c r="M4" s="1881"/>
      <c r="N4" s="1881"/>
      <c r="O4" s="1881"/>
      <c r="P4" s="1881"/>
      <c r="Q4" s="1881"/>
      <c r="R4" s="1881"/>
      <c r="S4" s="1881"/>
      <c r="T4" s="1881"/>
      <c r="U4" s="1881"/>
      <c r="V4" s="1881"/>
      <c r="W4" s="1881"/>
      <c r="X4" s="1881"/>
      <c r="Y4" s="1881"/>
      <c r="Z4" s="1881"/>
      <c r="AA4" s="1881"/>
      <c r="AB4" s="1881"/>
      <c r="AC4" s="1882"/>
      <c r="AD4" s="1190"/>
      <c r="AE4" s="1190"/>
      <c r="AF4" s="1894" t="s">
        <v>2454</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2453</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80" t="str">
        <f>IF(Application!H16="","",Application!H16)</f>
        <v>Lancaster Family Homes LP</v>
      </c>
      <c r="M6" s="1881"/>
      <c r="N6" s="1881"/>
      <c r="O6" s="1881"/>
      <c r="P6" s="1881"/>
      <c r="Q6" s="1881"/>
      <c r="R6" s="1881"/>
      <c r="S6" s="1881"/>
      <c r="T6" s="1881"/>
      <c r="U6" s="1881"/>
      <c r="V6" s="1881"/>
      <c r="W6" s="1881"/>
      <c r="X6" s="1881"/>
      <c r="Y6" s="1881"/>
      <c r="Z6" s="1881"/>
      <c r="AA6" s="1881"/>
      <c r="AB6" s="1881"/>
      <c r="AC6" s="1882"/>
      <c r="AD6" s="1190"/>
      <c r="AE6" s="1190"/>
      <c r="AF6" s="1883" t="s">
        <v>2451</v>
      </c>
      <c r="AG6" s="1883"/>
      <c r="AH6" s="1883"/>
      <c r="AI6" s="1883"/>
      <c r="AJ6" s="1883"/>
      <c r="AK6" s="1883"/>
      <c r="AL6" s="1883"/>
      <c r="AM6" s="1883"/>
      <c r="AN6" s="1883"/>
      <c r="AO6" s="1883"/>
      <c r="AP6" s="1884"/>
      <c r="AQ6" s="1884"/>
      <c r="AR6" s="1884"/>
      <c r="AS6" s="1884"/>
      <c r="AT6" s="1884"/>
      <c r="AU6" s="1884"/>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2450</v>
      </c>
      <c r="AG7" s="1883"/>
      <c r="AH7" s="1883"/>
      <c r="AI7" s="1883"/>
      <c r="AJ7" s="1883"/>
      <c r="AK7" s="1883"/>
      <c r="AL7" s="1883"/>
      <c r="AM7" s="1883"/>
      <c r="AN7" s="1883"/>
      <c r="AO7" s="1883"/>
      <c r="AP7" s="1884"/>
      <c r="AQ7" s="1884"/>
      <c r="AR7" s="1884"/>
      <c r="AS7" s="1884"/>
      <c r="AT7" s="1884"/>
      <c r="AU7" s="1884"/>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2448</v>
      </c>
      <c r="AG8" s="1883"/>
      <c r="AH8" s="1883"/>
      <c r="AI8" s="1883"/>
      <c r="AJ8" s="1883"/>
      <c r="AK8" s="1883"/>
      <c r="AL8" s="1883"/>
      <c r="AM8" s="1883"/>
      <c r="AN8" s="1883"/>
      <c r="AO8" s="1883"/>
      <c r="AP8" s="1884" t="s">
        <v>2098</v>
      </c>
      <c r="AQ8" s="1884"/>
      <c r="AR8" s="1884"/>
      <c r="AS8" s="1884"/>
      <c r="AT8" s="1884"/>
      <c r="AU8" s="1884"/>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2447</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1909">
        <f>Application!AO627</f>
        <v>41800000</v>
      </c>
      <c r="O10" s="1909"/>
      <c r="P10" s="1909"/>
      <c r="Q10" s="1909"/>
      <c r="R10" s="1909"/>
      <c r="S10" s="1909"/>
      <c r="T10" s="1909"/>
      <c r="U10" s="1190"/>
      <c r="V10" s="1190"/>
      <c r="W10" s="1190"/>
      <c r="X10" s="1193"/>
      <c r="Y10" s="1193"/>
      <c r="Z10" s="1193"/>
      <c r="AA10" s="1193"/>
      <c r="AB10" s="1193"/>
      <c r="AC10" s="1193"/>
      <c r="AD10" s="1193"/>
      <c r="AE10" s="1193"/>
      <c r="AF10" s="1894" t="s">
        <v>2444</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2441</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1897" t="s">
        <v>2439</v>
      </c>
      <c r="C13" s="1898"/>
      <c r="D13" s="1898"/>
      <c r="E13" s="1898"/>
      <c r="F13" s="1898"/>
      <c r="G13" s="1898"/>
      <c r="H13" s="1898"/>
      <c r="I13" s="1898"/>
      <c r="J13" s="1898"/>
      <c r="K13" s="1898"/>
      <c r="L13" s="1898"/>
      <c r="M13" s="1898"/>
      <c r="N13" s="1898"/>
      <c r="O13" s="1898"/>
      <c r="P13" s="1899"/>
      <c r="Q13" s="1900" t="s">
        <v>669</v>
      </c>
      <c r="R13" s="1901"/>
      <c r="S13" s="1901"/>
      <c r="T13" s="1902"/>
      <c r="U13" s="1193"/>
      <c r="V13" s="1190"/>
      <c r="W13" s="1190"/>
      <c r="X13" s="1190"/>
      <c r="Y13" s="1190"/>
      <c r="Z13" s="1190"/>
      <c r="AA13" s="1903" t="s">
        <v>2438</v>
      </c>
      <c r="AB13" s="1903"/>
      <c r="AC13" s="1903"/>
      <c r="AD13" s="1903"/>
      <c r="AE13" s="1903"/>
      <c r="AF13" s="1903"/>
      <c r="AG13" s="1903"/>
      <c r="AH13" s="1903"/>
      <c r="AI13" s="1903"/>
      <c r="AJ13" s="1903"/>
      <c r="AK13" s="1903"/>
      <c r="AL13" s="1903"/>
      <c r="AM13" s="1903"/>
      <c r="AN13" s="1903"/>
      <c r="AO13" s="1904">
        <f>Application!W473</f>
        <v>33</v>
      </c>
      <c r="AP13" s="1905"/>
      <c r="AQ13" s="1905"/>
      <c r="AR13" s="1905"/>
      <c r="AS13" s="1905"/>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2436</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ht="15" thickBot="1">
      <c r="A15" s="1190"/>
      <c r="B15" s="1910" t="s">
        <v>2435</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2434</v>
      </c>
      <c r="AB15" s="1903"/>
      <c r="AC15" s="1903"/>
      <c r="AD15" s="1903"/>
      <c r="AE15" s="1903"/>
      <c r="AF15" s="1903"/>
      <c r="AG15" s="1903"/>
      <c r="AH15" s="1903"/>
      <c r="AI15" s="1903"/>
      <c r="AJ15" s="1903"/>
      <c r="AK15" s="1903"/>
      <c r="AL15" s="1903"/>
      <c r="AM15" s="1903"/>
      <c r="AN15" s="1903"/>
      <c r="AO15" s="1907"/>
      <c r="AP15" s="1908"/>
      <c r="AQ15" s="1908"/>
      <c r="AR15" s="1908"/>
      <c r="AS15" s="1908"/>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5" t="s">
        <v>2433</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2432</v>
      </c>
      <c r="C18" s="1919"/>
      <c r="D18" s="1919"/>
      <c r="E18" s="1919"/>
      <c r="F18" s="1919"/>
      <c r="G18" s="1919"/>
      <c r="H18" s="1919"/>
      <c r="I18" s="1920"/>
      <c r="J18" s="1921" t="s">
        <v>1586</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2431</v>
      </c>
      <c r="AU18" s="1922"/>
      <c r="AV18" s="1922"/>
      <c r="AW18" s="1922"/>
      <c r="AX18" s="1922"/>
      <c r="AY18" s="1924"/>
      <c r="AZ18" s="1190"/>
      <c r="BA18" s="1190"/>
      <c r="BB18" s="1190"/>
      <c r="BC18" s="1190"/>
      <c r="BD18" s="1190"/>
      <c r="BE18" s="1194"/>
    </row>
    <row r="19" spans="1:58" ht="14.5">
      <c r="A19" s="1190"/>
      <c r="B19" s="1925">
        <v>0.3</v>
      </c>
      <c r="C19" s="1926"/>
      <c r="D19" s="1926"/>
      <c r="E19" s="1926"/>
      <c r="F19" s="1926"/>
      <c r="G19" s="1926"/>
      <c r="H19" s="1926"/>
      <c r="I19" s="1927"/>
      <c r="J19" s="1928">
        <f t="shared" ref="J19:J24" si="0">SUM(P19:AS19)</f>
        <v>23</v>
      </c>
      <c r="K19" s="1929"/>
      <c r="L19" s="1929"/>
      <c r="M19" s="1929"/>
      <c r="N19" s="1929"/>
      <c r="O19" s="1930"/>
      <c r="P19" s="1928" cm="1">
        <f t="array" ref="P19">SUMPRODUCT((Application!$B$718:$B$752 = 'CalHFA Addendum'!P$18)*(Application!$AC$718:$AC$752 = 'CalHFA Addendum'!$B19),Application!$G$718:$G$752)</f>
        <v>0</v>
      </c>
      <c r="Q19" s="1929"/>
      <c r="R19" s="1929"/>
      <c r="S19" s="1929"/>
      <c r="T19" s="1929"/>
      <c r="U19" s="1930"/>
      <c r="V19" s="1928" cm="1">
        <f t="array" ref="V19">SUMPRODUCT((Application!$B$714:$B$738 = 'CalHFA Addendum'!V$18)*(Application!$AC$714:$AC$738 = 'CalHFA Addendum'!$B19),Application!$G$714:$G$738)</f>
        <v>23</v>
      </c>
      <c r="W19" s="1929"/>
      <c r="X19" s="1929"/>
      <c r="Y19" s="1929"/>
      <c r="Z19" s="1929"/>
      <c r="AA19" s="1930"/>
      <c r="AB19" s="1928" cm="1">
        <f t="array" ref="AB19">SUMPRODUCT((Application!$B$714:$B$738 = 'CalHFA Addendum'!AB$18)*(Application!$AC$714:$AC$738 = 'CalHFA Addendum'!$B19),Application!$G$714:$G$738)</f>
        <v>0</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0.10697674418604651</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0"/>
      <c r="BA20" s="1190"/>
      <c r="BB20" s="1190"/>
      <c r="BC20" s="1190"/>
      <c r="BD20" s="1190"/>
      <c r="BE20" s="1194"/>
    </row>
    <row r="21" spans="1:58" ht="14.5">
      <c r="A21" s="1190"/>
      <c r="B21" s="1925">
        <v>0.5</v>
      </c>
      <c r="C21" s="1926"/>
      <c r="D21" s="1926"/>
      <c r="E21" s="1926"/>
      <c r="F21" s="1926"/>
      <c r="G21" s="1926"/>
      <c r="H21" s="1926"/>
      <c r="I21" s="1927"/>
      <c r="J21" s="1928">
        <f t="shared" si="0"/>
        <v>36</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17</v>
      </c>
      <c r="W21" s="1929"/>
      <c r="X21" s="1929"/>
      <c r="Y21" s="1929"/>
      <c r="Z21" s="1929"/>
      <c r="AA21" s="1930"/>
      <c r="AB21" s="1928" cm="1">
        <f t="array" ref="AB21">SUMPRODUCT((Application!$B$714:$B$738 = 'CalHFA Addendum'!AB$18)*(Application!$AC$714:$AC$738 = 'CalHFA Addendum'!$B21),Application!$G$714:$G$738)</f>
        <v>5</v>
      </c>
      <c r="AC21" s="1929"/>
      <c r="AD21" s="1929"/>
      <c r="AE21" s="1929"/>
      <c r="AF21" s="1929"/>
      <c r="AG21" s="1930"/>
      <c r="AH21" s="1928" cm="1">
        <f t="array" ref="AH21">SUMPRODUCT((Application!$B$714:$B$738 = 'CalHFA Addendum'!AH$18)*(Application!$AC$714:$AC$738 = 'CalHFA Addendum'!$B21),Application!$G$714:$G$738)</f>
        <v>9</v>
      </c>
      <c r="AI21" s="1929"/>
      <c r="AJ21" s="1929"/>
      <c r="AK21" s="1929"/>
      <c r="AL21" s="1929"/>
      <c r="AM21" s="1930"/>
      <c r="AN21" s="1928" cm="1">
        <f t="array" ref="AN21">SUMPRODUCT((Application!$B$714:$B$738 = 'CalHFA Addendum'!AN$18)*(Application!$AC$714:$AC$738 = 'CalHFA Addendum'!$B21),Application!$G$714:$G$738)</f>
        <v>5</v>
      </c>
      <c r="AO21" s="1929"/>
      <c r="AP21" s="1929"/>
      <c r="AQ21" s="1929"/>
      <c r="AR21" s="1929"/>
      <c r="AS21" s="1930"/>
      <c r="AT21" s="1931">
        <f t="shared" si="1"/>
        <v>0.16744186046511628</v>
      </c>
      <c r="AU21" s="1932"/>
      <c r="AV21" s="1932"/>
      <c r="AW21" s="1932"/>
      <c r="AX21" s="1932"/>
      <c r="AY21" s="1933"/>
      <c r="AZ21" s="1190"/>
      <c r="BA21" s="1190"/>
      <c r="BB21" s="1190"/>
      <c r="BC21" s="1190"/>
      <c r="BD21" s="1190"/>
      <c r="BE21" s="1194"/>
    </row>
    <row r="22" spans="1:58" ht="14.5">
      <c r="A22" s="1190"/>
      <c r="B22" s="1925">
        <v>0.6</v>
      </c>
      <c r="C22" s="1926"/>
      <c r="D22" s="1926"/>
      <c r="E22" s="1926"/>
      <c r="F22" s="1926"/>
      <c r="G22" s="1926"/>
      <c r="H22" s="1926"/>
      <c r="I22" s="1927"/>
      <c r="J22" s="1928">
        <f t="shared" si="0"/>
        <v>51</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3</v>
      </c>
      <c r="W22" s="1929"/>
      <c r="X22" s="1929"/>
      <c r="Y22" s="1929"/>
      <c r="Z22" s="1929"/>
      <c r="AA22" s="1930"/>
      <c r="AB22" s="1928" cm="1">
        <f t="array" ref="AB22">SUMPRODUCT((Application!$B$714:$B$738 = 'CalHFA Addendum'!AB$18)*(Application!$AC$714:$AC$738 = 'CalHFA Addendum'!$B22),Application!$G$714:$G$738)</f>
        <v>33</v>
      </c>
      <c r="AC22" s="1929"/>
      <c r="AD22" s="1929"/>
      <c r="AE22" s="1929"/>
      <c r="AF22" s="1929"/>
      <c r="AG22" s="1930"/>
      <c r="AH22" s="1928" cm="1">
        <f t="array" ref="AH22">SUMPRODUCT((Application!$B$714:$B$738 = 'CalHFA Addendum'!AH$18)*(Application!$AC$714:$AC$738 = 'CalHFA Addendum'!$B22),Application!$G$714:$G$738)</f>
        <v>15</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0.23720930232558141</v>
      </c>
      <c r="AU22" s="1932"/>
      <c r="AV22" s="1932"/>
      <c r="AW22" s="1932"/>
      <c r="AX22" s="1932"/>
      <c r="AY22" s="1933"/>
      <c r="AZ22" s="1190"/>
      <c r="BA22" s="1190"/>
      <c r="BB22" s="1190"/>
      <c r="BC22" s="1190"/>
      <c r="BD22" s="1190"/>
      <c r="BE22" s="1194"/>
    </row>
    <row r="23" spans="1:58" ht="14.5">
      <c r="A23" s="1190"/>
      <c r="B23" s="1925">
        <v>0.7</v>
      </c>
      <c r="C23" s="1926"/>
      <c r="D23" s="1926"/>
      <c r="E23" s="1926"/>
      <c r="F23" s="1926"/>
      <c r="G23" s="1926"/>
      <c r="H23" s="1926"/>
      <c r="I23" s="1927"/>
      <c r="J23" s="1928">
        <f t="shared" si="0"/>
        <v>103</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5</v>
      </c>
      <c r="AC23" s="1929"/>
      <c r="AD23" s="1929"/>
      <c r="AE23" s="1929"/>
      <c r="AF23" s="1929"/>
      <c r="AG23" s="1930"/>
      <c r="AH23" s="1928" cm="1">
        <f t="array" ref="AH23">SUMPRODUCT((Application!$B$714:$B$738 = 'CalHFA Addendum'!AH$18)*(Application!$AC$714:$AC$738 = 'CalHFA Addendum'!$B23),Application!$G$714:$G$738)</f>
        <v>60</v>
      </c>
      <c r="AI23" s="1929"/>
      <c r="AJ23" s="1929"/>
      <c r="AK23" s="1929"/>
      <c r="AL23" s="1929"/>
      <c r="AM23" s="1930"/>
      <c r="AN23" s="1928" cm="1">
        <f t="array" ref="AN23">SUMPRODUCT((Application!$B$714:$B$738 = 'CalHFA Addendum'!AN$18)*(Application!$AC$714:$AC$738 = 'CalHFA Addendum'!$B23),Application!$G$714:$G$738)</f>
        <v>38</v>
      </c>
      <c r="AO23" s="1929"/>
      <c r="AP23" s="1929"/>
      <c r="AQ23" s="1929"/>
      <c r="AR23" s="1929"/>
      <c r="AS23" s="1930"/>
      <c r="AT23" s="1931">
        <f t="shared" si="1"/>
        <v>0.47906976744186047</v>
      </c>
      <c r="AU23" s="1932"/>
      <c r="AV23" s="1932"/>
      <c r="AW23" s="1932"/>
      <c r="AX23" s="1932"/>
      <c r="AY23" s="1933"/>
      <c r="AZ23" s="1190"/>
      <c r="BA23" s="1190"/>
      <c r="BB23" s="1190"/>
      <c r="BC23" s="1190"/>
      <c r="BD23" s="1190"/>
      <c r="BE23" s="1194"/>
    </row>
    <row r="24" spans="1:58" ht="14.5">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4.5">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4.5">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4.5">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ht="15" thickBot="1">
      <c r="A28" s="1190"/>
      <c r="B28" s="1937" t="s">
        <v>2430</v>
      </c>
      <c r="C28" s="1938"/>
      <c r="D28" s="1938"/>
      <c r="E28" s="1938"/>
      <c r="F28" s="1938"/>
      <c r="G28" s="1938"/>
      <c r="H28" s="1938"/>
      <c r="I28" s="1939"/>
      <c r="J28" s="1940">
        <f>SUM(P28:AS28)</f>
        <v>2</v>
      </c>
      <c r="K28" s="1941"/>
      <c r="L28" s="1941"/>
      <c r="M28" s="1941"/>
      <c r="N28" s="1941"/>
      <c r="O28" s="1942"/>
      <c r="P28" s="1940">
        <f>_xlfn.IFNA(VLOOKUP(P$18,Application!$J$773:$S$776,6,FALSE), 0)</f>
        <v>0</v>
      </c>
      <c r="Q28" s="1941"/>
      <c r="R28" s="1941"/>
      <c r="S28" s="1941"/>
      <c r="T28" s="1941"/>
      <c r="U28" s="1942"/>
      <c r="V28" s="1940">
        <f>_xlfn.IFNA(VLOOKUP(V$18,Application!$J$773:$S$776,6,FALSE), 0)</f>
        <v>0</v>
      </c>
      <c r="W28" s="1941"/>
      <c r="X28" s="1941"/>
      <c r="Y28" s="1941"/>
      <c r="Z28" s="1941"/>
      <c r="AA28" s="1942"/>
      <c r="AB28" s="1940">
        <f>_xlfn.IFNA(VLOOKUP(AB$18,Application!$J$773:$S$776,6,FALSE), 0)</f>
        <v>0</v>
      </c>
      <c r="AC28" s="1941"/>
      <c r="AD28" s="1941"/>
      <c r="AE28" s="1941"/>
      <c r="AF28" s="1941"/>
      <c r="AG28" s="1942"/>
      <c r="AH28" s="1940">
        <f>_xlfn.IFNA(VLOOKUP(AH$18,Application!$J$773:$S$776,6,FALSE), 0)</f>
        <v>2</v>
      </c>
      <c r="AI28" s="1941"/>
      <c r="AJ28" s="1941"/>
      <c r="AK28" s="1941"/>
      <c r="AL28" s="1941"/>
      <c r="AM28" s="1942"/>
      <c r="AN28" s="1940">
        <f>_xlfn.IFNA(VLOOKUP(AN$18,Application!$J$773:$S$776,6,FALSE), 0)</f>
        <v>0</v>
      </c>
      <c r="AO28" s="1941"/>
      <c r="AP28" s="1941"/>
      <c r="AQ28" s="1941"/>
      <c r="AR28" s="1941"/>
      <c r="AS28" s="1942"/>
      <c r="AT28" s="1943">
        <f t="shared" si="1"/>
        <v>9.3023255813953487E-3</v>
      </c>
      <c r="AU28" s="1944"/>
      <c r="AV28" s="1944"/>
      <c r="AW28" s="1944"/>
      <c r="AX28" s="1944"/>
      <c r="AY28" s="1945"/>
      <c r="AZ28" s="1190"/>
      <c r="BA28" s="1190"/>
      <c r="BB28" s="1190"/>
      <c r="BC28" s="1190"/>
      <c r="BD28" s="1190"/>
      <c r="BE28" s="1194"/>
    </row>
    <row r="29" spans="1:58" ht="15" thickBot="1">
      <c r="A29" s="1190"/>
      <c r="B29" s="1974" t="s">
        <v>1586</v>
      </c>
      <c r="C29" s="1947"/>
      <c r="D29" s="1947"/>
      <c r="E29" s="1947"/>
      <c r="F29" s="1947"/>
      <c r="G29" s="1947"/>
      <c r="H29" s="1947"/>
      <c r="I29" s="1948"/>
      <c r="J29" s="1946">
        <f>SUM(J19:O28)</f>
        <v>215</v>
      </c>
      <c r="K29" s="1947"/>
      <c r="L29" s="1947"/>
      <c r="M29" s="1947"/>
      <c r="N29" s="1947"/>
      <c r="O29" s="1948"/>
      <c r="P29" s="1946">
        <f>SUM(P19:U28)</f>
        <v>0</v>
      </c>
      <c r="Q29" s="1947"/>
      <c r="R29" s="1947"/>
      <c r="S29" s="1947"/>
      <c r="T29" s="1947"/>
      <c r="U29" s="1948"/>
      <c r="V29" s="1946">
        <f>SUM(V19:AA28)</f>
        <v>43</v>
      </c>
      <c r="W29" s="1947"/>
      <c r="X29" s="1947"/>
      <c r="Y29" s="1947"/>
      <c r="Z29" s="1947"/>
      <c r="AA29" s="1948"/>
      <c r="AB29" s="1946">
        <f>SUM(AB19:AG28)</f>
        <v>43</v>
      </c>
      <c r="AC29" s="1947"/>
      <c r="AD29" s="1947"/>
      <c r="AE29" s="1947"/>
      <c r="AF29" s="1947"/>
      <c r="AG29" s="1948"/>
      <c r="AH29" s="1946">
        <f>SUM(AH19:AM28)</f>
        <v>86</v>
      </c>
      <c r="AI29" s="1947"/>
      <c r="AJ29" s="1947"/>
      <c r="AK29" s="1947"/>
      <c r="AL29" s="1947"/>
      <c r="AM29" s="1948"/>
      <c r="AN29" s="1946">
        <f>SUM(AN19:AS28)</f>
        <v>43</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2" t="s">
        <v>2429</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ht="15" thickBot="1">
      <c r="A32" s="1190"/>
      <c r="B32" s="1955" t="s">
        <v>2428</v>
      </c>
      <c r="C32" s="1956"/>
      <c r="D32" s="1956"/>
      <c r="E32" s="1956"/>
      <c r="F32" s="1956"/>
      <c r="G32" s="1956"/>
      <c r="H32" s="1956"/>
      <c r="I32" s="1956"/>
      <c r="J32" s="1959" t="s">
        <v>2427</v>
      </c>
      <c r="K32" s="1960"/>
      <c r="L32" s="1960"/>
      <c r="M32" s="1960"/>
      <c r="N32" s="1959" t="s">
        <v>2426</v>
      </c>
      <c r="O32" s="1960"/>
      <c r="P32" s="1960"/>
      <c r="Q32" s="1962"/>
      <c r="R32" s="1964" t="s">
        <v>2425</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2424</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2423</v>
      </c>
      <c r="AT35" s="1976"/>
      <c r="AU35" s="1976"/>
      <c r="AV35" s="1976"/>
      <c r="AW35" s="1976"/>
      <c r="AX35" s="1984"/>
      <c r="AY35" s="1975" t="s">
        <v>2422</v>
      </c>
      <c r="AZ35" s="1976"/>
      <c r="BA35" s="1976"/>
      <c r="BB35" s="1976"/>
      <c r="BC35" s="1976"/>
      <c r="BD35" s="1977"/>
      <c r="BE35" s="1194"/>
    </row>
    <row r="36" spans="1:58" ht="15.75" customHeight="1">
      <c r="A36" s="1190"/>
      <c r="B36" s="1994" t="s">
        <v>2421</v>
      </c>
      <c r="C36" s="1995"/>
      <c r="D36" s="1995"/>
      <c r="E36" s="1995"/>
      <c r="F36" s="1995"/>
      <c r="G36" s="1995"/>
      <c r="H36" s="1995"/>
      <c r="I36" s="1995"/>
      <c r="J36" s="1996" t="s">
        <v>2420</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2419</v>
      </c>
      <c r="C37" s="1995"/>
      <c r="D37" s="1995"/>
      <c r="E37" s="1995"/>
      <c r="F37" s="1995"/>
      <c r="G37" s="1995"/>
      <c r="H37" s="1995"/>
      <c r="I37" s="1995"/>
      <c r="J37" s="1996" t="s">
        <v>2418</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2417</v>
      </c>
      <c r="C38" s="1995"/>
      <c r="D38" s="1995"/>
      <c r="E38" s="1995"/>
      <c r="F38" s="1995"/>
      <c r="G38" s="1995"/>
      <c r="H38" s="1995"/>
      <c r="I38" s="1995"/>
      <c r="J38" s="1996" t="s">
        <v>2416</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2415</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2415</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2414</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4"/>
    </row>
    <row r="42" spans="1:58" ht="15.75" customHeight="1">
      <c r="A42" s="1190"/>
      <c r="B42" s="1994" t="s">
        <v>2414</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2413</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2412</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2411</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4"/>
    </row>
    <row r="46" spans="1:58" ht="15.75" customHeight="1">
      <c r="A46" s="1190"/>
      <c r="B46" s="1998" t="s">
        <v>2335</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2408</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2401</v>
      </c>
      <c r="C51" s="2014"/>
      <c r="D51" s="2014"/>
      <c r="E51" s="2014"/>
      <c r="F51" s="2014"/>
      <c r="G51" s="2014"/>
      <c r="H51" s="2014"/>
      <c r="I51" s="2014"/>
      <c r="J51" s="2014" t="s">
        <v>2407</v>
      </c>
      <c r="K51" s="2014"/>
      <c r="L51" s="2014"/>
      <c r="M51" s="2014"/>
      <c r="N51" s="2014"/>
      <c r="O51" s="2014"/>
      <c r="P51" s="2014"/>
      <c r="Q51" s="2014"/>
      <c r="R51" s="2015" t="s">
        <v>2406</v>
      </c>
      <c r="S51" s="2015"/>
      <c r="T51" s="2015"/>
      <c r="U51" s="2015"/>
      <c r="V51" s="2015"/>
      <c r="W51" s="2015"/>
      <c r="X51" s="2015"/>
      <c r="Y51" s="2015"/>
      <c r="Z51" s="2015" t="s">
        <v>2405</v>
      </c>
      <c r="AA51" s="2015"/>
      <c r="AB51" s="2015"/>
      <c r="AC51" s="2015"/>
      <c r="AD51" s="2015"/>
      <c r="AE51" s="2015"/>
      <c r="AF51" s="2015"/>
      <c r="AG51" s="2015"/>
      <c r="AH51" s="2015" t="s">
        <v>2404</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2403</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2402</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1586</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2401</v>
      </c>
      <c r="C59" s="2023"/>
      <c r="D59" s="2023"/>
      <c r="E59" s="2023"/>
      <c r="F59" s="2023"/>
      <c r="G59" s="2023"/>
      <c r="H59" s="2023"/>
      <c r="I59" s="2024"/>
      <c r="J59" s="1916" t="s">
        <v>2400</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2398</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2397</v>
      </c>
      <c r="AD68" s="2060"/>
      <c r="AE68" s="2060"/>
      <c r="AF68" s="2060"/>
      <c r="AG68" s="2060"/>
      <c r="AH68" s="2060"/>
      <c r="AI68" s="2060"/>
      <c r="AJ68" s="2060"/>
      <c r="AK68" s="2060"/>
      <c r="AL68" s="2060"/>
      <c r="AM68" s="2060"/>
      <c r="AN68" s="2060"/>
      <c r="AO68" s="2060"/>
      <c r="AP68" s="2060"/>
      <c r="AQ68" s="2060"/>
      <c r="AR68" s="2060"/>
      <c r="AS68" s="2060"/>
      <c r="AT68" s="2060"/>
      <c r="AU68" s="2060"/>
      <c r="AV68" s="2037" t="s">
        <v>669</v>
      </c>
      <c r="AW68" s="2038"/>
      <c r="AX68" s="2038"/>
      <c r="AY68" s="2038"/>
      <c r="AZ68" s="2038"/>
      <c r="BA68" s="2038"/>
      <c r="BB68" s="2038"/>
      <c r="BC68" s="2039"/>
      <c r="BD68" s="1190"/>
      <c r="BE68" s="1194"/>
      <c r="BM68" s="1199" t="s">
        <v>2396</v>
      </c>
    </row>
    <row r="69" spans="1:94" ht="15.75" customHeight="1" thickTop="1" thickBot="1">
      <c r="A69" s="1190"/>
      <c r="B69" s="2040" t="s">
        <v>2395</v>
      </c>
      <c r="C69" s="2041"/>
      <c r="D69" s="2041"/>
      <c r="E69" s="2041"/>
      <c r="F69" s="2041"/>
      <c r="G69" s="2041"/>
      <c r="H69" s="2041"/>
      <c r="I69" s="2041"/>
      <c r="J69" s="2041"/>
      <c r="K69" s="2041"/>
      <c r="L69" s="2041"/>
      <c r="M69" s="2041"/>
      <c r="N69" s="2041"/>
      <c r="O69" s="2042" t="s">
        <v>2394</v>
      </c>
      <c r="P69" s="2043"/>
      <c r="Q69" s="2043"/>
      <c r="R69" s="2043"/>
      <c r="S69" s="2043"/>
      <c r="T69" s="2043"/>
      <c r="U69" s="2043"/>
      <c r="V69" s="2043"/>
      <c r="W69" s="2043"/>
      <c r="X69" s="2043"/>
      <c r="Y69" s="2043"/>
      <c r="Z69" s="2043"/>
      <c r="AA69" s="2044"/>
      <c r="AB69" s="1190"/>
      <c r="AC69" s="2045" t="s">
        <v>2393</v>
      </c>
      <c r="AD69" s="2046"/>
      <c r="AE69" s="2046"/>
      <c r="AF69" s="2046"/>
      <c r="AG69" s="2046"/>
      <c r="AH69" s="2046"/>
      <c r="AI69" s="2046"/>
      <c r="AJ69" s="2046"/>
      <c r="AK69" s="2046"/>
      <c r="AL69" s="2046"/>
      <c r="AM69" s="2046"/>
      <c r="AN69" s="2046"/>
      <c r="AO69" s="2046"/>
      <c r="AP69" s="2046"/>
      <c r="AQ69" s="2046"/>
      <c r="AR69" s="2046"/>
      <c r="AS69" s="2046"/>
      <c r="AT69" s="2046"/>
      <c r="AU69" s="2046"/>
      <c r="AV69" s="2037" t="s">
        <v>669</v>
      </c>
      <c r="AW69" s="2038"/>
      <c r="AX69" s="2038"/>
      <c r="AY69" s="2038"/>
      <c r="AZ69" s="2038"/>
      <c r="BA69" s="2038"/>
      <c r="BB69" s="2038"/>
      <c r="BC69" s="2039"/>
      <c r="BD69" s="1190"/>
      <c r="BE69" s="1194"/>
      <c r="BM69" s="1200" t="s">
        <v>545</v>
      </c>
    </row>
    <row r="70" spans="1:94" ht="15.75" customHeight="1">
      <c r="A70" s="1190"/>
      <c r="B70" s="1994" t="s">
        <v>2392</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2391</v>
      </c>
      <c r="AD70" s="2011"/>
      <c r="AE70" s="2011"/>
      <c r="AF70" s="2055"/>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669</v>
      </c>
    </row>
    <row r="71" spans="1:94" ht="15.75" customHeight="1" thickBot="1">
      <c r="A71" s="1190"/>
      <c r="B71" s="1994" t="s">
        <v>2390</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2389</v>
      </c>
      <c r="AD71" s="2058"/>
      <c r="AE71" s="2058"/>
      <c r="AF71" s="2051"/>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2388</v>
      </c>
    </row>
    <row r="72" spans="1:94" ht="15.75" customHeight="1">
      <c r="A72" s="1190"/>
      <c r="B72" s="1994" t="s">
        <v>2387</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2386</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2385</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2330</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2383</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2382</v>
      </c>
      <c r="C81" s="2070"/>
      <c r="D81" s="2070"/>
      <c r="E81" s="2070"/>
      <c r="F81" s="2070"/>
      <c r="G81" s="2070"/>
      <c r="H81" s="2070"/>
      <c r="I81" s="2070"/>
      <c r="J81" s="2070"/>
      <c r="K81" s="2070"/>
      <c r="L81" s="2070"/>
      <c r="M81" s="2070"/>
      <c r="N81" s="2070"/>
      <c r="O81" s="2070"/>
      <c r="P81" s="2070"/>
      <c r="Q81" s="2070"/>
      <c r="R81" s="2071" t="s">
        <v>2188</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2381</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2380</v>
      </c>
      <c r="AK83" s="2093"/>
      <c r="AL83" s="2093"/>
      <c r="AM83" s="2093"/>
      <c r="AN83" s="2093"/>
      <c r="AO83" s="2093"/>
      <c r="AP83" s="2093"/>
      <c r="AQ83" s="2093"/>
      <c r="AR83" s="2093"/>
      <c r="AS83" s="2093"/>
      <c r="AT83" s="2093"/>
      <c r="AU83" s="2093"/>
      <c r="AV83" s="2093"/>
      <c r="AW83" s="2093"/>
      <c r="AX83" s="2093"/>
      <c r="AY83" s="2096" t="s">
        <v>545</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2370</v>
      </c>
      <c r="J84" s="2014"/>
      <c r="K84" s="2014"/>
      <c r="L84" s="2014"/>
      <c r="M84" s="2014"/>
      <c r="N84" s="2014"/>
      <c r="O84" s="2014" t="s">
        <v>2346</v>
      </c>
      <c r="P84" s="2014"/>
      <c r="Q84" s="2014"/>
      <c r="R84" s="2014"/>
      <c r="S84" s="2014"/>
      <c r="T84" s="2014"/>
      <c r="U84" s="2014"/>
      <c r="V84" s="2100" t="s">
        <v>2345</v>
      </c>
      <c r="W84" s="2100"/>
      <c r="X84" s="2100"/>
      <c r="Y84" s="2100"/>
      <c r="Z84" s="2100"/>
      <c r="AA84" s="2100"/>
      <c r="AB84" s="2101" t="s">
        <v>2369</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2368</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2367</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2374</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2366</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2378</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2377</v>
      </c>
      <c r="C94" s="2070"/>
      <c r="D94" s="2070"/>
      <c r="E94" s="2070"/>
      <c r="F94" s="2070"/>
      <c r="G94" s="2070"/>
      <c r="H94" s="2070"/>
      <c r="I94" s="2070"/>
      <c r="J94" s="2070"/>
      <c r="K94" s="2070"/>
      <c r="L94" s="2070"/>
      <c r="M94" s="2070"/>
      <c r="N94" s="2070"/>
      <c r="O94" s="2070"/>
      <c r="P94" s="2070"/>
      <c r="Q94" s="2104"/>
      <c r="R94" s="2071" t="s">
        <v>2188</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2376</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2375</v>
      </c>
      <c r="AK96" s="2093"/>
      <c r="AL96" s="2093"/>
      <c r="AM96" s="2093"/>
      <c r="AN96" s="2093"/>
      <c r="AO96" s="2093"/>
      <c r="AP96" s="2093"/>
      <c r="AQ96" s="2093"/>
      <c r="AR96" s="2093"/>
      <c r="AS96" s="2093"/>
      <c r="AT96" s="2093"/>
      <c r="AU96" s="2093"/>
      <c r="AV96" s="2093"/>
      <c r="AW96" s="2093"/>
      <c r="AX96" s="2093"/>
      <c r="AY96" s="2096" t="s">
        <v>545</v>
      </c>
      <c r="AZ96" s="2096"/>
      <c r="BA96" s="2096"/>
      <c r="BB96" s="2097"/>
      <c r="BC96" s="1190"/>
      <c r="BD96" s="1190"/>
      <c r="BE96" s="1194"/>
      <c r="BQ96" s="1256" t="str">
        <f>Application!M243&amp;IF(TRIM(Application!AA249)&lt;&gt;""," ("&amp;Application!AA249&amp;")","")</f>
        <v>Pacific Housing, Inc.</v>
      </c>
      <c r="BR96" s="1259">
        <f>Application!AH246</f>
        <v>1E-3</v>
      </c>
      <c r="CM96" s="1188"/>
      <c r="CN96" s="1188"/>
      <c r="CO96" s="1188"/>
      <c r="CP96" s="1188"/>
    </row>
    <row r="97" spans="1:94" ht="15.75" customHeight="1">
      <c r="A97" s="1190"/>
      <c r="B97" s="2013"/>
      <c r="C97" s="2014"/>
      <c r="D97" s="2014"/>
      <c r="E97" s="2014"/>
      <c r="F97" s="2014"/>
      <c r="G97" s="2014"/>
      <c r="H97" s="2014"/>
      <c r="I97" s="2014" t="s">
        <v>2370</v>
      </c>
      <c r="J97" s="2014"/>
      <c r="K97" s="2014"/>
      <c r="L97" s="2014"/>
      <c r="M97" s="2014"/>
      <c r="N97" s="2014"/>
      <c r="O97" s="2014" t="s">
        <v>2346</v>
      </c>
      <c r="P97" s="2014"/>
      <c r="Q97" s="2014"/>
      <c r="R97" s="2014"/>
      <c r="S97" s="2014"/>
      <c r="T97" s="2014"/>
      <c r="U97" s="2014"/>
      <c r="V97" s="2100" t="s">
        <v>2345</v>
      </c>
      <c r="W97" s="2100"/>
      <c r="X97" s="2100"/>
      <c r="Y97" s="2100"/>
      <c r="Z97" s="2100"/>
      <c r="AA97" s="2100"/>
      <c r="AB97" s="2101" t="s">
        <v>2369</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Lancaster Family AGP LLC (Lincoln Avenue Capital LLC)</v>
      </c>
      <c r="BR97" s="1259">
        <f>Application!AH254</f>
        <v>8.9999999999999993E-3</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3" t="s">
        <v>2368</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2367</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2374</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2366</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2371</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2370</v>
      </c>
      <c r="J108" s="2014"/>
      <c r="K108" s="2014"/>
      <c r="L108" s="2014"/>
      <c r="M108" s="2014"/>
      <c r="N108" s="2014"/>
      <c r="O108" s="2014" t="s">
        <v>2346</v>
      </c>
      <c r="P108" s="2014"/>
      <c r="Q108" s="2014"/>
      <c r="R108" s="2014"/>
      <c r="S108" s="2014"/>
      <c r="T108" s="2014"/>
      <c r="U108" s="2014"/>
      <c r="V108" s="2100" t="s">
        <v>2345</v>
      </c>
      <c r="W108" s="2100"/>
      <c r="X108" s="2100"/>
      <c r="Y108" s="2100"/>
      <c r="Z108" s="2100"/>
      <c r="AA108" s="2100"/>
      <c r="AB108" s="2101" t="s">
        <v>2369</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2368</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2367</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2366</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2364</v>
      </c>
      <c r="C117" s="2120"/>
      <c r="D117" s="2120"/>
      <c r="E117" s="2120"/>
      <c r="F117" s="2120"/>
      <c r="G117" s="2120"/>
      <c r="H117" s="2120"/>
      <c r="I117" s="2120"/>
      <c r="J117" s="2120"/>
      <c r="K117" s="2120"/>
      <c r="L117" s="2120"/>
      <c r="M117" s="2120"/>
      <c r="N117" s="2120"/>
      <c r="O117" s="2120"/>
      <c r="P117" s="2120"/>
      <c r="Q117" s="2120"/>
      <c r="R117" s="2120"/>
      <c r="S117" s="2120"/>
      <c r="T117" s="2120"/>
      <c r="U117" s="2123" t="s">
        <v>545</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2364</v>
      </c>
      <c r="C121" s="2128"/>
      <c r="D121" s="2128"/>
      <c r="E121" s="2128"/>
      <c r="F121" s="2128"/>
      <c r="G121" s="2128"/>
      <c r="H121" s="2128"/>
      <c r="I121" s="2128"/>
      <c r="J121" s="2128"/>
      <c r="K121" s="2128"/>
      <c r="L121" s="2128"/>
      <c r="M121" s="2128"/>
      <c r="N121" s="2128"/>
      <c r="O121" s="2128"/>
      <c r="P121" s="2128"/>
      <c r="Q121" s="2128"/>
      <c r="R121" s="2128"/>
      <c r="S121" s="2128"/>
      <c r="T121" s="2128"/>
      <c r="U121" s="2131" t="s">
        <v>545</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2362</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1576</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2361</v>
      </c>
      <c r="J127" s="2014"/>
      <c r="K127" s="2014"/>
      <c r="L127" s="2014"/>
      <c r="M127" s="2014"/>
      <c r="N127" s="2014"/>
      <c r="O127" s="2111" t="s">
        <v>2360</v>
      </c>
      <c r="P127" s="2111"/>
      <c r="Q127" s="2111"/>
      <c r="R127" s="2111"/>
      <c r="S127" s="2111"/>
      <c r="T127" s="2111"/>
      <c r="U127" s="2112"/>
      <c r="V127" s="1190"/>
      <c r="W127" s="1190"/>
      <c r="X127" s="2079" t="s">
        <v>2330</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2344</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2343</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2358</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2346</v>
      </c>
      <c r="J134" s="2157"/>
      <c r="K134" s="2157"/>
      <c r="L134" s="2157"/>
      <c r="M134" s="2157"/>
      <c r="N134" s="2157"/>
      <c r="O134" s="2157"/>
      <c r="P134" s="2157" t="s">
        <v>2345</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2344</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2343</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2357</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545</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2356</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2355</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545</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2354</v>
      </c>
      <c r="C142" s="2144"/>
      <c r="D142" s="2144"/>
      <c r="E142" s="2144"/>
      <c r="F142" s="2144"/>
      <c r="G142" s="2144"/>
      <c r="H142" s="2144"/>
      <c r="I142" s="2144"/>
      <c r="J142" s="2144"/>
      <c r="K142" s="2144"/>
      <c r="L142" s="2144"/>
      <c r="M142" s="2144"/>
      <c r="N142" s="2144"/>
      <c r="O142" s="2144"/>
      <c r="P142" s="2144"/>
      <c r="Q142" s="2144"/>
      <c r="R142" s="2145" t="s">
        <v>2353</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250</v>
      </c>
      <c r="BD142" s="1190"/>
      <c r="BE142" s="1194"/>
    </row>
    <row r="143" spans="1:57" ht="15.75" customHeight="1">
      <c r="A143" s="1190"/>
      <c r="B143" s="2147" t="s">
        <v>2352</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2349</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2348</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2346</v>
      </c>
      <c r="J157" s="2157"/>
      <c r="K157" s="2157"/>
      <c r="L157" s="2157"/>
      <c r="M157" s="2157"/>
      <c r="N157" s="2157"/>
      <c r="O157" s="2157"/>
      <c r="P157" s="2157" t="s">
        <v>2347</v>
      </c>
      <c r="Q157" s="2157"/>
      <c r="R157" s="2157"/>
      <c r="S157" s="2157"/>
      <c r="T157" s="2157"/>
      <c r="U157" s="2158"/>
      <c r="V157" s="1190"/>
      <c r="W157" s="1190"/>
      <c r="X157" s="2155"/>
      <c r="Y157" s="2156"/>
      <c r="Z157" s="2156"/>
      <c r="AA157" s="2156"/>
      <c r="AB157" s="2156"/>
      <c r="AC157" s="2156"/>
      <c r="AD157" s="2156"/>
      <c r="AE157" s="2157" t="s">
        <v>2346</v>
      </c>
      <c r="AF157" s="2157"/>
      <c r="AG157" s="2157"/>
      <c r="AH157" s="2157"/>
      <c r="AI157" s="2157"/>
      <c r="AJ157" s="2157"/>
      <c r="AK157" s="2157"/>
      <c r="AL157" s="2157" t="s">
        <v>2345</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2344</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2344</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2343</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2342</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2327</v>
      </c>
      <c r="D163" s="2156"/>
      <c r="E163" s="2156"/>
      <c r="F163" s="2156"/>
      <c r="G163" s="2156"/>
      <c r="H163" s="2156"/>
      <c r="I163" s="2156"/>
      <c r="J163" s="2156"/>
      <c r="K163" s="2156"/>
      <c r="L163" s="2156"/>
      <c r="M163" s="2156"/>
      <c r="N163" s="2156"/>
      <c r="O163" s="2156"/>
      <c r="P163" s="2156"/>
      <c r="Q163" s="2156" t="s">
        <v>2341</v>
      </c>
      <c r="R163" s="2156"/>
      <c r="S163" s="2156"/>
      <c r="T163" s="2101" t="s">
        <v>2340</v>
      </c>
      <c r="U163" s="2101"/>
      <c r="V163" s="2101"/>
      <c r="W163" s="2101"/>
      <c r="X163" s="2101"/>
      <c r="Y163" s="2101"/>
      <c r="Z163" s="2101"/>
      <c r="AA163" s="2101"/>
      <c r="AB163" s="2156" t="s">
        <v>2339</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2338</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2337</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2336</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2335</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170</v>
      </c>
      <c r="D168" s="2160"/>
      <c r="E168" s="2160"/>
      <c r="F168" s="2167" t="s">
        <v>2316</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170</v>
      </c>
      <c r="D169" s="2160"/>
      <c r="E169" s="2160"/>
      <c r="F169" s="2167" t="s">
        <v>2316</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170</v>
      </c>
      <c r="D170" s="2169"/>
      <c r="E170" s="2169"/>
      <c r="F170" s="2170" t="s">
        <v>2316</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2334</v>
      </c>
      <c r="D172" s="2060"/>
      <c r="E172" s="2060"/>
      <c r="F172" s="2060"/>
      <c r="G172" s="2060"/>
      <c r="H172" s="2060"/>
      <c r="I172" s="2060"/>
      <c r="J172" s="2060"/>
      <c r="K172" s="2060"/>
      <c r="L172" s="2060"/>
      <c r="M172" s="2060"/>
      <c r="N172" s="2110"/>
      <c r="O172" s="1190"/>
      <c r="P172" s="2175" t="s">
        <v>2333</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2332</v>
      </c>
      <c r="D173" s="2156"/>
      <c r="E173" s="2156"/>
      <c r="F173" s="2156"/>
      <c r="G173" s="2156"/>
      <c r="H173" s="2156"/>
      <c r="I173" s="2156" t="s">
        <v>2331</v>
      </c>
      <c r="J173" s="2156"/>
      <c r="K173" s="2156"/>
      <c r="L173" s="2156"/>
      <c r="M173" s="2156"/>
      <c r="N173" s="2164"/>
      <c r="O173" s="1190"/>
      <c r="P173" s="2079" t="s">
        <v>2330</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2329</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2327</v>
      </c>
      <c r="D184" s="2060"/>
      <c r="E184" s="2060"/>
      <c r="F184" s="2060"/>
      <c r="G184" s="2060"/>
      <c r="H184" s="2060"/>
      <c r="I184" s="2060"/>
      <c r="J184" s="2060"/>
      <c r="K184" s="2060"/>
      <c r="L184" s="2060"/>
      <c r="M184" s="2060"/>
      <c r="N184" s="2060" t="s">
        <v>2328</v>
      </c>
      <c r="O184" s="2060"/>
      <c r="P184" s="2060"/>
      <c r="Q184" s="2060"/>
      <c r="R184" s="2060"/>
      <c r="S184" s="2060"/>
      <c r="T184" s="2060"/>
      <c r="U184" s="2011" t="s">
        <v>2327</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2326</v>
      </c>
      <c r="D185" s="2184"/>
      <c r="E185" s="2184"/>
      <c r="F185" s="2184"/>
      <c r="G185" s="2184"/>
      <c r="H185" s="2184"/>
      <c r="I185" s="2184"/>
      <c r="J185" s="2184"/>
      <c r="K185" s="2184"/>
      <c r="L185" s="2184"/>
      <c r="M185" s="2184"/>
      <c r="N185" s="2185">
        <f>'Sources and Uses Budget'!B105</f>
        <v>115036414</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2325</v>
      </c>
      <c r="D186" s="2184"/>
      <c r="E186" s="2184"/>
      <c r="F186" s="2184"/>
      <c r="G186" s="2184"/>
      <c r="H186" s="2184"/>
      <c r="I186" s="2184"/>
      <c r="J186" s="2184"/>
      <c r="K186" s="2184"/>
      <c r="L186" s="2184"/>
      <c r="M186" s="2184"/>
      <c r="N186" s="2185">
        <f>N185/J29</f>
        <v>535053.08837209304</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2324</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2323</v>
      </c>
      <c r="D188" s="2184"/>
      <c r="E188" s="2184"/>
      <c r="F188" s="2184"/>
      <c r="G188" s="2184"/>
      <c r="H188" s="2184"/>
      <c r="I188" s="2184"/>
      <c r="J188" s="2184"/>
      <c r="K188" s="2184"/>
      <c r="L188" s="2184"/>
      <c r="M188" s="2184"/>
      <c r="N188" s="2201">
        <f>SUM('Sources and Uses Budget'!B85:B86)</f>
        <v>7338158</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2322</v>
      </c>
      <c r="D189" s="2184"/>
      <c r="E189" s="2184"/>
      <c r="F189" s="2184"/>
      <c r="G189" s="2184"/>
      <c r="H189" s="2184"/>
      <c r="I189" s="2184"/>
      <c r="J189" s="2184"/>
      <c r="K189" s="2184"/>
      <c r="L189" s="2184"/>
      <c r="M189" s="2184"/>
      <c r="N189" s="2201">
        <f>'Sources and Uses Budget'!B8</f>
        <v>6600000</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2320</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2321</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2320</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2319</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2318</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300</v>
      </c>
      <c r="D192" s="2161"/>
      <c r="E192" s="2214" t="s">
        <v>2316</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2317</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300</v>
      </c>
      <c r="D193" s="2017"/>
      <c r="E193" s="2214" t="s">
        <v>2316</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300</v>
      </c>
      <c r="D194" s="2240"/>
      <c r="E194" s="2241" t="s">
        <v>2316</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2315</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2314</v>
      </c>
      <c r="D195" s="2223"/>
      <c r="E195" s="2223"/>
      <c r="F195" s="2223"/>
      <c r="G195" s="2223"/>
      <c r="H195" s="2223"/>
      <c r="I195" s="2223"/>
      <c r="J195" s="2223"/>
      <c r="K195" s="2223"/>
      <c r="L195" s="2223"/>
      <c r="M195" s="2223"/>
      <c r="N195" s="2224">
        <f>SUM(N187:T194)</f>
        <v>13938158</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2313</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2312</v>
      </c>
      <c r="D196" s="2233"/>
      <c r="E196" s="2233"/>
      <c r="F196" s="2233"/>
      <c r="G196" s="2233"/>
      <c r="H196" s="2233"/>
      <c r="I196" s="2233"/>
      <c r="J196" s="2233"/>
      <c r="K196" s="2233"/>
      <c r="L196" s="2233"/>
      <c r="M196" s="2233"/>
      <c r="N196" s="2234">
        <f>(N185-N195)/J29</f>
        <v>470224.44651162793</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2311</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2310</v>
      </c>
      <c r="D200" s="2259"/>
      <c r="E200" s="2259"/>
      <c r="F200" s="2259"/>
      <c r="G200" s="2259"/>
      <c r="H200" s="2259"/>
      <c r="I200" s="2259"/>
      <c r="J200" s="2259"/>
      <c r="K200" s="2259"/>
      <c r="L200" s="2259"/>
      <c r="M200" s="2259"/>
      <c r="N200" s="2259"/>
      <c r="O200" s="2260" t="s">
        <v>2309</v>
      </c>
      <c r="P200" s="2260"/>
      <c r="Q200" s="2260"/>
      <c r="R200" s="2260"/>
      <c r="S200" s="2260"/>
      <c r="T200" s="2260"/>
      <c r="U200" s="2260"/>
      <c r="V200" s="2260"/>
      <c r="W200" s="2260"/>
      <c r="X200" s="2260" t="s">
        <v>2308</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2307</v>
      </c>
      <c r="D201" s="2251"/>
      <c r="E201" s="2251"/>
      <c r="F201" s="2251"/>
      <c r="G201" s="2251"/>
      <c r="H201" s="2251"/>
      <c r="I201" s="2251"/>
      <c r="J201" s="2251"/>
      <c r="K201" s="2251"/>
      <c r="L201" s="2251"/>
      <c r="M201" s="2251"/>
      <c r="N201" s="2251"/>
      <c r="O201" s="2252" t="s">
        <v>2306</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854</v>
      </c>
      <c r="D202" s="2251"/>
      <c r="E202" s="2251"/>
      <c r="F202" s="2251"/>
      <c r="G202" s="2251"/>
      <c r="H202" s="2251"/>
      <c r="I202" s="2251"/>
      <c r="J202" s="2251"/>
      <c r="K202" s="2251"/>
      <c r="L202" s="2251"/>
      <c r="M202" s="2251"/>
      <c r="N202" s="2251"/>
      <c r="O202" s="2252" t="s">
        <v>2306</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2305</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2304</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2303</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2302</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2301</v>
      </c>
      <c r="D207" s="2266"/>
      <c r="E207" s="2266"/>
      <c r="F207" s="2267"/>
      <c r="G207" s="2271" t="s">
        <v>2300</v>
      </c>
      <c r="H207" s="2266"/>
      <c r="I207" s="2266"/>
      <c r="J207" s="2266"/>
      <c r="K207" s="2266"/>
      <c r="L207" s="2266"/>
      <c r="M207" s="2266"/>
      <c r="N207" s="2266"/>
      <c r="O207" s="2267"/>
      <c r="P207" s="2273" t="s">
        <v>2299</v>
      </c>
      <c r="Q207" s="2274"/>
      <c r="R207" s="2274"/>
      <c r="S207" s="2274"/>
      <c r="T207" s="2275"/>
      <c r="U207" s="2279" t="s">
        <v>2298</v>
      </c>
      <c r="V207" s="2280"/>
      <c r="W207" s="2280"/>
      <c r="X207" s="2281"/>
      <c r="Y207" s="2279" t="s">
        <v>2297</v>
      </c>
      <c r="Z207" s="2280"/>
      <c r="AA207" s="2280"/>
      <c r="AB207" s="2281"/>
      <c r="AC207" s="2279" t="s">
        <v>2296</v>
      </c>
      <c r="AD207" s="2280"/>
      <c r="AE207" s="2280"/>
      <c r="AF207" s="2281"/>
      <c r="AG207" s="2271" t="s">
        <v>2295</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1884</v>
      </c>
      <c r="H209" s="2292"/>
      <c r="I209" s="2292"/>
      <c r="J209" s="2292"/>
      <c r="K209" s="2292"/>
      <c r="L209" s="2292"/>
      <c r="M209" s="2292"/>
      <c r="N209" s="2292"/>
      <c r="O209" s="2292"/>
      <c r="P209" s="2293"/>
      <c r="Q209" s="2296"/>
      <c r="R209" s="2296"/>
      <c r="S209" s="2296"/>
      <c r="T209" s="2296"/>
      <c r="U209" s="2294" t="s">
        <v>1884</v>
      </c>
      <c r="V209" s="2294"/>
      <c r="W209" s="2294"/>
      <c r="X209" s="2294"/>
      <c r="Y209" s="2294" t="s">
        <v>1884</v>
      </c>
      <c r="Z209" s="2294"/>
      <c r="AA209" s="2294"/>
      <c r="AB209" s="2294"/>
      <c r="AC209" s="2295" t="s">
        <v>1884</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1884</v>
      </c>
      <c r="H210" s="2292"/>
      <c r="I210" s="2292"/>
      <c r="J210" s="2292"/>
      <c r="K210" s="2292"/>
      <c r="L210" s="2292"/>
      <c r="M210" s="2292"/>
      <c r="N210" s="2292"/>
      <c r="O210" s="2292"/>
      <c r="P210" s="2293"/>
      <c r="Q210" s="2293"/>
      <c r="R210" s="2293"/>
      <c r="S210" s="2293"/>
      <c r="T210" s="2293"/>
      <c r="U210" s="2294" t="s">
        <v>1884</v>
      </c>
      <c r="V210" s="2294"/>
      <c r="W210" s="2294"/>
      <c r="X210" s="2294"/>
      <c r="Y210" s="2294" t="s">
        <v>1884</v>
      </c>
      <c r="Z210" s="2294"/>
      <c r="AA210" s="2294"/>
      <c r="AB210" s="2294"/>
      <c r="AC210" s="2295" t="s">
        <v>1884</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1884</v>
      </c>
      <c r="H211" s="2292"/>
      <c r="I211" s="2292"/>
      <c r="J211" s="2292"/>
      <c r="K211" s="2292"/>
      <c r="L211" s="2292"/>
      <c r="M211" s="2292"/>
      <c r="N211" s="2292"/>
      <c r="O211" s="2292"/>
      <c r="P211" s="2293"/>
      <c r="Q211" s="2293"/>
      <c r="R211" s="2293"/>
      <c r="S211" s="2293"/>
      <c r="T211" s="2293"/>
      <c r="U211" s="2294" t="s">
        <v>1884</v>
      </c>
      <c r="V211" s="2294"/>
      <c r="W211" s="2294"/>
      <c r="X211" s="2294"/>
      <c r="Y211" s="2294" t="s">
        <v>1884</v>
      </c>
      <c r="Z211" s="2294"/>
      <c r="AA211" s="2294"/>
      <c r="AB211" s="2294"/>
      <c r="AC211" s="2295" t="s">
        <v>1884</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1884</v>
      </c>
      <c r="H212" s="2292"/>
      <c r="I212" s="2292"/>
      <c r="J212" s="2292"/>
      <c r="K212" s="2292"/>
      <c r="L212" s="2292"/>
      <c r="M212" s="2292"/>
      <c r="N212" s="2292"/>
      <c r="O212" s="2292"/>
      <c r="P212" s="2293"/>
      <c r="Q212" s="2293"/>
      <c r="R212" s="2293"/>
      <c r="S212" s="2293"/>
      <c r="T212" s="2293"/>
      <c r="U212" s="2294" t="s">
        <v>1884</v>
      </c>
      <c r="V212" s="2294"/>
      <c r="W212" s="2294"/>
      <c r="X212" s="2294"/>
      <c r="Y212" s="2294" t="s">
        <v>1884</v>
      </c>
      <c r="Z212" s="2294"/>
      <c r="AA212" s="2294"/>
      <c r="AB212" s="2294"/>
      <c r="AC212" s="2295" t="s">
        <v>1884</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1884</v>
      </c>
      <c r="H213" s="2292"/>
      <c r="I213" s="2292"/>
      <c r="J213" s="2292"/>
      <c r="K213" s="2292"/>
      <c r="L213" s="2292"/>
      <c r="M213" s="2292"/>
      <c r="N213" s="2292"/>
      <c r="O213" s="2292"/>
      <c r="P213" s="2293"/>
      <c r="Q213" s="2293"/>
      <c r="R213" s="2293"/>
      <c r="S213" s="2293"/>
      <c r="T213" s="2293"/>
      <c r="U213" s="2294" t="s">
        <v>1884</v>
      </c>
      <c r="V213" s="2294"/>
      <c r="W213" s="2294"/>
      <c r="X213" s="2294"/>
      <c r="Y213" s="2294" t="s">
        <v>1884</v>
      </c>
      <c r="Z213" s="2294"/>
      <c r="AA213" s="2294"/>
      <c r="AB213" s="2294"/>
      <c r="AC213" s="2295" t="s">
        <v>1884</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1884</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1884</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1884</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2294</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2292</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2291</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2290</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2289</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2287</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2286</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2285</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2284</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2283</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441</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2282</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2281</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5" zoomScaleNormal="115" workbookViewId="0">
      <selection activeCell="K4" sqref="K4"/>
    </sheetView>
  </sheetViews>
  <sheetFormatPr defaultColWidth="0" defaultRowHeight="13.25" customHeight="1"/>
  <cols>
    <col min="1" max="1" width="1.54296875" style="402" customWidth="1"/>
    <col min="2" max="2" width="0.7265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7265625" style="402" hidden="1" customWidth="1"/>
    <col min="259" max="274" width="2.54296875" style="402" hidden="1" customWidth="1"/>
    <col min="275" max="275" width="4" style="402" hidden="1" customWidth="1"/>
    <col min="276" max="279" width="2.54296875" style="402" hidden="1" customWidth="1"/>
    <col min="280" max="280" width="2.36328125" style="402" hidden="1" customWidth="1"/>
    <col min="281" max="284" width="2.54296875" style="402" hidden="1" customWidth="1"/>
    <col min="285" max="285" width="2.36328125" style="402" hidden="1" customWidth="1"/>
    <col min="286" max="289" width="2.54296875" style="402" hidden="1" customWidth="1"/>
    <col min="290" max="295" width="2.36328125" style="402" hidden="1" customWidth="1"/>
    <col min="296" max="296" width="1.54296875" style="402" hidden="1" customWidth="1"/>
    <col min="297" max="512" width="2.54296875" style="402" hidden="1"/>
    <col min="513" max="513" width="1.54296875" style="402" hidden="1" customWidth="1"/>
    <col min="514" max="514" width="0.7265625" style="402" hidden="1" customWidth="1"/>
    <col min="515" max="530" width="2.54296875" style="402" hidden="1" customWidth="1"/>
    <col min="531" max="531" width="4" style="402" hidden="1" customWidth="1"/>
    <col min="532" max="535" width="2.54296875" style="402" hidden="1" customWidth="1"/>
    <col min="536" max="536" width="2.36328125" style="402" hidden="1" customWidth="1"/>
    <col min="537" max="540" width="2.54296875" style="402" hidden="1" customWidth="1"/>
    <col min="541" max="541" width="2.36328125" style="402" hidden="1" customWidth="1"/>
    <col min="542" max="545" width="2.54296875" style="402" hidden="1" customWidth="1"/>
    <col min="546" max="551" width="2.36328125" style="402" hidden="1" customWidth="1"/>
    <col min="552" max="552" width="1.54296875" style="402" hidden="1" customWidth="1"/>
    <col min="553" max="768" width="2.54296875" style="402" hidden="1"/>
    <col min="769" max="769" width="1.54296875" style="402" hidden="1" customWidth="1"/>
    <col min="770" max="770" width="0.7265625" style="402" hidden="1" customWidth="1"/>
    <col min="771" max="786" width="2.54296875" style="402" hidden="1" customWidth="1"/>
    <col min="787" max="787" width="4" style="402" hidden="1" customWidth="1"/>
    <col min="788" max="791" width="2.54296875" style="402" hidden="1" customWidth="1"/>
    <col min="792" max="792" width="2.36328125" style="402" hidden="1" customWidth="1"/>
    <col min="793" max="796" width="2.54296875" style="402" hidden="1" customWidth="1"/>
    <col min="797" max="797" width="2.36328125" style="402" hidden="1" customWidth="1"/>
    <col min="798" max="801" width="2.54296875" style="402" hidden="1" customWidth="1"/>
    <col min="802" max="807" width="2.36328125" style="402" hidden="1" customWidth="1"/>
    <col min="808" max="808" width="1.54296875" style="402" hidden="1" customWidth="1"/>
    <col min="809" max="1024" width="2.54296875" style="402" hidden="1"/>
    <col min="1025" max="1025" width="1.54296875" style="402" hidden="1" customWidth="1"/>
    <col min="1026" max="1026" width="0.7265625" style="402" hidden="1" customWidth="1"/>
    <col min="1027" max="1042" width="2.54296875" style="402" hidden="1" customWidth="1"/>
    <col min="1043" max="1043" width="4" style="402" hidden="1" customWidth="1"/>
    <col min="1044" max="1047" width="2.54296875" style="402" hidden="1" customWidth="1"/>
    <col min="1048" max="1048" width="2.36328125" style="402" hidden="1" customWidth="1"/>
    <col min="1049" max="1052" width="2.54296875" style="402" hidden="1" customWidth="1"/>
    <col min="1053" max="1053" width="2.36328125" style="402" hidden="1" customWidth="1"/>
    <col min="1054" max="1057" width="2.54296875" style="402" hidden="1" customWidth="1"/>
    <col min="1058" max="1063" width="2.36328125" style="402" hidden="1" customWidth="1"/>
    <col min="1064" max="1064" width="1.54296875" style="402" hidden="1" customWidth="1"/>
    <col min="1065" max="1280" width="2.54296875" style="402" hidden="1"/>
    <col min="1281" max="1281" width="1.54296875" style="402" hidden="1" customWidth="1"/>
    <col min="1282" max="1282" width="0.7265625" style="402" hidden="1" customWidth="1"/>
    <col min="1283" max="1298" width="2.54296875" style="402" hidden="1" customWidth="1"/>
    <col min="1299" max="1299" width="4" style="402" hidden="1" customWidth="1"/>
    <col min="1300" max="1303" width="2.54296875" style="402" hidden="1" customWidth="1"/>
    <col min="1304" max="1304" width="2.36328125" style="402" hidden="1" customWidth="1"/>
    <col min="1305" max="1308" width="2.54296875" style="402" hidden="1" customWidth="1"/>
    <col min="1309" max="1309" width="2.36328125" style="402" hidden="1" customWidth="1"/>
    <col min="1310" max="1313" width="2.54296875" style="402" hidden="1" customWidth="1"/>
    <col min="1314" max="1319" width="2.36328125" style="402" hidden="1" customWidth="1"/>
    <col min="1320" max="1320" width="1.54296875" style="402" hidden="1" customWidth="1"/>
    <col min="1321" max="1536" width="2.54296875" style="402" hidden="1"/>
    <col min="1537" max="1537" width="1.54296875" style="402" hidden="1" customWidth="1"/>
    <col min="1538" max="1538" width="0.7265625" style="402" hidden="1" customWidth="1"/>
    <col min="1539" max="1554" width="2.54296875" style="402" hidden="1" customWidth="1"/>
    <col min="1555" max="1555" width="4" style="402" hidden="1" customWidth="1"/>
    <col min="1556" max="1559" width="2.54296875" style="402" hidden="1" customWidth="1"/>
    <col min="1560" max="1560" width="2.36328125" style="402" hidden="1" customWidth="1"/>
    <col min="1561" max="1564" width="2.54296875" style="402" hidden="1" customWidth="1"/>
    <col min="1565" max="1565" width="2.36328125" style="402" hidden="1" customWidth="1"/>
    <col min="1566" max="1569" width="2.54296875" style="402" hidden="1" customWidth="1"/>
    <col min="1570" max="1575" width="2.36328125" style="402" hidden="1" customWidth="1"/>
    <col min="1576" max="1576" width="1.54296875" style="402" hidden="1" customWidth="1"/>
    <col min="1577" max="1792" width="2.54296875" style="402" hidden="1"/>
    <col min="1793" max="1793" width="1.54296875" style="402" hidden="1" customWidth="1"/>
    <col min="1794" max="1794" width="0.7265625" style="402" hidden="1" customWidth="1"/>
    <col min="1795" max="1810" width="2.54296875" style="402" hidden="1" customWidth="1"/>
    <col min="1811" max="1811" width="4" style="402" hidden="1" customWidth="1"/>
    <col min="1812" max="1815" width="2.54296875" style="402" hidden="1" customWidth="1"/>
    <col min="1816" max="1816" width="2.36328125" style="402" hidden="1" customWidth="1"/>
    <col min="1817" max="1820" width="2.54296875" style="402" hidden="1" customWidth="1"/>
    <col min="1821" max="1821" width="2.36328125" style="402" hidden="1" customWidth="1"/>
    <col min="1822" max="1825" width="2.54296875" style="402" hidden="1" customWidth="1"/>
    <col min="1826" max="1831" width="2.36328125" style="402" hidden="1" customWidth="1"/>
    <col min="1832" max="1832" width="1.54296875" style="402" hidden="1" customWidth="1"/>
    <col min="1833" max="2048" width="2.54296875" style="402" hidden="1"/>
    <col min="2049" max="2049" width="1.54296875" style="402" hidden="1" customWidth="1"/>
    <col min="2050" max="2050" width="0.7265625" style="402" hidden="1" customWidth="1"/>
    <col min="2051" max="2066" width="2.54296875" style="402" hidden="1" customWidth="1"/>
    <col min="2067" max="2067" width="4" style="402" hidden="1" customWidth="1"/>
    <col min="2068" max="2071" width="2.54296875" style="402" hidden="1" customWidth="1"/>
    <col min="2072" max="2072" width="2.36328125" style="402" hidden="1" customWidth="1"/>
    <col min="2073" max="2076" width="2.54296875" style="402" hidden="1" customWidth="1"/>
    <col min="2077" max="2077" width="2.36328125" style="402" hidden="1" customWidth="1"/>
    <col min="2078" max="2081" width="2.54296875" style="402" hidden="1" customWidth="1"/>
    <col min="2082" max="2087" width="2.36328125" style="402" hidden="1" customWidth="1"/>
    <col min="2088" max="2088" width="1.54296875" style="402" hidden="1" customWidth="1"/>
    <col min="2089" max="2304" width="2.54296875" style="402" hidden="1"/>
    <col min="2305" max="2305" width="1.54296875" style="402" hidden="1" customWidth="1"/>
    <col min="2306" max="2306" width="0.7265625" style="402" hidden="1" customWidth="1"/>
    <col min="2307" max="2322" width="2.54296875" style="402" hidden="1" customWidth="1"/>
    <col min="2323" max="2323" width="4" style="402" hidden="1" customWidth="1"/>
    <col min="2324" max="2327" width="2.54296875" style="402" hidden="1" customWidth="1"/>
    <col min="2328" max="2328" width="2.36328125" style="402" hidden="1" customWidth="1"/>
    <col min="2329" max="2332" width="2.54296875" style="402" hidden="1" customWidth="1"/>
    <col min="2333" max="2333" width="2.36328125" style="402" hidden="1" customWidth="1"/>
    <col min="2334" max="2337" width="2.54296875" style="402" hidden="1" customWidth="1"/>
    <col min="2338" max="2343" width="2.36328125" style="402" hidden="1" customWidth="1"/>
    <col min="2344" max="2344" width="1.54296875" style="402" hidden="1" customWidth="1"/>
    <col min="2345" max="2560" width="2.54296875" style="402" hidden="1"/>
    <col min="2561" max="2561" width="1.54296875" style="402" hidden="1" customWidth="1"/>
    <col min="2562" max="2562" width="0.7265625" style="402" hidden="1" customWidth="1"/>
    <col min="2563" max="2578" width="2.54296875" style="402" hidden="1" customWidth="1"/>
    <col min="2579" max="2579" width="4" style="402" hidden="1" customWidth="1"/>
    <col min="2580" max="2583" width="2.54296875" style="402" hidden="1" customWidth="1"/>
    <col min="2584" max="2584" width="2.36328125" style="402" hidden="1" customWidth="1"/>
    <col min="2585" max="2588" width="2.54296875" style="402" hidden="1" customWidth="1"/>
    <col min="2589" max="2589" width="2.36328125" style="402" hidden="1" customWidth="1"/>
    <col min="2590" max="2593" width="2.54296875" style="402" hidden="1" customWidth="1"/>
    <col min="2594" max="2599" width="2.36328125" style="402" hidden="1" customWidth="1"/>
    <col min="2600" max="2600" width="1.54296875" style="402" hidden="1" customWidth="1"/>
    <col min="2601" max="2816" width="2.54296875" style="402" hidden="1"/>
    <col min="2817" max="2817" width="1.54296875" style="402" hidden="1" customWidth="1"/>
    <col min="2818" max="2818" width="0.7265625" style="402" hidden="1" customWidth="1"/>
    <col min="2819" max="2834" width="2.54296875" style="402" hidden="1" customWidth="1"/>
    <col min="2835" max="2835" width="4" style="402" hidden="1" customWidth="1"/>
    <col min="2836" max="2839" width="2.54296875" style="402" hidden="1" customWidth="1"/>
    <col min="2840" max="2840" width="2.36328125" style="402" hidden="1" customWidth="1"/>
    <col min="2841" max="2844" width="2.54296875" style="402" hidden="1" customWidth="1"/>
    <col min="2845" max="2845" width="2.36328125" style="402" hidden="1" customWidth="1"/>
    <col min="2846" max="2849" width="2.54296875" style="402" hidden="1" customWidth="1"/>
    <col min="2850" max="2855" width="2.36328125" style="402" hidden="1" customWidth="1"/>
    <col min="2856" max="2856" width="1.54296875" style="402" hidden="1" customWidth="1"/>
    <col min="2857" max="3072" width="2.54296875" style="402" hidden="1"/>
    <col min="3073" max="3073" width="1.54296875" style="402" hidden="1" customWidth="1"/>
    <col min="3074" max="3074" width="0.7265625" style="402" hidden="1" customWidth="1"/>
    <col min="3075" max="3090" width="2.54296875" style="402" hidden="1" customWidth="1"/>
    <col min="3091" max="3091" width="4" style="402" hidden="1" customWidth="1"/>
    <col min="3092" max="3095" width="2.54296875" style="402" hidden="1" customWidth="1"/>
    <col min="3096" max="3096" width="2.36328125" style="402" hidden="1" customWidth="1"/>
    <col min="3097" max="3100" width="2.54296875" style="402" hidden="1" customWidth="1"/>
    <col min="3101" max="3101" width="2.36328125" style="402" hidden="1" customWidth="1"/>
    <col min="3102" max="3105" width="2.54296875" style="402" hidden="1" customWidth="1"/>
    <col min="3106" max="3111" width="2.36328125" style="402" hidden="1" customWidth="1"/>
    <col min="3112" max="3112" width="1.54296875" style="402" hidden="1" customWidth="1"/>
    <col min="3113" max="3328" width="2.54296875" style="402" hidden="1"/>
    <col min="3329" max="3329" width="1.54296875" style="402" hidden="1" customWidth="1"/>
    <col min="3330" max="3330" width="0.7265625" style="402" hidden="1" customWidth="1"/>
    <col min="3331" max="3346" width="2.54296875" style="402" hidden="1" customWidth="1"/>
    <col min="3347" max="3347" width="4" style="402" hidden="1" customWidth="1"/>
    <col min="3348" max="3351" width="2.54296875" style="402" hidden="1" customWidth="1"/>
    <col min="3352" max="3352" width="2.36328125" style="402" hidden="1" customWidth="1"/>
    <col min="3353" max="3356" width="2.54296875" style="402" hidden="1" customWidth="1"/>
    <col min="3357" max="3357" width="2.36328125" style="402" hidden="1" customWidth="1"/>
    <col min="3358" max="3361" width="2.54296875" style="402" hidden="1" customWidth="1"/>
    <col min="3362" max="3367" width="2.36328125" style="402" hidden="1" customWidth="1"/>
    <col min="3368" max="3368" width="1.54296875" style="402" hidden="1" customWidth="1"/>
    <col min="3369" max="3584" width="2.54296875" style="402" hidden="1"/>
    <col min="3585" max="3585" width="1.54296875" style="402" hidden="1" customWidth="1"/>
    <col min="3586" max="3586" width="0.7265625" style="402" hidden="1" customWidth="1"/>
    <col min="3587" max="3602" width="2.54296875" style="402" hidden="1" customWidth="1"/>
    <col min="3603" max="3603" width="4" style="402" hidden="1" customWidth="1"/>
    <col min="3604" max="3607" width="2.54296875" style="402" hidden="1" customWidth="1"/>
    <col min="3608" max="3608" width="2.36328125" style="402" hidden="1" customWidth="1"/>
    <col min="3609" max="3612" width="2.54296875" style="402" hidden="1" customWidth="1"/>
    <col min="3613" max="3613" width="2.36328125" style="402" hidden="1" customWidth="1"/>
    <col min="3614" max="3617" width="2.54296875" style="402" hidden="1" customWidth="1"/>
    <col min="3618" max="3623" width="2.36328125" style="402" hidden="1" customWidth="1"/>
    <col min="3624" max="3624" width="1.54296875" style="402" hidden="1" customWidth="1"/>
    <col min="3625" max="3840" width="2.54296875" style="402" hidden="1"/>
    <col min="3841" max="3841" width="1.54296875" style="402" hidden="1" customWidth="1"/>
    <col min="3842" max="3842" width="0.7265625" style="402" hidden="1" customWidth="1"/>
    <col min="3843" max="3858" width="2.54296875" style="402" hidden="1" customWidth="1"/>
    <col min="3859" max="3859" width="4" style="402" hidden="1" customWidth="1"/>
    <col min="3860" max="3863" width="2.54296875" style="402" hidden="1" customWidth="1"/>
    <col min="3864" max="3864" width="2.36328125" style="402" hidden="1" customWidth="1"/>
    <col min="3865" max="3868" width="2.54296875" style="402" hidden="1" customWidth="1"/>
    <col min="3869" max="3869" width="2.36328125" style="402" hidden="1" customWidth="1"/>
    <col min="3870" max="3873" width="2.54296875" style="402" hidden="1" customWidth="1"/>
    <col min="3874" max="3879" width="2.36328125" style="402" hidden="1" customWidth="1"/>
    <col min="3880" max="3880" width="1.54296875" style="402" hidden="1" customWidth="1"/>
    <col min="3881" max="4096" width="2.54296875" style="402" hidden="1"/>
    <col min="4097" max="4097" width="1.54296875" style="402" hidden="1" customWidth="1"/>
    <col min="4098" max="4098" width="0.7265625" style="402" hidden="1" customWidth="1"/>
    <col min="4099" max="4114" width="2.54296875" style="402" hidden="1" customWidth="1"/>
    <col min="4115" max="4115" width="4" style="402" hidden="1" customWidth="1"/>
    <col min="4116" max="4119" width="2.54296875" style="402" hidden="1" customWidth="1"/>
    <col min="4120" max="4120" width="2.36328125" style="402" hidden="1" customWidth="1"/>
    <col min="4121" max="4124" width="2.54296875" style="402" hidden="1" customWidth="1"/>
    <col min="4125" max="4125" width="2.36328125" style="402" hidden="1" customWidth="1"/>
    <col min="4126" max="4129" width="2.54296875" style="402" hidden="1" customWidth="1"/>
    <col min="4130" max="4135" width="2.36328125" style="402" hidden="1" customWidth="1"/>
    <col min="4136" max="4136" width="1.54296875" style="402" hidden="1" customWidth="1"/>
    <col min="4137" max="4352" width="2.54296875" style="402" hidden="1"/>
    <col min="4353" max="4353" width="1.54296875" style="402" hidden="1" customWidth="1"/>
    <col min="4354" max="4354" width="0.7265625" style="402" hidden="1" customWidth="1"/>
    <col min="4355" max="4370" width="2.54296875" style="402" hidden="1" customWidth="1"/>
    <col min="4371" max="4371" width="4" style="402" hidden="1" customWidth="1"/>
    <col min="4372" max="4375" width="2.54296875" style="402" hidden="1" customWidth="1"/>
    <col min="4376" max="4376" width="2.36328125" style="402" hidden="1" customWidth="1"/>
    <col min="4377" max="4380" width="2.54296875" style="402" hidden="1" customWidth="1"/>
    <col min="4381" max="4381" width="2.36328125" style="402" hidden="1" customWidth="1"/>
    <col min="4382" max="4385" width="2.54296875" style="402" hidden="1" customWidth="1"/>
    <col min="4386" max="4391" width="2.36328125" style="402" hidden="1" customWidth="1"/>
    <col min="4392" max="4392" width="1.54296875" style="402" hidden="1" customWidth="1"/>
    <col min="4393" max="4608" width="2.54296875" style="402" hidden="1"/>
    <col min="4609" max="4609" width="1.54296875" style="402" hidden="1" customWidth="1"/>
    <col min="4610" max="4610" width="0.7265625" style="402" hidden="1" customWidth="1"/>
    <col min="4611" max="4626" width="2.54296875" style="402" hidden="1" customWidth="1"/>
    <col min="4627" max="4627" width="4" style="402" hidden="1" customWidth="1"/>
    <col min="4628" max="4631" width="2.54296875" style="402" hidden="1" customWidth="1"/>
    <col min="4632" max="4632" width="2.36328125" style="402" hidden="1" customWidth="1"/>
    <col min="4633" max="4636" width="2.54296875" style="402" hidden="1" customWidth="1"/>
    <col min="4637" max="4637" width="2.36328125" style="402" hidden="1" customWidth="1"/>
    <col min="4638" max="4641" width="2.54296875" style="402" hidden="1" customWidth="1"/>
    <col min="4642" max="4647" width="2.36328125" style="402" hidden="1" customWidth="1"/>
    <col min="4648" max="4648" width="1.54296875" style="402" hidden="1" customWidth="1"/>
    <col min="4649" max="4864" width="2.54296875" style="402" hidden="1"/>
    <col min="4865" max="4865" width="1.54296875" style="402" hidden="1" customWidth="1"/>
    <col min="4866" max="4866" width="0.7265625" style="402" hidden="1" customWidth="1"/>
    <col min="4867" max="4882" width="2.54296875" style="402" hidden="1" customWidth="1"/>
    <col min="4883" max="4883" width="4" style="402" hidden="1" customWidth="1"/>
    <col min="4884" max="4887" width="2.54296875" style="402" hidden="1" customWidth="1"/>
    <col min="4888" max="4888" width="2.36328125" style="402" hidden="1" customWidth="1"/>
    <col min="4889" max="4892" width="2.54296875" style="402" hidden="1" customWidth="1"/>
    <col min="4893" max="4893" width="2.36328125" style="402" hidden="1" customWidth="1"/>
    <col min="4894" max="4897" width="2.54296875" style="402" hidden="1" customWidth="1"/>
    <col min="4898" max="4903" width="2.36328125" style="402" hidden="1" customWidth="1"/>
    <col min="4904" max="4904" width="1.54296875" style="402" hidden="1" customWidth="1"/>
    <col min="4905" max="5120" width="2.54296875" style="402" hidden="1"/>
    <col min="5121" max="5121" width="1.54296875" style="402" hidden="1" customWidth="1"/>
    <col min="5122" max="5122" width="0.7265625" style="402" hidden="1" customWidth="1"/>
    <col min="5123" max="5138" width="2.54296875" style="402" hidden="1" customWidth="1"/>
    <col min="5139" max="5139" width="4" style="402" hidden="1" customWidth="1"/>
    <col min="5140" max="5143" width="2.54296875" style="402" hidden="1" customWidth="1"/>
    <col min="5144" max="5144" width="2.36328125" style="402" hidden="1" customWidth="1"/>
    <col min="5145" max="5148" width="2.54296875" style="402" hidden="1" customWidth="1"/>
    <col min="5149" max="5149" width="2.36328125" style="402" hidden="1" customWidth="1"/>
    <col min="5150" max="5153" width="2.54296875" style="402" hidden="1" customWidth="1"/>
    <col min="5154" max="5159" width="2.36328125" style="402" hidden="1" customWidth="1"/>
    <col min="5160" max="5160" width="1.54296875" style="402" hidden="1" customWidth="1"/>
    <col min="5161" max="5376" width="2.54296875" style="402" hidden="1"/>
    <col min="5377" max="5377" width="1.54296875" style="402" hidden="1" customWidth="1"/>
    <col min="5378" max="5378" width="0.7265625" style="402" hidden="1" customWidth="1"/>
    <col min="5379" max="5394" width="2.54296875" style="402" hidden="1" customWidth="1"/>
    <col min="5395" max="5395" width="4" style="402" hidden="1" customWidth="1"/>
    <col min="5396" max="5399" width="2.54296875" style="402" hidden="1" customWidth="1"/>
    <col min="5400" max="5400" width="2.36328125" style="402" hidden="1" customWidth="1"/>
    <col min="5401" max="5404" width="2.54296875" style="402" hidden="1" customWidth="1"/>
    <col min="5405" max="5405" width="2.36328125" style="402" hidden="1" customWidth="1"/>
    <col min="5406" max="5409" width="2.54296875" style="402" hidden="1" customWidth="1"/>
    <col min="5410" max="5415" width="2.36328125" style="402" hidden="1" customWidth="1"/>
    <col min="5416" max="5416" width="1.54296875" style="402" hidden="1" customWidth="1"/>
    <col min="5417" max="5632" width="2.54296875" style="402" hidden="1"/>
    <col min="5633" max="5633" width="1.54296875" style="402" hidden="1" customWidth="1"/>
    <col min="5634" max="5634" width="0.7265625" style="402" hidden="1" customWidth="1"/>
    <col min="5635" max="5650" width="2.54296875" style="402" hidden="1" customWidth="1"/>
    <col min="5651" max="5651" width="4" style="402" hidden="1" customWidth="1"/>
    <col min="5652" max="5655" width="2.54296875" style="402" hidden="1" customWidth="1"/>
    <col min="5656" max="5656" width="2.36328125" style="402" hidden="1" customWidth="1"/>
    <col min="5657" max="5660" width="2.54296875" style="402" hidden="1" customWidth="1"/>
    <col min="5661" max="5661" width="2.36328125" style="402" hidden="1" customWidth="1"/>
    <col min="5662" max="5665" width="2.54296875" style="402" hidden="1" customWidth="1"/>
    <col min="5666" max="5671" width="2.36328125" style="402" hidden="1" customWidth="1"/>
    <col min="5672" max="5672" width="1.54296875" style="402" hidden="1" customWidth="1"/>
    <col min="5673" max="5888" width="2.54296875" style="402" hidden="1"/>
    <col min="5889" max="5889" width="1.54296875" style="402" hidden="1" customWidth="1"/>
    <col min="5890" max="5890" width="0.7265625" style="402" hidden="1" customWidth="1"/>
    <col min="5891" max="5906" width="2.54296875" style="402" hidden="1" customWidth="1"/>
    <col min="5907" max="5907" width="4" style="402" hidden="1" customWidth="1"/>
    <col min="5908" max="5911" width="2.54296875" style="402" hidden="1" customWidth="1"/>
    <col min="5912" max="5912" width="2.36328125" style="402" hidden="1" customWidth="1"/>
    <col min="5913" max="5916" width="2.54296875" style="402" hidden="1" customWidth="1"/>
    <col min="5917" max="5917" width="2.36328125" style="402" hidden="1" customWidth="1"/>
    <col min="5918" max="5921" width="2.54296875" style="402" hidden="1" customWidth="1"/>
    <col min="5922" max="5927" width="2.36328125" style="402" hidden="1" customWidth="1"/>
    <col min="5928" max="5928" width="1.54296875" style="402" hidden="1" customWidth="1"/>
    <col min="5929" max="6144" width="2.54296875" style="402" hidden="1"/>
    <col min="6145" max="6145" width="1.54296875" style="402" hidden="1" customWidth="1"/>
    <col min="6146" max="6146" width="0.7265625" style="402" hidden="1" customWidth="1"/>
    <col min="6147" max="6162" width="2.54296875" style="402" hidden="1" customWidth="1"/>
    <col min="6163" max="6163" width="4" style="402" hidden="1" customWidth="1"/>
    <col min="6164" max="6167" width="2.54296875" style="402" hidden="1" customWidth="1"/>
    <col min="6168" max="6168" width="2.36328125" style="402" hidden="1" customWidth="1"/>
    <col min="6169" max="6172" width="2.54296875" style="402" hidden="1" customWidth="1"/>
    <col min="6173" max="6173" width="2.36328125" style="402" hidden="1" customWidth="1"/>
    <col min="6174" max="6177" width="2.54296875" style="402" hidden="1" customWidth="1"/>
    <col min="6178" max="6183" width="2.36328125" style="402" hidden="1" customWidth="1"/>
    <col min="6184" max="6184" width="1.54296875" style="402" hidden="1" customWidth="1"/>
    <col min="6185" max="6400" width="2.54296875" style="402" hidden="1"/>
    <col min="6401" max="6401" width="1.54296875" style="402" hidden="1" customWidth="1"/>
    <col min="6402" max="6402" width="0.7265625" style="402" hidden="1" customWidth="1"/>
    <col min="6403" max="6418" width="2.54296875" style="402" hidden="1" customWidth="1"/>
    <col min="6419" max="6419" width="4" style="402" hidden="1" customWidth="1"/>
    <col min="6420" max="6423" width="2.54296875" style="402" hidden="1" customWidth="1"/>
    <col min="6424" max="6424" width="2.36328125" style="402" hidden="1" customWidth="1"/>
    <col min="6425" max="6428" width="2.54296875" style="402" hidden="1" customWidth="1"/>
    <col min="6429" max="6429" width="2.36328125" style="402" hidden="1" customWidth="1"/>
    <col min="6430" max="6433" width="2.54296875" style="402" hidden="1" customWidth="1"/>
    <col min="6434" max="6439" width="2.36328125" style="402" hidden="1" customWidth="1"/>
    <col min="6440" max="6440" width="1.54296875" style="402" hidden="1" customWidth="1"/>
    <col min="6441" max="6656" width="2.54296875" style="402" hidden="1"/>
    <col min="6657" max="6657" width="1.54296875" style="402" hidden="1" customWidth="1"/>
    <col min="6658" max="6658" width="0.7265625" style="402" hidden="1" customWidth="1"/>
    <col min="6659" max="6674" width="2.54296875" style="402" hidden="1" customWidth="1"/>
    <col min="6675" max="6675" width="4" style="402" hidden="1" customWidth="1"/>
    <col min="6676" max="6679" width="2.54296875" style="402" hidden="1" customWidth="1"/>
    <col min="6680" max="6680" width="2.36328125" style="402" hidden="1" customWidth="1"/>
    <col min="6681" max="6684" width="2.54296875" style="402" hidden="1" customWidth="1"/>
    <col min="6685" max="6685" width="2.36328125" style="402" hidden="1" customWidth="1"/>
    <col min="6686" max="6689" width="2.54296875" style="402" hidden="1" customWidth="1"/>
    <col min="6690" max="6695" width="2.36328125" style="402" hidden="1" customWidth="1"/>
    <col min="6696" max="6696" width="1.54296875" style="402" hidden="1" customWidth="1"/>
    <col min="6697" max="6912" width="2.54296875" style="402" hidden="1"/>
    <col min="6913" max="6913" width="1.54296875" style="402" hidden="1" customWidth="1"/>
    <col min="6914" max="6914" width="0.7265625" style="402" hidden="1" customWidth="1"/>
    <col min="6915" max="6930" width="2.54296875" style="402" hidden="1" customWidth="1"/>
    <col min="6931" max="6931" width="4" style="402" hidden="1" customWidth="1"/>
    <col min="6932" max="6935" width="2.54296875" style="402" hidden="1" customWidth="1"/>
    <col min="6936" max="6936" width="2.36328125" style="402" hidden="1" customWidth="1"/>
    <col min="6937" max="6940" width="2.54296875" style="402" hidden="1" customWidth="1"/>
    <col min="6941" max="6941" width="2.36328125" style="402" hidden="1" customWidth="1"/>
    <col min="6942" max="6945" width="2.54296875" style="402" hidden="1" customWidth="1"/>
    <col min="6946" max="6951" width="2.36328125" style="402" hidden="1" customWidth="1"/>
    <col min="6952" max="6952" width="1.54296875" style="402" hidden="1" customWidth="1"/>
    <col min="6953" max="7168" width="2.54296875" style="402" hidden="1"/>
    <col min="7169" max="7169" width="1.54296875" style="402" hidden="1" customWidth="1"/>
    <col min="7170" max="7170" width="0.7265625" style="402" hidden="1" customWidth="1"/>
    <col min="7171" max="7186" width="2.54296875" style="402" hidden="1" customWidth="1"/>
    <col min="7187" max="7187" width="4" style="402" hidden="1" customWidth="1"/>
    <col min="7188" max="7191" width="2.54296875" style="402" hidden="1" customWidth="1"/>
    <col min="7192" max="7192" width="2.36328125" style="402" hidden="1" customWidth="1"/>
    <col min="7193" max="7196" width="2.54296875" style="402" hidden="1" customWidth="1"/>
    <col min="7197" max="7197" width="2.36328125" style="402" hidden="1" customWidth="1"/>
    <col min="7198" max="7201" width="2.54296875" style="402" hidden="1" customWidth="1"/>
    <col min="7202" max="7207" width="2.36328125" style="402" hidden="1" customWidth="1"/>
    <col min="7208" max="7208" width="1.54296875" style="402" hidden="1" customWidth="1"/>
    <col min="7209" max="7424" width="2.54296875" style="402" hidden="1"/>
    <col min="7425" max="7425" width="1.54296875" style="402" hidden="1" customWidth="1"/>
    <col min="7426" max="7426" width="0.7265625" style="402" hidden="1" customWidth="1"/>
    <col min="7427" max="7442" width="2.54296875" style="402" hidden="1" customWidth="1"/>
    <col min="7443" max="7443" width="4" style="402" hidden="1" customWidth="1"/>
    <col min="7444" max="7447" width="2.54296875" style="402" hidden="1" customWidth="1"/>
    <col min="7448" max="7448" width="2.36328125" style="402" hidden="1" customWidth="1"/>
    <col min="7449" max="7452" width="2.54296875" style="402" hidden="1" customWidth="1"/>
    <col min="7453" max="7453" width="2.36328125" style="402" hidden="1" customWidth="1"/>
    <col min="7454" max="7457" width="2.54296875" style="402" hidden="1" customWidth="1"/>
    <col min="7458" max="7463" width="2.36328125" style="402" hidden="1" customWidth="1"/>
    <col min="7464" max="7464" width="1.54296875" style="402" hidden="1" customWidth="1"/>
    <col min="7465" max="7680" width="2.54296875" style="402" hidden="1"/>
    <col min="7681" max="7681" width="1.54296875" style="402" hidden="1" customWidth="1"/>
    <col min="7682" max="7682" width="0.7265625" style="402" hidden="1" customWidth="1"/>
    <col min="7683" max="7698" width="2.54296875" style="402" hidden="1" customWidth="1"/>
    <col min="7699" max="7699" width="4" style="402" hidden="1" customWidth="1"/>
    <col min="7700" max="7703" width="2.54296875" style="402" hidden="1" customWidth="1"/>
    <col min="7704" max="7704" width="2.36328125" style="402" hidden="1" customWidth="1"/>
    <col min="7705" max="7708" width="2.54296875" style="402" hidden="1" customWidth="1"/>
    <col min="7709" max="7709" width="2.36328125" style="402" hidden="1" customWidth="1"/>
    <col min="7710" max="7713" width="2.54296875" style="402" hidden="1" customWidth="1"/>
    <col min="7714" max="7719" width="2.36328125" style="402" hidden="1" customWidth="1"/>
    <col min="7720" max="7720" width="1.54296875" style="402" hidden="1" customWidth="1"/>
    <col min="7721" max="7936" width="2.54296875" style="402" hidden="1"/>
    <col min="7937" max="7937" width="1.54296875" style="402" hidden="1" customWidth="1"/>
    <col min="7938" max="7938" width="0.7265625" style="402" hidden="1" customWidth="1"/>
    <col min="7939" max="7954" width="2.54296875" style="402" hidden="1" customWidth="1"/>
    <col min="7955" max="7955" width="4" style="402" hidden="1" customWidth="1"/>
    <col min="7956" max="7959" width="2.54296875" style="402" hidden="1" customWidth="1"/>
    <col min="7960" max="7960" width="2.36328125" style="402" hidden="1" customWidth="1"/>
    <col min="7961" max="7964" width="2.54296875" style="402" hidden="1" customWidth="1"/>
    <col min="7965" max="7965" width="2.36328125" style="402" hidden="1" customWidth="1"/>
    <col min="7966" max="7969" width="2.54296875" style="402" hidden="1" customWidth="1"/>
    <col min="7970" max="7975" width="2.36328125" style="402" hidden="1" customWidth="1"/>
    <col min="7976" max="7976" width="1.54296875" style="402" hidden="1" customWidth="1"/>
    <col min="7977" max="8192" width="2.54296875" style="402" hidden="1"/>
    <col min="8193" max="8193" width="1.54296875" style="402" hidden="1" customWidth="1"/>
    <col min="8194" max="8194" width="0.7265625" style="402" hidden="1" customWidth="1"/>
    <col min="8195" max="8210" width="2.54296875" style="402" hidden="1" customWidth="1"/>
    <col min="8211" max="8211" width="4" style="402" hidden="1" customWidth="1"/>
    <col min="8212" max="8215" width="2.54296875" style="402" hidden="1" customWidth="1"/>
    <col min="8216" max="8216" width="2.36328125" style="402" hidden="1" customWidth="1"/>
    <col min="8217" max="8220" width="2.54296875" style="402" hidden="1" customWidth="1"/>
    <col min="8221" max="8221" width="2.36328125" style="402" hidden="1" customWidth="1"/>
    <col min="8222" max="8225" width="2.54296875" style="402" hidden="1" customWidth="1"/>
    <col min="8226" max="8231" width="2.36328125" style="402" hidden="1" customWidth="1"/>
    <col min="8232" max="8232" width="1.54296875" style="402" hidden="1" customWidth="1"/>
    <col min="8233" max="8448" width="2.54296875" style="402" hidden="1"/>
    <col min="8449" max="8449" width="1.54296875" style="402" hidden="1" customWidth="1"/>
    <col min="8450" max="8450" width="0.7265625" style="402" hidden="1" customWidth="1"/>
    <col min="8451" max="8466" width="2.54296875" style="402" hidden="1" customWidth="1"/>
    <col min="8467" max="8467" width="4" style="402" hidden="1" customWidth="1"/>
    <col min="8468" max="8471" width="2.54296875" style="402" hidden="1" customWidth="1"/>
    <col min="8472" max="8472" width="2.36328125" style="402" hidden="1" customWidth="1"/>
    <col min="8473" max="8476" width="2.54296875" style="402" hidden="1" customWidth="1"/>
    <col min="8477" max="8477" width="2.36328125" style="402" hidden="1" customWidth="1"/>
    <col min="8478" max="8481" width="2.54296875" style="402" hidden="1" customWidth="1"/>
    <col min="8482" max="8487" width="2.36328125" style="402" hidden="1" customWidth="1"/>
    <col min="8488" max="8488" width="1.54296875" style="402" hidden="1" customWidth="1"/>
    <col min="8489" max="8704" width="2.54296875" style="402" hidden="1"/>
    <col min="8705" max="8705" width="1.54296875" style="402" hidden="1" customWidth="1"/>
    <col min="8706" max="8706" width="0.7265625" style="402" hidden="1" customWidth="1"/>
    <col min="8707" max="8722" width="2.54296875" style="402" hidden="1" customWidth="1"/>
    <col min="8723" max="8723" width="4" style="402" hidden="1" customWidth="1"/>
    <col min="8724" max="8727" width="2.54296875" style="402" hidden="1" customWidth="1"/>
    <col min="8728" max="8728" width="2.36328125" style="402" hidden="1" customWidth="1"/>
    <col min="8729" max="8732" width="2.54296875" style="402" hidden="1" customWidth="1"/>
    <col min="8733" max="8733" width="2.36328125" style="402" hidden="1" customWidth="1"/>
    <col min="8734" max="8737" width="2.54296875" style="402" hidden="1" customWidth="1"/>
    <col min="8738" max="8743" width="2.36328125" style="402" hidden="1" customWidth="1"/>
    <col min="8744" max="8744" width="1.54296875" style="402" hidden="1" customWidth="1"/>
    <col min="8745" max="8960" width="2.54296875" style="402" hidden="1"/>
    <col min="8961" max="8961" width="1.54296875" style="402" hidden="1" customWidth="1"/>
    <col min="8962" max="8962" width="0.7265625" style="402" hidden="1" customWidth="1"/>
    <col min="8963" max="8978" width="2.54296875" style="402" hidden="1" customWidth="1"/>
    <col min="8979" max="8979" width="4" style="402" hidden="1" customWidth="1"/>
    <col min="8980" max="8983" width="2.54296875" style="402" hidden="1" customWidth="1"/>
    <col min="8984" max="8984" width="2.36328125" style="402" hidden="1" customWidth="1"/>
    <col min="8985" max="8988" width="2.54296875" style="402" hidden="1" customWidth="1"/>
    <col min="8989" max="8989" width="2.36328125" style="402" hidden="1" customWidth="1"/>
    <col min="8990" max="8993" width="2.54296875" style="402" hidden="1" customWidth="1"/>
    <col min="8994" max="8999" width="2.36328125" style="402" hidden="1" customWidth="1"/>
    <col min="9000" max="9000" width="1.54296875" style="402" hidden="1" customWidth="1"/>
    <col min="9001" max="9216" width="2.54296875" style="402" hidden="1"/>
    <col min="9217" max="9217" width="1.54296875" style="402" hidden="1" customWidth="1"/>
    <col min="9218" max="9218" width="0.7265625" style="402" hidden="1" customWidth="1"/>
    <col min="9219" max="9234" width="2.54296875" style="402" hidden="1" customWidth="1"/>
    <col min="9235" max="9235" width="4" style="402" hidden="1" customWidth="1"/>
    <col min="9236" max="9239" width="2.54296875" style="402" hidden="1" customWidth="1"/>
    <col min="9240" max="9240" width="2.36328125" style="402" hidden="1" customWidth="1"/>
    <col min="9241" max="9244" width="2.54296875" style="402" hidden="1" customWidth="1"/>
    <col min="9245" max="9245" width="2.36328125" style="402" hidden="1" customWidth="1"/>
    <col min="9246" max="9249" width="2.54296875" style="402" hidden="1" customWidth="1"/>
    <col min="9250" max="9255" width="2.36328125" style="402" hidden="1" customWidth="1"/>
    <col min="9256" max="9256" width="1.54296875" style="402" hidden="1" customWidth="1"/>
    <col min="9257" max="9472" width="2.54296875" style="402" hidden="1"/>
    <col min="9473" max="9473" width="1.54296875" style="402" hidden="1" customWidth="1"/>
    <col min="9474" max="9474" width="0.7265625" style="402" hidden="1" customWidth="1"/>
    <col min="9475" max="9490" width="2.54296875" style="402" hidden="1" customWidth="1"/>
    <col min="9491" max="9491" width="4" style="402" hidden="1" customWidth="1"/>
    <col min="9492" max="9495" width="2.54296875" style="402" hidden="1" customWidth="1"/>
    <col min="9496" max="9496" width="2.36328125" style="402" hidden="1" customWidth="1"/>
    <col min="9497" max="9500" width="2.54296875" style="402" hidden="1" customWidth="1"/>
    <col min="9501" max="9501" width="2.36328125" style="402" hidden="1" customWidth="1"/>
    <col min="9502" max="9505" width="2.54296875" style="402" hidden="1" customWidth="1"/>
    <col min="9506" max="9511" width="2.36328125" style="402" hidden="1" customWidth="1"/>
    <col min="9512" max="9512" width="1.54296875" style="402" hidden="1" customWidth="1"/>
    <col min="9513" max="9728" width="2.54296875" style="402" hidden="1"/>
    <col min="9729" max="9729" width="1.54296875" style="402" hidden="1" customWidth="1"/>
    <col min="9730" max="9730" width="0.7265625" style="402" hidden="1" customWidth="1"/>
    <col min="9731" max="9746" width="2.54296875" style="402" hidden="1" customWidth="1"/>
    <col min="9747" max="9747" width="4" style="402" hidden="1" customWidth="1"/>
    <col min="9748" max="9751" width="2.54296875" style="402" hidden="1" customWidth="1"/>
    <col min="9752" max="9752" width="2.36328125" style="402" hidden="1" customWidth="1"/>
    <col min="9753" max="9756" width="2.54296875" style="402" hidden="1" customWidth="1"/>
    <col min="9757" max="9757" width="2.36328125" style="402" hidden="1" customWidth="1"/>
    <col min="9758" max="9761" width="2.54296875" style="402" hidden="1" customWidth="1"/>
    <col min="9762" max="9767" width="2.36328125" style="402" hidden="1" customWidth="1"/>
    <col min="9768" max="9768" width="1.54296875" style="402" hidden="1" customWidth="1"/>
    <col min="9769" max="9984" width="2.54296875" style="402" hidden="1"/>
    <col min="9985" max="9985" width="1.54296875" style="402" hidden="1" customWidth="1"/>
    <col min="9986" max="9986" width="0.7265625" style="402" hidden="1" customWidth="1"/>
    <col min="9987" max="10002" width="2.54296875" style="402" hidden="1" customWidth="1"/>
    <col min="10003" max="10003" width="4" style="402" hidden="1" customWidth="1"/>
    <col min="10004" max="10007" width="2.54296875" style="402" hidden="1" customWidth="1"/>
    <col min="10008" max="10008" width="2.36328125" style="402" hidden="1" customWidth="1"/>
    <col min="10009" max="10012" width="2.54296875" style="402" hidden="1" customWidth="1"/>
    <col min="10013" max="10013" width="2.36328125" style="402" hidden="1" customWidth="1"/>
    <col min="10014" max="10017" width="2.54296875" style="402" hidden="1" customWidth="1"/>
    <col min="10018" max="10023" width="2.36328125" style="402" hidden="1" customWidth="1"/>
    <col min="10024" max="10024" width="1.54296875" style="402" hidden="1" customWidth="1"/>
    <col min="10025" max="10240" width="2.54296875" style="402" hidden="1"/>
    <col min="10241" max="10241" width="1.54296875" style="402" hidden="1" customWidth="1"/>
    <col min="10242" max="10242" width="0.7265625" style="402" hidden="1" customWidth="1"/>
    <col min="10243" max="10258" width="2.54296875" style="402" hidden="1" customWidth="1"/>
    <col min="10259" max="10259" width="4" style="402" hidden="1" customWidth="1"/>
    <col min="10260" max="10263" width="2.54296875" style="402" hidden="1" customWidth="1"/>
    <col min="10264" max="10264" width="2.36328125" style="402" hidden="1" customWidth="1"/>
    <col min="10265" max="10268" width="2.54296875" style="402" hidden="1" customWidth="1"/>
    <col min="10269" max="10269" width="2.36328125" style="402" hidden="1" customWidth="1"/>
    <col min="10270" max="10273" width="2.54296875" style="402" hidden="1" customWidth="1"/>
    <col min="10274" max="10279" width="2.36328125" style="402" hidden="1" customWidth="1"/>
    <col min="10280" max="10280" width="1.54296875" style="402" hidden="1" customWidth="1"/>
    <col min="10281" max="10496" width="2.54296875" style="402" hidden="1"/>
    <col min="10497" max="10497" width="1.54296875" style="402" hidden="1" customWidth="1"/>
    <col min="10498" max="10498" width="0.7265625" style="402" hidden="1" customWidth="1"/>
    <col min="10499" max="10514" width="2.54296875" style="402" hidden="1" customWidth="1"/>
    <col min="10515" max="10515" width="4" style="402" hidden="1" customWidth="1"/>
    <col min="10516" max="10519" width="2.54296875" style="402" hidden="1" customWidth="1"/>
    <col min="10520" max="10520" width="2.36328125" style="402" hidden="1" customWidth="1"/>
    <col min="10521" max="10524" width="2.54296875" style="402" hidden="1" customWidth="1"/>
    <col min="10525" max="10525" width="2.36328125" style="402" hidden="1" customWidth="1"/>
    <col min="10526" max="10529" width="2.54296875" style="402" hidden="1" customWidth="1"/>
    <col min="10530" max="10535" width="2.36328125" style="402" hidden="1" customWidth="1"/>
    <col min="10536" max="10536" width="1.54296875" style="402" hidden="1" customWidth="1"/>
    <col min="10537" max="10752" width="2.54296875" style="402" hidden="1"/>
    <col min="10753" max="10753" width="1.54296875" style="402" hidden="1" customWidth="1"/>
    <col min="10754" max="10754" width="0.7265625" style="402" hidden="1" customWidth="1"/>
    <col min="10755" max="10770" width="2.54296875" style="402" hidden="1" customWidth="1"/>
    <col min="10771" max="10771" width="4" style="402" hidden="1" customWidth="1"/>
    <col min="10772" max="10775" width="2.54296875" style="402" hidden="1" customWidth="1"/>
    <col min="10776" max="10776" width="2.36328125" style="402" hidden="1" customWidth="1"/>
    <col min="10777" max="10780" width="2.54296875" style="402" hidden="1" customWidth="1"/>
    <col min="10781" max="10781" width="2.36328125" style="402" hidden="1" customWidth="1"/>
    <col min="10782" max="10785" width="2.54296875" style="402" hidden="1" customWidth="1"/>
    <col min="10786" max="10791" width="2.36328125" style="402" hidden="1" customWidth="1"/>
    <col min="10792" max="10792" width="1.54296875" style="402" hidden="1" customWidth="1"/>
    <col min="10793" max="11008" width="2.54296875" style="402" hidden="1"/>
    <col min="11009" max="11009" width="1.54296875" style="402" hidden="1" customWidth="1"/>
    <col min="11010" max="11010" width="0.7265625" style="402" hidden="1" customWidth="1"/>
    <col min="11011" max="11026" width="2.54296875" style="402" hidden="1" customWidth="1"/>
    <col min="11027" max="11027" width="4" style="402" hidden="1" customWidth="1"/>
    <col min="11028" max="11031" width="2.54296875" style="402" hidden="1" customWidth="1"/>
    <col min="11032" max="11032" width="2.36328125" style="402" hidden="1" customWidth="1"/>
    <col min="11033" max="11036" width="2.54296875" style="402" hidden="1" customWidth="1"/>
    <col min="11037" max="11037" width="2.36328125" style="402" hidden="1" customWidth="1"/>
    <col min="11038" max="11041" width="2.54296875" style="402" hidden="1" customWidth="1"/>
    <col min="11042" max="11047" width="2.36328125" style="402" hidden="1" customWidth="1"/>
    <col min="11048" max="11048" width="1.54296875" style="402" hidden="1" customWidth="1"/>
    <col min="11049" max="11264" width="2.54296875" style="402" hidden="1"/>
    <col min="11265" max="11265" width="1.54296875" style="402" hidden="1" customWidth="1"/>
    <col min="11266" max="11266" width="0.7265625" style="402" hidden="1" customWidth="1"/>
    <col min="11267" max="11282" width="2.54296875" style="402" hidden="1" customWidth="1"/>
    <col min="11283" max="11283" width="4" style="402" hidden="1" customWidth="1"/>
    <col min="11284" max="11287" width="2.54296875" style="402" hidden="1" customWidth="1"/>
    <col min="11288" max="11288" width="2.36328125" style="402" hidden="1" customWidth="1"/>
    <col min="11289" max="11292" width="2.54296875" style="402" hidden="1" customWidth="1"/>
    <col min="11293" max="11293" width="2.36328125" style="402" hidden="1" customWidth="1"/>
    <col min="11294" max="11297" width="2.54296875" style="402" hidden="1" customWidth="1"/>
    <col min="11298" max="11303" width="2.36328125" style="402" hidden="1" customWidth="1"/>
    <col min="11304" max="11304" width="1.54296875" style="402" hidden="1" customWidth="1"/>
    <col min="11305" max="11520" width="2.54296875" style="402" hidden="1"/>
    <col min="11521" max="11521" width="1.54296875" style="402" hidden="1" customWidth="1"/>
    <col min="11522" max="11522" width="0.7265625" style="402" hidden="1" customWidth="1"/>
    <col min="11523" max="11538" width="2.54296875" style="402" hidden="1" customWidth="1"/>
    <col min="11539" max="11539" width="4" style="402" hidden="1" customWidth="1"/>
    <col min="11540" max="11543" width="2.54296875" style="402" hidden="1" customWidth="1"/>
    <col min="11544" max="11544" width="2.36328125" style="402" hidden="1" customWidth="1"/>
    <col min="11545" max="11548" width="2.54296875" style="402" hidden="1" customWidth="1"/>
    <col min="11549" max="11549" width="2.36328125" style="402" hidden="1" customWidth="1"/>
    <col min="11550" max="11553" width="2.54296875" style="402" hidden="1" customWidth="1"/>
    <col min="11554" max="11559" width="2.36328125" style="402" hidden="1" customWidth="1"/>
    <col min="11560" max="11560" width="1.54296875" style="402" hidden="1" customWidth="1"/>
    <col min="11561" max="11776" width="2.54296875" style="402" hidden="1"/>
    <col min="11777" max="11777" width="1.54296875" style="402" hidden="1" customWidth="1"/>
    <col min="11778" max="11778" width="0.7265625" style="402" hidden="1" customWidth="1"/>
    <col min="11779" max="11794" width="2.54296875" style="402" hidden="1" customWidth="1"/>
    <col min="11795" max="11795" width="4" style="402" hidden="1" customWidth="1"/>
    <col min="11796" max="11799" width="2.54296875" style="402" hidden="1" customWidth="1"/>
    <col min="11800" max="11800" width="2.36328125" style="402" hidden="1" customWidth="1"/>
    <col min="11801" max="11804" width="2.54296875" style="402" hidden="1" customWidth="1"/>
    <col min="11805" max="11805" width="2.36328125" style="402" hidden="1" customWidth="1"/>
    <col min="11806" max="11809" width="2.54296875" style="402" hidden="1" customWidth="1"/>
    <col min="11810" max="11815" width="2.36328125" style="402" hidden="1" customWidth="1"/>
    <col min="11816" max="11816" width="1.54296875" style="402" hidden="1" customWidth="1"/>
    <col min="11817" max="12032" width="2.54296875" style="402" hidden="1"/>
    <col min="12033" max="12033" width="1.54296875" style="402" hidden="1" customWidth="1"/>
    <col min="12034" max="12034" width="0.7265625" style="402" hidden="1" customWidth="1"/>
    <col min="12035" max="12050" width="2.54296875" style="402" hidden="1" customWidth="1"/>
    <col min="12051" max="12051" width="4" style="402" hidden="1" customWidth="1"/>
    <col min="12052" max="12055" width="2.54296875" style="402" hidden="1" customWidth="1"/>
    <col min="12056" max="12056" width="2.36328125" style="402" hidden="1" customWidth="1"/>
    <col min="12057" max="12060" width="2.54296875" style="402" hidden="1" customWidth="1"/>
    <col min="12061" max="12061" width="2.36328125" style="402" hidden="1" customWidth="1"/>
    <col min="12062" max="12065" width="2.54296875" style="402" hidden="1" customWidth="1"/>
    <col min="12066" max="12071" width="2.36328125" style="402" hidden="1" customWidth="1"/>
    <col min="12072" max="12072" width="1.54296875" style="402" hidden="1" customWidth="1"/>
    <col min="12073" max="12288" width="2.54296875" style="402" hidden="1"/>
    <col min="12289" max="12289" width="1.54296875" style="402" hidden="1" customWidth="1"/>
    <col min="12290" max="12290" width="0.7265625" style="402" hidden="1" customWidth="1"/>
    <col min="12291" max="12306" width="2.54296875" style="402" hidden="1" customWidth="1"/>
    <col min="12307" max="12307" width="4" style="402" hidden="1" customWidth="1"/>
    <col min="12308" max="12311" width="2.54296875" style="402" hidden="1" customWidth="1"/>
    <col min="12312" max="12312" width="2.36328125" style="402" hidden="1" customWidth="1"/>
    <col min="12313" max="12316" width="2.54296875" style="402" hidden="1" customWidth="1"/>
    <col min="12317" max="12317" width="2.36328125" style="402" hidden="1" customWidth="1"/>
    <col min="12318" max="12321" width="2.54296875" style="402" hidden="1" customWidth="1"/>
    <col min="12322" max="12327" width="2.36328125" style="402" hidden="1" customWidth="1"/>
    <col min="12328" max="12328" width="1.54296875" style="402" hidden="1" customWidth="1"/>
    <col min="12329" max="12544" width="2.54296875" style="402" hidden="1"/>
    <col min="12545" max="12545" width="1.54296875" style="402" hidden="1" customWidth="1"/>
    <col min="12546" max="12546" width="0.7265625" style="402" hidden="1" customWidth="1"/>
    <col min="12547" max="12562" width="2.54296875" style="402" hidden="1" customWidth="1"/>
    <col min="12563" max="12563" width="4" style="402" hidden="1" customWidth="1"/>
    <col min="12564" max="12567" width="2.54296875" style="402" hidden="1" customWidth="1"/>
    <col min="12568" max="12568" width="2.36328125" style="402" hidden="1" customWidth="1"/>
    <col min="12569" max="12572" width="2.54296875" style="402" hidden="1" customWidth="1"/>
    <col min="12573" max="12573" width="2.36328125" style="402" hidden="1" customWidth="1"/>
    <col min="12574" max="12577" width="2.54296875" style="402" hidden="1" customWidth="1"/>
    <col min="12578" max="12583" width="2.36328125" style="402" hidden="1" customWidth="1"/>
    <col min="12584" max="12584" width="1.54296875" style="402" hidden="1" customWidth="1"/>
    <col min="12585" max="12800" width="2.54296875" style="402" hidden="1"/>
    <col min="12801" max="12801" width="1.54296875" style="402" hidden="1" customWidth="1"/>
    <col min="12802" max="12802" width="0.7265625" style="402" hidden="1" customWidth="1"/>
    <col min="12803" max="12818" width="2.54296875" style="402" hidden="1" customWidth="1"/>
    <col min="12819" max="12819" width="4" style="402" hidden="1" customWidth="1"/>
    <col min="12820" max="12823" width="2.54296875" style="402" hidden="1" customWidth="1"/>
    <col min="12824" max="12824" width="2.36328125" style="402" hidden="1" customWidth="1"/>
    <col min="12825" max="12828" width="2.54296875" style="402" hidden="1" customWidth="1"/>
    <col min="12829" max="12829" width="2.36328125" style="402" hidden="1" customWidth="1"/>
    <col min="12830" max="12833" width="2.54296875" style="402" hidden="1" customWidth="1"/>
    <col min="12834" max="12839" width="2.36328125" style="402" hidden="1" customWidth="1"/>
    <col min="12840" max="12840" width="1.54296875" style="402" hidden="1" customWidth="1"/>
    <col min="12841" max="13056" width="2.54296875" style="402" hidden="1"/>
    <col min="13057" max="13057" width="1.54296875" style="402" hidden="1" customWidth="1"/>
    <col min="13058" max="13058" width="0.7265625" style="402" hidden="1" customWidth="1"/>
    <col min="13059" max="13074" width="2.54296875" style="402" hidden="1" customWidth="1"/>
    <col min="13075" max="13075" width="4" style="402" hidden="1" customWidth="1"/>
    <col min="13076" max="13079" width="2.54296875" style="402" hidden="1" customWidth="1"/>
    <col min="13080" max="13080" width="2.36328125" style="402" hidden="1" customWidth="1"/>
    <col min="13081" max="13084" width="2.54296875" style="402" hidden="1" customWidth="1"/>
    <col min="13085" max="13085" width="2.36328125" style="402" hidden="1" customWidth="1"/>
    <col min="13086" max="13089" width="2.54296875" style="402" hidden="1" customWidth="1"/>
    <col min="13090" max="13095" width="2.36328125" style="402" hidden="1" customWidth="1"/>
    <col min="13096" max="13096" width="1.54296875" style="402" hidden="1" customWidth="1"/>
    <col min="13097" max="13312" width="2.54296875" style="402" hidden="1"/>
    <col min="13313" max="13313" width="1.54296875" style="402" hidden="1" customWidth="1"/>
    <col min="13314" max="13314" width="0.7265625" style="402" hidden="1" customWidth="1"/>
    <col min="13315" max="13330" width="2.54296875" style="402" hidden="1" customWidth="1"/>
    <col min="13331" max="13331" width="4" style="402" hidden="1" customWidth="1"/>
    <col min="13332" max="13335" width="2.54296875" style="402" hidden="1" customWidth="1"/>
    <col min="13336" max="13336" width="2.36328125" style="402" hidden="1" customWidth="1"/>
    <col min="13337" max="13340" width="2.54296875" style="402" hidden="1" customWidth="1"/>
    <col min="13341" max="13341" width="2.36328125" style="402" hidden="1" customWidth="1"/>
    <col min="13342" max="13345" width="2.54296875" style="402" hidden="1" customWidth="1"/>
    <col min="13346" max="13351" width="2.36328125" style="402" hidden="1" customWidth="1"/>
    <col min="13352" max="13352" width="1.54296875" style="402" hidden="1" customWidth="1"/>
    <col min="13353" max="13568" width="2.54296875" style="402" hidden="1"/>
    <col min="13569" max="13569" width="1.54296875" style="402" hidden="1" customWidth="1"/>
    <col min="13570" max="13570" width="0.7265625" style="402" hidden="1" customWidth="1"/>
    <col min="13571" max="13586" width="2.54296875" style="402" hidden="1" customWidth="1"/>
    <col min="13587" max="13587" width="4" style="402" hidden="1" customWidth="1"/>
    <col min="13588" max="13591" width="2.54296875" style="402" hidden="1" customWidth="1"/>
    <col min="13592" max="13592" width="2.36328125" style="402" hidden="1" customWidth="1"/>
    <col min="13593" max="13596" width="2.54296875" style="402" hidden="1" customWidth="1"/>
    <col min="13597" max="13597" width="2.36328125" style="402" hidden="1" customWidth="1"/>
    <col min="13598" max="13601" width="2.54296875" style="402" hidden="1" customWidth="1"/>
    <col min="13602" max="13607" width="2.36328125" style="402" hidden="1" customWidth="1"/>
    <col min="13608" max="13608" width="1.54296875" style="402" hidden="1" customWidth="1"/>
    <col min="13609" max="13824" width="2.54296875" style="402" hidden="1"/>
    <col min="13825" max="13825" width="1.54296875" style="402" hidden="1" customWidth="1"/>
    <col min="13826" max="13826" width="0.7265625" style="402" hidden="1" customWidth="1"/>
    <col min="13827" max="13842" width="2.54296875" style="402" hidden="1" customWidth="1"/>
    <col min="13843" max="13843" width="4" style="402" hidden="1" customWidth="1"/>
    <col min="13844" max="13847" width="2.54296875" style="402" hidden="1" customWidth="1"/>
    <col min="13848" max="13848" width="2.36328125" style="402" hidden="1" customWidth="1"/>
    <col min="13849" max="13852" width="2.54296875" style="402" hidden="1" customWidth="1"/>
    <col min="13853" max="13853" width="2.36328125" style="402" hidden="1" customWidth="1"/>
    <col min="13854" max="13857" width="2.54296875" style="402" hidden="1" customWidth="1"/>
    <col min="13858" max="13863" width="2.36328125" style="402" hidden="1" customWidth="1"/>
    <col min="13864" max="13864" width="1.54296875" style="402" hidden="1" customWidth="1"/>
    <col min="13865" max="14080" width="2.54296875" style="402" hidden="1"/>
    <col min="14081" max="14081" width="1.54296875" style="402" hidden="1" customWidth="1"/>
    <col min="14082" max="14082" width="0.7265625" style="402" hidden="1" customWidth="1"/>
    <col min="14083" max="14098" width="2.54296875" style="402" hidden="1" customWidth="1"/>
    <col min="14099" max="14099" width="4" style="402" hidden="1" customWidth="1"/>
    <col min="14100" max="14103" width="2.54296875" style="402" hidden="1" customWidth="1"/>
    <col min="14104" max="14104" width="2.36328125" style="402" hidden="1" customWidth="1"/>
    <col min="14105" max="14108" width="2.54296875" style="402" hidden="1" customWidth="1"/>
    <col min="14109" max="14109" width="2.36328125" style="402" hidden="1" customWidth="1"/>
    <col min="14110" max="14113" width="2.54296875" style="402" hidden="1" customWidth="1"/>
    <col min="14114" max="14119" width="2.36328125" style="402" hidden="1" customWidth="1"/>
    <col min="14120" max="14120" width="1.54296875" style="402" hidden="1" customWidth="1"/>
    <col min="14121" max="14336" width="2.54296875" style="402" hidden="1"/>
    <col min="14337" max="14337" width="1.54296875" style="402" hidden="1" customWidth="1"/>
    <col min="14338" max="14338" width="0.7265625" style="402" hidden="1" customWidth="1"/>
    <col min="14339" max="14354" width="2.54296875" style="402" hidden="1" customWidth="1"/>
    <col min="14355" max="14355" width="4" style="402" hidden="1" customWidth="1"/>
    <col min="14356" max="14359" width="2.54296875" style="402" hidden="1" customWidth="1"/>
    <col min="14360" max="14360" width="2.36328125" style="402" hidden="1" customWidth="1"/>
    <col min="14361" max="14364" width="2.54296875" style="402" hidden="1" customWidth="1"/>
    <col min="14365" max="14365" width="2.36328125" style="402" hidden="1" customWidth="1"/>
    <col min="14366" max="14369" width="2.54296875" style="402" hidden="1" customWidth="1"/>
    <col min="14370" max="14375" width="2.36328125" style="402" hidden="1" customWidth="1"/>
    <col min="14376" max="14376" width="1.54296875" style="402" hidden="1" customWidth="1"/>
    <col min="14377" max="14592" width="2.54296875" style="402" hidden="1"/>
    <col min="14593" max="14593" width="1.54296875" style="402" hidden="1" customWidth="1"/>
    <col min="14594" max="14594" width="0.7265625" style="402" hidden="1" customWidth="1"/>
    <col min="14595" max="14610" width="2.54296875" style="402" hidden="1" customWidth="1"/>
    <col min="14611" max="14611" width="4" style="402" hidden="1" customWidth="1"/>
    <col min="14612" max="14615" width="2.54296875" style="402" hidden="1" customWidth="1"/>
    <col min="14616" max="14616" width="2.36328125" style="402" hidden="1" customWidth="1"/>
    <col min="14617" max="14620" width="2.54296875" style="402" hidden="1" customWidth="1"/>
    <col min="14621" max="14621" width="2.36328125" style="402" hidden="1" customWidth="1"/>
    <col min="14622" max="14625" width="2.54296875" style="402" hidden="1" customWidth="1"/>
    <col min="14626" max="14631" width="2.36328125" style="402" hidden="1" customWidth="1"/>
    <col min="14632" max="14632" width="1.54296875" style="402" hidden="1" customWidth="1"/>
    <col min="14633" max="14848" width="2.54296875" style="402" hidden="1"/>
    <col min="14849" max="14849" width="1.54296875" style="402" hidden="1" customWidth="1"/>
    <col min="14850" max="14850" width="0.7265625" style="402" hidden="1" customWidth="1"/>
    <col min="14851" max="14866" width="2.54296875" style="402" hidden="1" customWidth="1"/>
    <col min="14867" max="14867" width="4" style="402" hidden="1" customWidth="1"/>
    <col min="14868" max="14871" width="2.54296875" style="402" hidden="1" customWidth="1"/>
    <col min="14872" max="14872" width="2.36328125" style="402" hidden="1" customWidth="1"/>
    <col min="14873" max="14876" width="2.54296875" style="402" hidden="1" customWidth="1"/>
    <col min="14877" max="14877" width="2.36328125" style="402" hidden="1" customWidth="1"/>
    <col min="14878" max="14881" width="2.54296875" style="402" hidden="1" customWidth="1"/>
    <col min="14882" max="14887" width="2.36328125" style="402" hidden="1" customWidth="1"/>
    <col min="14888" max="14888" width="1.54296875" style="402" hidden="1" customWidth="1"/>
    <col min="14889" max="15104" width="2.54296875" style="402" hidden="1"/>
    <col min="15105" max="15105" width="1.54296875" style="402" hidden="1" customWidth="1"/>
    <col min="15106" max="15106" width="0.7265625" style="402" hidden="1" customWidth="1"/>
    <col min="15107" max="15122" width="2.54296875" style="402" hidden="1" customWidth="1"/>
    <col min="15123" max="15123" width="4" style="402" hidden="1" customWidth="1"/>
    <col min="15124" max="15127" width="2.54296875" style="402" hidden="1" customWidth="1"/>
    <col min="15128" max="15128" width="2.36328125" style="402" hidden="1" customWidth="1"/>
    <col min="15129" max="15132" width="2.54296875" style="402" hidden="1" customWidth="1"/>
    <col min="15133" max="15133" width="2.36328125" style="402" hidden="1" customWidth="1"/>
    <col min="15134" max="15137" width="2.54296875" style="402" hidden="1" customWidth="1"/>
    <col min="15138" max="15143" width="2.36328125" style="402" hidden="1" customWidth="1"/>
    <col min="15144" max="15144" width="1.54296875" style="402" hidden="1" customWidth="1"/>
    <col min="15145" max="15360" width="2.54296875" style="402" hidden="1"/>
    <col min="15361" max="15361" width="1.54296875" style="402" hidden="1" customWidth="1"/>
    <col min="15362" max="15362" width="0.7265625" style="402" hidden="1" customWidth="1"/>
    <col min="15363" max="15378" width="2.54296875" style="402" hidden="1" customWidth="1"/>
    <col min="15379" max="15379" width="4" style="402" hidden="1" customWidth="1"/>
    <col min="15380" max="15383" width="2.54296875" style="402" hidden="1" customWidth="1"/>
    <col min="15384" max="15384" width="2.36328125" style="402" hidden="1" customWidth="1"/>
    <col min="15385" max="15388" width="2.54296875" style="402" hidden="1" customWidth="1"/>
    <col min="15389" max="15389" width="2.36328125" style="402" hidden="1" customWidth="1"/>
    <col min="15390" max="15393" width="2.54296875" style="402" hidden="1" customWidth="1"/>
    <col min="15394" max="15399" width="2.36328125" style="402" hidden="1" customWidth="1"/>
    <col min="15400" max="15400" width="1.54296875" style="402" hidden="1" customWidth="1"/>
    <col min="15401" max="15616" width="2.54296875" style="402" hidden="1"/>
    <col min="15617" max="15617" width="1.54296875" style="402" hidden="1" customWidth="1"/>
    <col min="15618" max="15618" width="0.7265625" style="402" hidden="1" customWidth="1"/>
    <col min="15619" max="15634" width="2.54296875" style="402" hidden="1" customWidth="1"/>
    <col min="15635" max="15635" width="4" style="402" hidden="1" customWidth="1"/>
    <col min="15636" max="15639" width="2.54296875" style="402" hidden="1" customWidth="1"/>
    <col min="15640" max="15640" width="2.36328125" style="402" hidden="1" customWidth="1"/>
    <col min="15641" max="15644" width="2.54296875" style="402" hidden="1" customWidth="1"/>
    <col min="15645" max="15645" width="2.36328125" style="402" hidden="1" customWidth="1"/>
    <col min="15646" max="15649" width="2.54296875" style="402" hidden="1" customWidth="1"/>
    <col min="15650" max="15655" width="2.36328125" style="402" hidden="1" customWidth="1"/>
    <col min="15656" max="15656" width="1.54296875" style="402" hidden="1" customWidth="1"/>
    <col min="15657" max="15872" width="2.54296875" style="402" hidden="1"/>
    <col min="15873" max="15873" width="1.54296875" style="402" hidden="1" customWidth="1"/>
    <col min="15874" max="15874" width="0.7265625" style="402" hidden="1" customWidth="1"/>
    <col min="15875" max="15890" width="2.54296875" style="402" hidden="1" customWidth="1"/>
    <col min="15891" max="15891" width="4" style="402" hidden="1" customWidth="1"/>
    <col min="15892" max="15895" width="2.54296875" style="402" hidden="1" customWidth="1"/>
    <col min="15896" max="15896" width="2.36328125" style="402" hidden="1" customWidth="1"/>
    <col min="15897" max="15900" width="2.54296875" style="402" hidden="1" customWidth="1"/>
    <col min="15901" max="15901" width="2.36328125" style="402" hidden="1" customWidth="1"/>
    <col min="15902" max="15905" width="2.54296875" style="402" hidden="1" customWidth="1"/>
    <col min="15906" max="15911" width="2.36328125" style="402" hidden="1" customWidth="1"/>
    <col min="15912" max="15912" width="1.54296875" style="402" hidden="1" customWidth="1"/>
    <col min="15913" max="16128" width="2.54296875" style="402" hidden="1"/>
    <col min="16129" max="16129" width="1.54296875" style="402" hidden="1" customWidth="1"/>
    <col min="16130" max="16130" width="0.7265625" style="402" hidden="1" customWidth="1"/>
    <col min="16131" max="16146" width="2.54296875" style="402" hidden="1" customWidth="1"/>
    <col min="16147" max="16147" width="4" style="402" hidden="1" customWidth="1"/>
    <col min="16148" max="16151" width="2.54296875" style="402" hidden="1" customWidth="1"/>
    <col min="16152" max="16152" width="2.36328125" style="402" hidden="1" customWidth="1"/>
    <col min="16153" max="16156" width="2.54296875" style="402" hidden="1" customWidth="1"/>
    <col min="16157" max="16157" width="2.36328125" style="402" hidden="1" customWidth="1"/>
    <col min="16158" max="16161" width="2.54296875" style="402" hidden="1" customWidth="1"/>
    <col min="16162" max="16167" width="2.36328125" style="402" hidden="1" customWidth="1"/>
    <col min="16168" max="16168" width="1.54296875" style="402" hidden="1" customWidth="1"/>
    <col min="16169" max="16384" width="2.54296875" style="402" hidden="1"/>
  </cols>
  <sheetData>
    <row r="1" spans="1:40" ht="13.25" customHeight="1">
      <c r="A1" s="2362" t="s">
        <v>1280</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3.2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3.2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25" customHeight="1">
      <c r="A4" s="404"/>
    </row>
    <row r="5" spans="1:40" ht="13.25" customHeight="1">
      <c r="A5" s="404" t="s">
        <v>319</v>
      </c>
      <c r="C5" s="404" t="s">
        <v>122</v>
      </c>
      <c r="F5" s="404"/>
    </row>
    <row r="6" spans="1:40" ht="13.25" customHeight="1">
      <c r="A6" s="404"/>
      <c r="C6" s="402" t="s">
        <v>1238</v>
      </c>
    </row>
    <row r="7" spans="1:40" ht="13.2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NON-DDA/
NON-QCT Building(s)</v>
      </c>
      <c r="U7" s="2364"/>
      <c r="V7" s="2364"/>
      <c r="W7" s="2364"/>
      <c r="X7" s="2364"/>
      <c r="Y7" s="2364" t="str">
        <f>IF(T25=100%,"",'Sources and Basis Breakdown'!G2)</f>
        <v/>
      </c>
      <c r="Z7" s="2364"/>
      <c r="AA7" s="2364"/>
      <c r="AB7" s="2364"/>
      <c r="AC7" s="2364"/>
      <c r="AD7" s="2364" t="str">
        <f xml:space="preserve"> IF(T25=100%, 'Sources and Basis Breakdown'!J2,'Sources and Basis Breakdown'!I2)</f>
        <v>30% PVC for Acquisition
NON-DDA/
NON-QCT Building(s)</v>
      </c>
      <c r="AE7" s="2364"/>
      <c r="AF7" s="2364"/>
      <c r="AG7" s="2364"/>
      <c r="AH7" s="2364"/>
      <c r="AI7" s="2364" t="str">
        <f>IF(T25=100%,"",'Sources and Basis Breakdown'!J2)</f>
        <v/>
      </c>
      <c r="AJ7" s="2364"/>
      <c r="AK7" s="2364"/>
      <c r="AL7" s="2364"/>
      <c r="AM7" s="2364"/>
    </row>
    <row r="8" spans="1:40" ht="13.2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3.2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3.2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3.25" customHeight="1">
      <c r="B11" s="2343" t="s">
        <v>375</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104870357</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3.25" customHeight="1">
      <c r="B12" s="2358" t="s">
        <v>497</v>
      </c>
      <c r="C12" s="1286"/>
      <c r="D12" s="1286"/>
      <c r="E12" s="1286"/>
      <c r="F12" s="1286"/>
      <c r="G12" s="1286"/>
      <c r="H12" s="1286"/>
      <c r="I12" s="1286"/>
      <c r="J12" s="1286"/>
      <c r="K12" s="1286"/>
      <c r="L12" s="1286"/>
      <c r="M12" s="1286"/>
      <c r="N12" s="1286"/>
      <c r="O12" s="1286"/>
      <c r="P12" s="1286"/>
      <c r="Q12" s="1286"/>
      <c r="R12" s="1286"/>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3.25" customHeight="1">
      <c r="B13" s="435"/>
      <c r="C13" s="2360" t="s">
        <v>498</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3.25" customHeight="1">
      <c r="B14" s="435"/>
      <c r="C14" s="2360" t="s">
        <v>499</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3.25" customHeight="1">
      <c r="B15" s="435"/>
      <c r="C15" s="2360" t="s">
        <v>500</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3.25" customHeight="1">
      <c r="B16" s="435"/>
      <c r="C16" s="2360" t="s">
        <v>805</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3.25" customHeight="1">
      <c r="B17" s="435"/>
      <c r="C17" s="2360" t="s">
        <v>501</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3.25" customHeight="1">
      <c r="A18"/>
      <c r="B18" s="1150"/>
      <c r="C18" s="1816" t="s">
        <v>960</v>
      </c>
      <c r="D18" s="1816"/>
      <c r="E18" s="1816"/>
      <c r="F18" s="1816"/>
      <c r="G18" s="1816"/>
      <c r="H18" s="1816"/>
      <c r="I18" s="1816"/>
      <c r="J18" s="1816"/>
      <c r="K18" s="1816"/>
      <c r="L18" s="1816"/>
      <c r="M18" s="1816"/>
      <c r="N18" s="1816"/>
      <c r="O18" s="1816"/>
      <c r="P18" s="1816"/>
      <c r="Q18" s="1816"/>
      <c r="R18" s="1816"/>
      <c r="S18" s="1817"/>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3.25" customHeight="1">
      <c r="B19" s="1150"/>
      <c r="C19" s="1816" t="s">
        <v>960</v>
      </c>
      <c r="D19" s="1816"/>
      <c r="E19" s="1816"/>
      <c r="F19" s="1816"/>
      <c r="G19" s="1816"/>
      <c r="H19" s="1816"/>
      <c r="I19" s="1816"/>
      <c r="J19" s="1816"/>
      <c r="K19" s="1816"/>
      <c r="L19" s="1816"/>
      <c r="M19" s="1816"/>
      <c r="N19" s="1816"/>
      <c r="O19" s="1816"/>
      <c r="P19" s="1816"/>
      <c r="Q19" s="1816"/>
      <c r="R19" s="1816"/>
      <c r="S19" s="1817"/>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3.25" customHeight="1">
      <c r="B20" s="2343" t="s">
        <v>502</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3.25" customHeight="1">
      <c r="B21" s="2343" t="s">
        <v>1263</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3.25" customHeight="1">
      <c r="B22" s="2343" t="s">
        <v>503</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3.25" customHeight="1">
      <c r="B23" s="2343" t="s">
        <v>504</v>
      </c>
      <c r="C23" s="2344"/>
      <c r="D23" s="2344"/>
      <c r="E23" s="2344"/>
      <c r="F23" s="2344"/>
      <c r="G23" s="2344"/>
      <c r="H23" s="2344"/>
      <c r="I23" s="2344"/>
      <c r="J23" s="2344"/>
      <c r="K23" s="2344"/>
      <c r="L23" s="2344"/>
      <c r="M23" s="2344"/>
      <c r="N23" s="2344"/>
      <c r="O23" s="2344"/>
      <c r="P23" s="2344"/>
      <c r="Q23" s="2344"/>
      <c r="R23" s="2344"/>
      <c r="S23" s="2345"/>
      <c r="T23" s="2336">
        <f>T11+T22</f>
        <v>104870357</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3.25" customHeight="1">
      <c r="B24" s="2343" t="s">
        <v>961</v>
      </c>
      <c r="C24" s="2344"/>
      <c r="D24" s="2344"/>
      <c r="E24" s="2344"/>
      <c r="F24" s="2344"/>
      <c r="G24" s="2344"/>
      <c r="H24" s="2344"/>
      <c r="I24" s="2344"/>
      <c r="J24" s="2344"/>
      <c r="K24" s="2344"/>
      <c r="L24" s="2344"/>
      <c r="M24" s="2344"/>
      <c r="N24" s="2344"/>
      <c r="O24" s="2344"/>
      <c r="P24" s="2344"/>
      <c r="Q24" s="2344"/>
      <c r="R24" s="2344"/>
      <c r="S24" s="2345"/>
      <c r="T24" s="2338">
        <f>Application!AJ1053</f>
        <v>207029258.56</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3.25" customHeight="1">
      <c r="B25" s="2347" t="s">
        <v>1264</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3.25" customHeight="1">
      <c r="B26" s="2343" t="s">
        <v>505</v>
      </c>
      <c r="C26" s="2344"/>
      <c r="D26" s="2344"/>
      <c r="E26" s="2344"/>
      <c r="F26" s="2344"/>
      <c r="G26" s="2344"/>
      <c r="H26" s="2344"/>
      <c r="I26" s="2344"/>
      <c r="J26" s="2344"/>
      <c r="K26" s="2344"/>
      <c r="L26" s="2344"/>
      <c r="M26" s="2344"/>
      <c r="N26" s="2344"/>
      <c r="O26" s="2344"/>
      <c r="P26" s="2344"/>
      <c r="Q26" s="2344"/>
      <c r="R26" s="2344"/>
      <c r="S26" s="2345"/>
      <c r="T26" s="2336">
        <f>T23*T25</f>
        <v>104870357</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3.25" customHeight="1">
      <c r="A27" s="410"/>
      <c r="B27" s="2350" t="s">
        <v>426</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3.2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36">
        <f>IF(ISERROR((T26*T27)),0,(T26*T27))</f>
        <v>104870357</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3.25" customHeight="1">
      <c r="B29" s="2343" t="s">
        <v>523</v>
      </c>
      <c r="C29" s="2344"/>
      <c r="D29" s="2344"/>
      <c r="E29" s="2344"/>
      <c r="F29" s="2344"/>
      <c r="G29" s="2344"/>
      <c r="H29" s="2344"/>
      <c r="I29" s="2344"/>
      <c r="J29" s="2344"/>
      <c r="K29" s="2344"/>
      <c r="L29" s="2344"/>
      <c r="M29" s="2344"/>
      <c r="N29" s="2344"/>
      <c r="O29" s="2344"/>
      <c r="P29" s="2344"/>
      <c r="Q29" s="2344"/>
      <c r="R29" s="2344"/>
      <c r="S29" s="2345"/>
      <c r="T29" s="2338">
        <f>T28+Y28+AD28+AI28</f>
        <v>104870357</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3.25" customHeight="1">
      <c r="B30" s="2346" t="s">
        <v>1266</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3.25" customHeight="1">
      <c r="B31" s="2346" t="s">
        <v>1265</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3.2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25" customHeight="1">
      <c r="A34" s="404" t="s">
        <v>576</v>
      </c>
      <c r="C34" s="404" t="s">
        <v>568</v>
      </c>
    </row>
    <row r="35" spans="1:76" ht="13.2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1154</v>
      </c>
      <c r="Z35" s="2364"/>
      <c r="AA35" s="2364"/>
      <c r="AB35" s="2364"/>
      <c r="AC35" s="2364"/>
      <c r="AD35" s="2384" t="s">
        <v>369</v>
      </c>
      <c r="AE35" s="2384"/>
      <c r="AF35" s="2384"/>
      <c r="AG35" s="2384"/>
      <c r="AH35" s="2384"/>
    </row>
    <row r="36" spans="1:76" ht="13.25" customHeight="1">
      <c r="B36" s="407"/>
      <c r="X36" s="412"/>
      <c r="Y36" s="2364"/>
      <c r="Z36" s="2364"/>
      <c r="AA36" s="2364"/>
      <c r="AB36" s="2364"/>
      <c r="AC36" s="2364"/>
      <c r="AD36" s="2384"/>
      <c r="AE36" s="2384"/>
      <c r="AF36" s="2384"/>
      <c r="AG36" s="2384"/>
      <c r="AH36" s="2384"/>
    </row>
    <row r="37" spans="1:76" ht="13.2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3.2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104870357</v>
      </c>
      <c r="Z38" s="2337"/>
      <c r="AA38" s="2337"/>
      <c r="AB38" s="2337"/>
      <c r="AC38" s="2337"/>
      <c r="AD38" s="2337">
        <f>IF(T24&gt;=(T23+Y23+AD23+AI23),AD28+AI28,0)</f>
        <v>0</v>
      </c>
      <c r="AE38" s="2337"/>
      <c r="AF38" s="2337"/>
      <c r="AG38" s="2337"/>
      <c r="AH38" s="2337"/>
    </row>
    <row r="39" spans="1:76" ht="13.25" customHeight="1">
      <c r="B39" s="2343" t="s">
        <v>1691</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3.25"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4194814</v>
      </c>
      <c r="Z40" s="2337"/>
      <c r="AA40" s="2337"/>
      <c r="AB40" s="2337"/>
      <c r="AC40" s="2337"/>
      <c r="AD40" s="2336">
        <f>ROUND(AD38*AD39,0)</f>
        <v>0</v>
      </c>
      <c r="AE40" s="2337"/>
      <c r="AF40" s="2337"/>
      <c r="AG40" s="2337"/>
      <c r="AH40" s="2337"/>
    </row>
    <row r="41" spans="1:76" ht="13.25"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4194814</v>
      </c>
      <c r="Z41" s="2339"/>
      <c r="AA41" s="2339"/>
      <c r="AB41" s="2339"/>
      <c r="AC41" s="2339"/>
      <c r="AD41" s="2339"/>
      <c r="AE41" s="2339"/>
      <c r="AF41" s="2339"/>
      <c r="AG41" s="2339"/>
      <c r="AH41" s="2336"/>
    </row>
    <row r="42" spans="1:76" ht="13.2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2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25" customHeight="1" thickBot="1">
      <c r="A44" s="2341" t="s">
        <v>1276</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3.25" customHeight="1" thickTop="1"/>
    <row r="46" spans="1:76" ht="13.25" customHeight="1">
      <c r="A46" s="404" t="s">
        <v>586</v>
      </c>
      <c r="C46" s="404" t="s">
        <v>282</v>
      </c>
    </row>
    <row r="47" spans="1:76" ht="13.25" customHeight="1">
      <c r="D47" s="404" t="s">
        <v>283</v>
      </c>
      <c r="AB47" s="2353">
        <f>'Sources and Uses Budget'!B105-MAX(IF('Sources and Uses Budget'!B15="",0,'Sources and Uses Budget'!B15),IF(Application!AG394="",0,Application!AG394))</f>
        <v>115036414</v>
      </c>
      <c r="AC47" s="2354"/>
      <c r="AD47" s="2354"/>
      <c r="AE47" s="2354"/>
      <c r="AF47" s="2355"/>
    </row>
    <row r="48" spans="1:76" ht="13.25" customHeight="1">
      <c r="D48" s="404" t="s">
        <v>21</v>
      </c>
      <c r="AB48" s="2353">
        <f>Application!AO639-MAX(IF('Sources and Uses Budget'!B15="",0,'Sources and Uses Budget'!B15),IF(Application!AG394="",0,Application!AG394))</f>
        <v>78964619</v>
      </c>
      <c r="AC48" s="2354"/>
      <c r="AD48" s="2354"/>
      <c r="AE48" s="2354"/>
      <c r="AF48" s="2355"/>
    </row>
    <row r="49" spans="1:76" ht="13.25" customHeight="1">
      <c r="D49" s="404" t="s">
        <v>91</v>
      </c>
      <c r="AB49" s="2353">
        <f>AB47-AB48</f>
        <v>36071795</v>
      </c>
      <c r="AC49" s="2354"/>
      <c r="AD49" s="2354"/>
      <c r="AE49" s="2354"/>
      <c r="AF49" s="2355"/>
    </row>
    <row r="50" spans="1:76" ht="13.25" customHeight="1">
      <c r="D50" s="404" t="s">
        <v>681</v>
      </c>
      <c r="AA50" s="415"/>
      <c r="AB50" s="2380">
        <f>0.860002</f>
        <v>0.86000200000000004</v>
      </c>
      <c r="AC50" s="2381"/>
      <c r="AD50" s="2381"/>
      <c r="AE50" s="2381"/>
      <c r="AF50" s="2382"/>
    </row>
    <row r="51" spans="1:76" s="417" customFormat="1" ht="13.25" customHeight="1">
      <c r="A51" s="402"/>
      <c r="B51" s="402"/>
      <c r="C51" s="402"/>
      <c r="D51" s="402"/>
      <c r="E51" s="2383" t="s">
        <v>2611</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3.2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3.2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25" customHeight="1">
      <c r="D54" s="404" t="s">
        <v>332</v>
      </c>
      <c r="AB54" s="2353">
        <f>ROUND(IF(ISERROR((AB49/AB50)),0,(AB49/AB50)),0)</f>
        <v>41943850</v>
      </c>
      <c r="AC54" s="2354"/>
      <c r="AD54" s="2354"/>
      <c r="AE54" s="2354"/>
      <c r="AF54" s="2355"/>
    </row>
    <row r="55" spans="1:76" ht="13.25" customHeight="1">
      <c r="D55" s="404" t="s">
        <v>333</v>
      </c>
      <c r="AB55" s="2353">
        <f>(AB54/10)</f>
        <v>4194385</v>
      </c>
      <c r="AC55" s="2354"/>
      <c r="AD55" s="2354"/>
      <c r="AE55" s="2354"/>
      <c r="AF55" s="2355"/>
    </row>
    <row r="56" spans="1:76" ht="13.25" customHeight="1">
      <c r="D56" s="404" t="s">
        <v>756</v>
      </c>
      <c r="AB56" s="2353">
        <f>ROUND((IF((Y41&lt;AB55),Y41,AB55)),0)</f>
        <v>4194385</v>
      </c>
      <c r="AC56" s="2354"/>
      <c r="AD56" s="2354"/>
      <c r="AE56" s="2354"/>
      <c r="AF56" s="2355"/>
    </row>
    <row r="57" spans="1:76" ht="13.25" customHeight="1">
      <c r="D57" s="404" t="s">
        <v>755</v>
      </c>
      <c r="AB57" s="2353">
        <f>ROUND((10*AB56*AB50),0)</f>
        <v>36071795</v>
      </c>
      <c r="AC57" s="2354"/>
      <c r="AD57" s="2354"/>
      <c r="AE57" s="2354"/>
      <c r="AF57" s="2355"/>
    </row>
    <row r="58" spans="1:76" ht="13.25" customHeight="1">
      <c r="D58" s="404"/>
      <c r="AB58" s="423"/>
      <c r="AC58" s="423"/>
      <c r="AD58" s="423"/>
      <c r="AE58" s="423"/>
      <c r="AF58" s="423"/>
    </row>
    <row r="59" spans="1:76" ht="13.25" customHeight="1">
      <c r="D59" s="404" t="s">
        <v>754</v>
      </c>
      <c r="AB59" s="2376">
        <f>AB49-AB57</f>
        <v>0</v>
      </c>
      <c r="AC59" s="2376"/>
      <c r="AD59" s="2376"/>
      <c r="AE59" s="2376"/>
      <c r="AF59" s="2376"/>
    </row>
    <row r="60" spans="1:76" ht="13.25" customHeight="1">
      <c r="D60" s="404"/>
      <c r="AB60" s="423"/>
      <c r="AC60" s="423"/>
      <c r="AD60" s="423"/>
      <c r="AE60" s="423"/>
      <c r="AF60" s="423"/>
    </row>
    <row r="61" spans="1:76" s="204" customFormat="1" ht="13.2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3.25" customHeight="1" thickTop="1"/>
    <row r="63" spans="1:76" ht="13.25" customHeight="1">
      <c r="A63" s="404" t="s">
        <v>589</v>
      </c>
      <c r="C63" s="205" t="s">
        <v>1248</v>
      </c>
      <c r="Y63" s="2377" t="s">
        <v>984</v>
      </c>
      <c r="Z63" s="2377"/>
      <c r="AA63" s="2377"/>
      <c r="AB63" s="2377"/>
      <c r="AC63" s="2377"/>
      <c r="AD63" s="2377" t="s">
        <v>369</v>
      </c>
      <c r="AE63" s="2377"/>
      <c r="AF63" s="2377"/>
      <c r="AG63" s="2377"/>
      <c r="AH63" s="2377"/>
    </row>
    <row r="64" spans="1:76" ht="13.2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3.2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2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v>
      </c>
      <c r="Z67" s="2391"/>
      <c r="AA67" s="2391"/>
      <c r="AB67" s="2391"/>
      <c r="AC67" s="2391"/>
      <c r="AD67" s="2391">
        <f>IF(Application!Z205="15% set-aside with qualifying low value rehab", 0.95,IF(OR(Application!D211="At-Risk",'Points System'!B13="Yes"),0.13,0))</f>
        <v>0</v>
      </c>
      <c r="AE67" s="2391"/>
      <c r="AF67" s="2391"/>
      <c r="AG67" s="2391"/>
      <c r="AH67" s="2391"/>
    </row>
    <row r="68" spans="1:36" ht="13.25" customHeight="1">
      <c r="C68" s="404"/>
      <c r="D68" s="205" t="s">
        <v>2224</v>
      </c>
      <c r="Y68" s="2337">
        <f>ROUND(Y64*Y67,0)</f>
        <v>0</v>
      </c>
      <c r="Z68" s="2392"/>
      <c r="AA68" s="2392"/>
      <c r="AB68" s="2392"/>
      <c r="AC68" s="2392"/>
      <c r="AD68" s="2337">
        <f>ROUND(AD64*AD67,0)</f>
        <v>0</v>
      </c>
      <c r="AE68" s="2392"/>
      <c r="AF68" s="2392"/>
      <c r="AG68" s="2392"/>
      <c r="AH68" s="2392"/>
    </row>
    <row r="69" spans="1:36" ht="13.25" customHeight="1">
      <c r="C69" s="404"/>
      <c r="D69" s="205" t="s">
        <v>2225</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3.25" customHeight="1">
      <c r="C70" s="404"/>
      <c r="E70" s="404"/>
      <c r="AB70" s="422"/>
      <c r="AC70" s="422"/>
      <c r="AD70" s="422"/>
      <c r="AE70" s="422"/>
      <c r="AF70" s="422"/>
    </row>
    <row r="71" spans="1:36" ht="13.25" customHeight="1">
      <c r="A71" s="404" t="s">
        <v>590</v>
      </c>
      <c r="C71" s="205" t="s">
        <v>284</v>
      </c>
    </row>
    <row r="72" spans="1:36" ht="13.25" customHeight="1">
      <c r="A72" s="404"/>
      <c r="C72" s="404"/>
      <c r="D72" s="205" t="s">
        <v>1250</v>
      </c>
      <c r="AB72" s="2380"/>
      <c r="AC72" s="2381"/>
      <c r="AD72" s="2381"/>
      <c r="AE72" s="2381"/>
      <c r="AF72" s="2382"/>
    </row>
    <row r="73" spans="1:36" ht="13.25" customHeight="1">
      <c r="A73" s="404"/>
      <c r="C73" s="404"/>
      <c r="D73" s="404"/>
      <c r="E73" s="2393" t="s">
        <v>1251</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3.2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3.2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3.2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25" customHeight="1">
      <c r="C77" s="404"/>
      <c r="D77" s="205" t="s">
        <v>1252</v>
      </c>
      <c r="AB77" s="2386">
        <f>ROUND(IF(ISERROR((AB59/AB72)),0,(AB59/AB72)),0)</f>
        <v>0</v>
      </c>
      <c r="AC77" s="2386"/>
      <c r="AD77" s="2386"/>
      <c r="AE77" s="2386"/>
      <c r="AF77" s="2386"/>
    </row>
    <row r="78" spans="1:36" ht="13.25" customHeight="1">
      <c r="C78" s="404"/>
      <c r="D78" s="205" t="s">
        <v>1253</v>
      </c>
      <c r="AB78" s="2387">
        <f>ROUNDUP(MIN(Y69,AB77),0)</f>
        <v>0</v>
      </c>
      <c r="AC78" s="2388"/>
      <c r="AD78" s="2388"/>
      <c r="AE78" s="2388"/>
      <c r="AF78" s="2389"/>
    </row>
    <row r="79" spans="1:36" ht="13.25" customHeight="1">
      <c r="C79" s="404"/>
      <c r="D79" s="205" t="s">
        <v>1254</v>
      </c>
      <c r="AB79" s="2390">
        <f>AB78*AB72</f>
        <v>0</v>
      </c>
      <c r="AC79" s="2390"/>
      <c r="AD79" s="2390"/>
      <c r="AE79" s="2390"/>
      <c r="AF79" s="2390"/>
    </row>
    <row r="80" spans="1:36" ht="13.25" customHeight="1">
      <c r="C80" s="404"/>
      <c r="D80" s="404"/>
      <c r="AB80" s="425"/>
      <c r="AC80" s="425"/>
      <c r="AD80" s="425"/>
      <c r="AE80" s="425"/>
      <c r="AF80" s="425"/>
    </row>
    <row r="81" spans="1:78" ht="13.25" customHeight="1">
      <c r="D81" s="404" t="s">
        <v>754</v>
      </c>
      <c r="AB81" s="2376">
        <f>AB49-(AB57+AB79)</f>
        <v>0</v>
      </c>
      <c r="AC81" s="2376"/>
      <c r="AD81" s="2376"/>
      <c r="AE81" s="2376"/>
      <c r="AF81" s="2376"/>
    </row>
    <row r="82" spans="1:78" ht="13.25" customHeight="1">
      <c r="F82" s="522"/>
      <c r="J82" s="522" t="str">
        <f>IF(AB81&gt;0,"FUNDING GAP MUST NOT EXCEED ZERO","")</f>
        <v/>
      </c>
    </row>
    <row r="83" spans="1:78" ht="13.25" customHeight="1">
      <c r="D83" s="523"/>
    </row>
    <row r="84" spans="1:78" ht="13.2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3.25" customHeight="1" thickTop="1"/>
    <row r="86" spans="1:78" ht="13.25" customHeight="1">
      <c r="A86" s="404"/>
      <c r="C86" s="205"/>
    </row>
    <row r="87" spans="1:78" ht="13.25" customHeight="1">
      <c r="D87" s="205"/>
      <c r="AB87" s="2342"/>
      <c r="AC87" s="2342"/>
      <c r="AD87" s="2342"/>
      <c r="AE87" s="2342"/>
      <c r="AF87" s="2342"/>
    </row>
    <row r="88" spans="1:78" ht="13.25"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2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Normal="100" workbookViewId="0">
      <selection activeCell="B3" sqref="B3"/>
    </sheetView>
  </sheetViews>
  <sheetFormatPr defaultColWidth="0" defaultRowHeight="12.5" zeroHeight="1"/>
  <cols>
    <col min="1" max="1" width="2.7265625" style="14" customWidth="1"/>
    <col min="2" max="3" width="2.36328125" style="14" customWidth="1"/>
    <col min="4" max="4" width="3.26953125" style="14" customWidth="1"/>
    <col min="5" max="5" width="3.36328125" style="14" customWidth="1"/>
    <col min="6" max="6" width="2.7265625" style="14" customWidth="1"/>
    <col min="7" max="14" width="2.36328125" style="14" customWidth="1"/>
    <col min="15" max="15" width="2.7265625" style="14" customWidth="1"/>
    <col min="16" max="16" width="2.36328125" style="14" customWidth="1"/>
    <col min="17" max="17" width="3.7265625" style="14" customWidth="1"/>
    <col min="18" max="18" width="4.54296875" style="14" customWidth="1"/>
    <col min="19" max="19" width="3.26953125" style="14" customWidth="1"/>
    <col min="20" max="26" width="2.36328125" style="14" customWidth="1"/>
    <col min="27" max="30" width="2.54296875" style="14" customWidth="1"/>
    <col min="31" max="32" width="2.36328125" style="14" customWidth="1"/>
    <col min="33" max="33" width="3.36328125" style="14" customWidth="1"/>
    <col min="34" max="36" width="2.36328125" style="14" customWidth="1"/>
    <col min="37" max="37" width="5.54296875" style="14" customWidth="1"/>
    <col min="38" max="38" width="2.36328125" style="14" customWidth="1"/>
    <col min="39" max="39" width="3.36328125" style="14" customWidth="1"/>
    <col min="40" max="40" width="5.54296875" style="534" customWidth="1"/>
    <col min="41" max="41" width="5.54296875" style="30" hidden="1" customWidth="1"/>
    <col min="42" max="45" width="5.54296875" style="14" hidden="1" customWidth="1"/>
    <col min="46" max="46" width="10.7265625" style="14" hidden="1" customWidth="1"/>
    <col min="47" max="48" width="5.54296875" style="14" hidden="1" customWidth="1"/>
    <col min="49" max="49" width="8.7265625" style="14" hidden="1" customWidth="1"/>
    <col min="50" max="50" width="7.36328125" style="14" hidden="1" customWidth="1"/>
    <col min="51" max="55" width="5.54296875" style="14" hidden="1" customWidth="1"/>
    <col min="56" max="60" width="5.54296875" style="32" hidden="1" customWidth="1"/>
    <col min="61" max="81" width="5.54296875" style="14" hidden="1" customWidth="1"/>
    <col min="82" max="16384" width="9.26953125" style="14" hidden="1"/>
  </cols>
  <sheetData>
    <row r="1" spans="1:42" ht="15.75" customHeight="1">
      <c r="A1" s="2624" t="s">
        <v>1300</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1305</v>
      </c>
      <c r="AF7" s="2465"/>
      <c r="AG7" s="2465"/>
      <c r="AH7" s="2465"/>
      <c r="AI7" s="2465"/>
      <c r="AJ7" s="2465"/>
      <c r="AK7" s="2465"/>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591</v>
      </c>
      <c r="C13" s="261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591</v>
      </c>
      <c r="C16" s="2618"/>
      <c r="D16" s="547"/>
      <c r="E16" s="2610" t="s">
        <v>1307</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591</v>
      </c>
      <c r="C22" s="2618"/>
      <c r="D22" s="547"/>
      <c r="E22" s="2628" t="s">
        <v>1310</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591</v>
      </c>
      <c r="C25" s="2618"/>
      <c r="D25" s="547"/>
      <c r="E25" s="2545" t="s">
        <v>2033</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591</v>
      </c>
      <c r="C28" s="2618"/>
      <c r="D28" s="547"/>
      <c r="E28" s="2647" t="s">
        <v>2248</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8" t="s">
        <v>591</v>
      </c>
      <c r="C33" s="2618"/>
      <c r="D33" s="547"/>
      <c r="E33" s="2628" t="s">
        <v>2250</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591</v>
      </c>
      <c r="C36" s="2618"/>
      <c r="D36" s="547"/>
      <c r="E36" s="2545" t="s">
        <v>2251</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591</v>
      </c>
      <c r="C40" s="2618"/>
      <c r="D40" s="547"/>
      <c r="E40" s="2545" t="s">
        <v>2249</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591</v>
      </c>
      <c r="C45" s="2618"/>
      <c r="D45" s="1142"/>
      <c r="E45" s="2545" t="s">
        <v>2008</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591</v>
      </c>
      <c r="C52" s="2618"/>
      <c r="D52" s="540"/>
      <c r="E52" s="2545" t="s">
        <v>2013</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591</v>
      </c>
      <c r="C56" s="2618"/>
      <c r="D56" s="540"/>
      <c r="E56" s="2644" t="s">
        <v>2014</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591</v>
      </c>
      <c r="C58" s="2618"/>
      <c r="D58" s="540"/>
      <c r="E58" s="2545" t="s">
        <v>2015</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1314</v>
      </c>
      <c r="AF65" s="2465"/>
      <c r="AG65" s="2465"/>
      <c r="AH65" s="2465"/>
      <c r="AI65" s="2465"/>
      <c r="AJ65" s="2465"/>
      <c r="AK65" s="2465"/>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591</v>
      </c>
      <c r="C68" s="2618"/>
      <c r="D68" s="547" t="s">
        <v>1315</v>
      </c>
      <c r="E68" s="2610" t="s">
        <v>2016</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10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1316</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591</v>
      </c>
      <c r="C74" s="261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591</v>
      </c>
      <c r="F75" s="261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591</v>
      </c>
      <c r="F76" s="2639"/>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591</v>
      </c>
      <c r="F77" s="2639"/>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591</v>
      </c>
      <c r="F79" s="261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545</v>
      </c>
      <c r="C81" s="2618"/>
      <c r="D81" s="547" t="s">
        <v>1320</v>
      </c>
      <c r="E81" s="2545" t="s">
        <v>1740</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1305</v>
      </c>
      <c r="AF87" s="2465"/>
      <c r="AG87" s="2465"/>
      <c r="AH87" s="2465"/>
      <c r="AI87" s="2465"/>
      <c r="AJ87" s="2465"/>
      <c r="AK87" s="2465"/>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591</v>
      </c>
      <c r="C90" s="2618"/>
      <c r="D90" s="547" t="s">
        <v>1315</v>
      </c>
      <c r="E90" s="2610" t="s">
        <v>1325</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0.59906103286384971</v>
      </c>
      <c r="F93" s="2607"/>
      <c r="G93" s="2607"/>
      <c r="H93" s="260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0</v>
      </c>
      <c r="F94" s="2412"/>
      <c r="G94" s="2412"/>
      <c r="H94" s="2412"/>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0</v>
      </c>
      <c r="F95" s="2623"/>
      <c r="G95" s="2623"/>
      <c r="H95" s="2623"/>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545</v>
      </c>
      <c r="C98" s="2618"/>
      <c r="D98" s="547" t="s">
        <v>1317</v>
      </c>
      <c r="E98" s="2610" t="s">
        <v>1725</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0.59906103286384971</v>
      </c>
      <c r="F103" s="2607"/>
      <c r="G103" s="2607"/>
      <c r="H103" s="260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0.107981220657277</v>
      </c>
      <c r="F104" s="2607"/>
      <c r="G104" s="2607"/>
      <c r="H104" s="260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0.16901408450704225</v>
      </c>
      <c r="F105" s="2607"/>
      <c r="G105" s="2607"/>
      <c r="H105" s="260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1314</v>
      </c>
      <c r="AF112" s="2465"/>
      <c r="AG112" s="2465"/>
      <c r="AH112" s="2465"/>
      <c r="AI112" s="2465"/>
      <c r="AJ112" s="2465"/>
      <c r="AK112" s="2465"/>
      <c r="AL112" s="540"/>
      <c r="AM112" s="540"/>
      <c r="AN112" s="535"/>
      <c r="AO112" s="536" t="str">
        <f>Application!B718</f>
        <v>1 Bedroom</v>
      </c>
      <c r="AQ112" s="536">
        <f>Application!O718</f>
        <v>1555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1271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703</v>
      </c>
    </row>
    <row r="115" spans="1:52" s="536" customFormat="1" ht="12.75" customHeight="1">
      <c r="A115" s="540"/>
      <c r="B115" s="2618" t="s">
        <v>545</v>
      </c>
      <c r="C115" s="2618"/>
      <c r="D115" s="547" t="s">
        <v>1315</v>
      </c>
      <c r="E115" s="2610" t="s">
        <v>1857</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2 Bedrooms</v>
      </c>
      <c r="AQ115" s="536">
        <f>Application!O721</f>
        <v>1854</v>
      </c>
      <c r="AU115" s="536" t="s">
        <v>1840</v>
      </c>
      <c r="AV115" s="595" t="s">
        <v>1841</v>
      </c>
      <c r="AW115" s="536" t="s">
        <v>1842</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2 Bedrooms</v>
      </c>
      <c r="AQ116" s="536">
        <f>Application!O722</f>
        <v>1513</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2 Bedrooms</v>
      </c>
      <c r="AQ117" s="536">
        <f>Application!O723</f>
        <v>2195</v>
      </c>
      <c r="AU117" s="856" t="str">
        <f>J124</f>
        <v>1-bedroom</v>
      </c>
      <c r="AV117" s="536">
        <f t="array" ref="AV117">SUM(IF(Application!B718:F752="1 Bedroom",Application!G718:J752))</f>
        <v>43</v>
      </c>
      <c r="AW117" s="1011">
        <f>AV117/AV122</f>
        <v>0.20187793427230047</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t="str">
        <f>Application!B724</f>
        <v>3 Bedrooms</v>
      </c>
      <c r="AQ118" s="536">
        <f>Application!O724</f>
        <v>2127</v>
      </c>
      <c r="AU118" s="856" t="str">
        <f>O124</f>
        <v>2-bedroom</v>
      </c>
      <c r="AV118" s="536">
        <f t="array" ref="AV118">SUM(IF(Application!B718:F752="2 Bedrooms",Application!G718:J752))</f>
        <v>43</v>
      </c>
      <c r="AW118" s="1011">
        <f>AV118/AV122</f>
        <v>0.20187793427230047</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t="str">
        <f>Application!B725</f>
        <v>3 Bedrooms</v>
      </c>
      <c r="AQ119" s="536">
        <f>Application!O725</f>
        <v>1733</v>
      </c>
      <c r="AU119" s="856" t="str">
        <f>T124</f>
        <v>3-bedroom</v>
      </c>
      <c r="AV119" s="536">
        <f t="array" ref="AV119">SUM(IF(Application!B718:F752="3 Bedrooms",Application!G718:J752))</f>
        <v>84</v>
      </c>
      <c r="AW119" s="1011">
        <f>AV119/AV122</f>
        <v>0.39436619718309857</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t="str">
        <f>Application!B726</f>
        <v>3 Bedrooms</v>
      </c>
      <c r="AQ120" s="536">
        <f>Application!O726</f>
        <v>2521</v>
      </c>
      <c r="AU120" s="856" t="str">
        <f>Y124</f>
        <v>4-bedroom</v>
      </c>
      <c r="AV120" s="536">
        <f t="array" ref="AV120">SUM(IF(Application!B718:F752="4 Bedrooms",Application!G718:J752))</f>
        <v>43</v>
      </c>
      <c r="AW120" s="1011">
        <f>AV120/AV122</f>
        <v>0.20187793427230047</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t="str">
        <f>Application!B727</f>
        <v>3 Bedrooms</v>
      </c>
      <c r="AQ121" s="536">
        <f>Application!O727</f>
        <v>2127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t="str">
        <f>Application!B728</f>
        <v>3 Bedrooms</v>
      </c>
      <c r="AQ122" s="536">
        <f>Application!O728</f>
        <v>1733</v>
      </c>
      <c r="AV122" s="536">
        <f>SUM(AV116:AV121)</f>
        <v>213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2521</v>
      </c>
    </row>
    <row r="124" spans="1:52" s="536" customFormat="1" ht="12.75" customHeight="1">
      <c r="A124" s="540"/>
      <c r="B124" s="539"/>
      <c r="C124" s="540"/>
      <c r="D124" s="540"/>
      <c r="E124" s="2606" t="s">
        <v>1588</v>
      </c>
      <c r="F124" s="2607"/>
      <c r="G124" s="2607"/>
      <c r="H124" s="2607"/>
      <c r="I124" s="577"/>
      <c r="J124" s="2607" t="s">
        <v>1631</v>
      </c>
      <c r="K124" s="2607"/>
      <c r="L124" s="2607"/>
      <c r="M124" s="2607"/>
      <c r="N124" s="577"/>
      <c r="O124" s="2607" t="s">
        <v>1632</v>
      </c>
      <c r="P124" s="2607"/>
      <c r="Q124" s="2607"/>
      <c r="R124" s="2607"/>
      <c r="S124" s="577"/>
      <c r="T124" s="2607" t="s">
        <v>1334</v>
      </c>
      <c r="U124" s="2607"/>
      <c r="V124" s="2607"/>
      <c r="W124" s="2607"/>
      <c r="X124" s="577"/>
      <c r="Y124" s="2607" t="s">
        <v>1633</v>
      </c>
      <c r="Z124" s="2607"/>
      <c r="AA124" s="2607"/>
      <c r="AB124" s="2607"/>
      <c r="AC124" s="577"/>
      <c r="AD124" s="2607" t="s">
        <v>1634</v>
      </c>
      <c r="AE124" s="2607"/>
      <c r="AF124" s="2607"/>
      <c r="AG124" s="2607"/>
      <c r="AH124" s="577"/>
      <c r="AI124" s="577"/>
      <c r="AJ124" s="579"/>
      <c r="AK124" s="540"/>
      <c r="AL124" s="540"/>
      <c r="AM124" s="540"/>
      <c r="AN124" s="535"/>
      <c r="AO124" s="536" t="str">
        <f>Application!B730</f>
        <v>4 Bedrooms</v>
      </c>
      <c r="AQ124" s="536">
        <f>Application!O730</f>
        <v>1899</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4 Bedrooms</v>
      </c>
      <c r="AQ125" s="536">
        <f>Application!O731</f>
        <v>2777</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8">
        <v>0</v>
      </c>
      <c r="F127" s="2609"/>
      <c r="G127" s="2609"/>
      <c r="H127" s="2609"/>
      <c r="I127" s="864"/>
      <c r="J127" s="2609">
        <v>2143</v>
      </c>
      <c r="K127" s="2609"/>
      <c r="L127" s="2609"/>
      <c r="M127" s="2609"/>
      <c r="N127" s="864"/>
      <c r="O127" s="2609">
        <v>2615</v>
      </c>
      <c r="P127" s="2609"/>
      <c r="Q127" s="2609"/>
      <c r="R127" s="2609"/>
      <c r="S127" s="864"/>
      <c r="T127" s="2609">
        <v>2998</v>
      </c>
      <c r="U127" s="2609"/>
      <c r="V127" s="2609"/>
      <c r="W127" s="2609"/>
      <c r="X127" s="864"/>
      <c r="Y127" s="2609">
        <v>3839</v>
      </c>
      <c r="Z127" s="2609"/>
      <c r="AA127" s="2609"/>
      <c r="AB127" s="2609"/>
      <c r="AC127" s="864"/>
      <c r="AD127" s="2609">
        <v>0</v>
      </c>
      <c r="AE127" s="2609"/>
      <c r="AF127" s="2609"/>
      <c r="AG127" s="260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0</v>
      </c>
      <c r="F130" s="2617"/>
      <c r="G130" s="2617"/>
      <c r="H130" s="2617"/>
      <c r="I130" s="864"/>
      <c r="J130" s="2617">
        <f>Application!EC670</f>
        <v>987</v>
      </c>
      <c r="K130" s="2617"/>
      <c r="L130" s="2617"/>
      <c r="M130" s="2617"/>
      <c r="N130" s="864"/>
      <c r="O130" s="2617">
        <f>Application!EH670</f>
        <v>1854</v>
      </c>
      <c r="P130" s="2617"/>
      <c r="Q130" s="2617"/>
      <c r="R130" s="2617"/>
      <c r="S130" s="868"/>
      <c r="T130" s="2617">
        <f>Application!EM670</f>
        <v>2366.2142857142862</v>
      </c>
      <c r="U130" s="2617"/>
      <c r="V130" s="2617"/>
      <c r="W130" s="2617"/>
      <c r="X130" s="868"/>
      <c r="Y130" s="2617">
        <f>Application!ER670</f>
        <v>2674.9069767441861</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t="e">
        <f>(E127-E130)/E127</f>
        <v>#DIV/0!</v>
      </c>
      <c r="F133" s="2412"/>
      <c r="G133" s="2412"/>
      <c r="H133" s="2413"/>
      <c r="I133" s="577"/>
      <c r="J133" s="2411">
        <f>(J127-J130)/J127</f>
        <v>0.539430704619692</v>
      </c>
      <c r="K133" s="2412"/>
      <c r="L133" s="2412"/>
      <c r="M133" s="2413"/>
      <c r="N133" s="577"/>
      <c r="O133" s="2411">
        <f>(O127-O130)/O127</f>
        <v>0.2910133843212237</v>
      </c>
      <c r="P133" s="2412"/>
      <c r="Q133" s="2412"/>
      <c r="R133" s="2413"/>
      <c r="S133" s="577"/>
      <c r="T133" s="2411">
        <f>(T127-T130)/T127</f>
        <v>0.21073572858095857</v>
      </c>
      <c r="U133" s="2412"/>
      <c r="V133" s="2412"/>
      <c r="W133" s="2413"/>
      <c r="X133" s="577"/>
      <c r="Y133" s="2411">
        <f>(Y127-Y130)/Y127</f>
        <v>0.3032281904808059</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t="e">
        <f>IF(((E133-0.1)*AW116)&gt;0,((E133-0.1)*AW116),0)</f>
        <v>#DIV/0!</v>
      </c>
      <c r="F136" s="2620"/>
      <c r="G136" s="2620"/>
      <c r="H136" s="2621"/>
      <c r="I136" s="577"/>
      <c r="J136" s="2619">
        <f>IF(((J133-0.1)*AW117)&gt;0,((J133-0.1)*AW117),0)</f>
        <v>8.8711362904444868E-2</v>
      </c>
      <c r="K136" s="2620"/>
      <c r="L136" s="2620"/>
      <c r="M136" s="2621"/>
      <c r="N136" s="577"/>
      <c r="O136" s="2619">
        <f>IF(((O133-0.1)*AW118)&gt;0,((O133-0.1)*AW118),0)</f>
        <v>3.8561387445129665E-2</v>
      </c>
      <c r="P136" s="2620"/>
      <c r="Q136" s="2620"/>
      <c r="R136" s="2621"/>
      <c r="S136" s="577"/>
      <c r="T136" s="2619">
        <f>IF(((T133-0.1)*AW119)&gt;0,((T133-0.1)*AW119),0)</f>
        <v>4.3670428172772391E-2</v>
      </c>
      <c r="U136" s="2620"/>
      <c r="V136" s="2620"/>
      <c r="W136" s="2621"/>
      <c r="X136" s="577"/>
      <c r="Y136" s="2619">
        <f>IF(((Y133-0.1)*AW120)&gt;0,((Y133-0.1)*AW120),0)</f>
        <v>4.1027287280162694E-2</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0.21</v>
      </c>
      <c r="F138" s="2412"/>
      <c r="G138" s="2412"/>
      <c r="H138" s="2413"/>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5" t="s">
        <v>1314</v>
      </c>
      <c r="AF146" s="2465"/>
      <c r="AG146" s="2465"/>
      <c r="AH146" s="2465"/>
      <c r="AI146" s="2465"/>
      <c r="AJ146" s="2465"/>
      <c r="AK146" s="2465"/>
      <c r="AL146" s="591"/>
      <c r="AN146" s="592"/>
      <c r="AO146" s="536"/>
    </row>
    <row r="147" spans="1:42" s="539" customFormat="1" ht="13.2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1338</v>
      </c>
      <c r="AG148" s="2525"/>
      <c r="AH148" s="2525"/>
      <c r="AI148" s="2525"/>
      <c r="AJ148" s="2525"/>
      <c r="AK148" s="2525"/>
      <c r="AL148" s="2525"/>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2720</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6" t="s">
        <v>1341</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1341</v>
      </c>
      <c r="AP153" s="489">
        <v>7</v>
      </c>
    </row>
    <row r="154" spans="1:42" s="536" customFormat="1" ht="13.2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7" t="s">
        <v>591</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6" t="s">
        <v>1343</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2475</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2476</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2474</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591</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1352</v>
      </c>
      <c r="AG168" s="2525"/>
      <c r="AH168" s="2525"/>
      <c r="AI168" s="2525"/>
      <c r="AJ168" s="2525"/>
      <c r="AK168" s="2525"/>
      <c r="AL168" s="2525"/>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1350</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307</v>
      </c>
      <c r="AP170" s="476"/>
    </row>
    <row r="171" spans="1:42" s="550" customFormat="1" ht="13.2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591</v>
      </c>
      <c r="AG172" s="2397"/>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6" t="s">
        <v>1343</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7" t="str">
        <f>Application!AA335</f>
        <v>FPI Management, Inc.</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1314</v>
      </c>
      <c r="AF186" s="2465"/>
      <c r="AG186" s="2465"/>
      <c r="AH186" s="2465"/>
      <c r="AI186" s="2465"/>
      <c r="AJ186" s="2465"/>
      <c r="AK186" s="2465"/>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4" t="s">
        <v>1041</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1363</v>
      </c>
      <c r="AG188" s="2525"/>
      <c r="AH188" s="2525"/>
      <c r="AI188" s="2525"/>
      <c r="AJ188" s="2525"/>
      <c r="AK188" s="2525"/>
      <c r="AL188" s="2525"/>
      <c r="AN188" s="597"/>
      <c r="AP188" s="550" t="s">
        <v>1043</v>
      </c>
      <c r="AQ188" s="550">
        <v>10</v>
      </c>
    </row>
    <row r="189" spans="1:73" s="550" customFormat="1" ht="12.75" customHeight="1">
      <c r="A189" s="536"/>
      <c r="B189" s="2396" t="s">
        <v>1726</v>
      </c>
      <c r="C189" s="2396"/>
      <c r="D189" s="2396"/>
      <c r="E189" s="2396"/>
      <c r="F189" s="2396"/>
      <c r="G189" s="2396"/>
      <c r="H189" s="2396"/>
      <c r="I189" s="2396"/>
      <c r="J189" s="2396"/>
      <c r="K189" s="2396"/>
      <c r="L189" s="2396"/>
      <c r="M189" s="2396"/>
      <c r="N189" s="2396"/>
      <c r="O189" s="2396"/>
      <c r="P189" s="2396"/>
      <c r="Q189" s="2396"/>
      <c r="R189" s="2396"/>
      <c r="S189" s="2396"/>
      <c r="T189" s="2595" t="s">
        <v>591</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2">
        <f>IF(AK84&gt;0,VLOOKUP($B$188,AP185:AQ191,2,FALSE),0)</f>
        <v>10</v>
      </c>
      <c r="AL191" s="2433"/>
      <c r="AM191" s="2434"/>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1372</v>
      </c>
      <c r="AF194" s="2465"/>
      <c r="AG194" s="2465"/>
      <c r="AH194" s="2465"/>
      <c r="AI194" s="2465"/>
      <c r="AJ194" s="2465"/>
      <c r="AK194" s="2465"/>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1277</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0</v>
      </c>
      <c r="AE199" s="2578"/>
      <c r="AF199" s="2578"/>
      <c r="AG199" s="2578"/>
      <c r="AH199" s="2578"/>
      <c r="AI199" s="2578"/>
      <c r="AJ199" s="2578"/>
      <c r="AK199" s="610"/>
    </row>
    <row r="200" spans="1:40">
      <c r="A200" s="605"/>
      <c r="B200" s="2588" t="s">
        <v>2696</v>
      </c>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v>0</v>
      </c>
      <c r="AE200" s="2578"/>
      <c r="AF200" s="2578"/>
      <c r="AG200" s="2578"/>
      <c r="AH200" s="2578"/>
      <c r="AI200" s="2578"/>
      <c r="AJ200" s="2578"/>
      <c r="AK200" s="610"/>
    </row>
    <row r="201" spans="1:40">
      <c r="A201" s="605"/>
      <c r="B201" s="2588" t="s">
        <v>2697</v>
      </c>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v>10500000</v>
      </c>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1627</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0</v>
      </c>
      <c r="AE209" s="2576"/>
      <c r="AF209" s="2576"/>
      <c r="AG209" s="2576"/>
      <c r="AH209" s="2576"/>
      <c r="AI209" s="2576"/>
      <c r="AJ209" s="2576"/>
      <c r="AK209" s="610"/>
    </row>
    <row r="210" spans="1:37">
      <c r="A210" s="605"/>
      <c r="B210" s="2450" t="s">
        <v>1590</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2">
        <f>SUM(AD199:AJ209)-AD210</f>
        <v>10500000</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1607</v>
      </c>
      <c r="J222" s="2601"/>
      <c r="K222" s="2601"/>
      <c r="L222" s="536"/>
      <c r="M222" s="536"/>
      <c r="N222" s="536"/>
      <c r="O222" s="536"/>
      <c r="P222" s="536"/>
      <c r="Q222" s="536"/>
      <c r="R222" s="536"/>
      <c r="S222" s="536"/>
      <c r="T222" s="2416" t="s">
        <v>1601</v>
      </c>
      <c r="U222" s="2416"/>
      <c r="V222" s="2416"/>
      <c r="W222" s="2416"/>
      <c r="X222" s="2416"/>
      <c r="Y222" s="2416"/>
      <c r="Z222" s="849"/>
      <c r="AA222" s="489"/>
      <c r="AB222" s="2598" t="s">
        <v>1602</v>
      </c>
      <c r="AC222" s="2598"/>
      <c r="AD222" s="2598"/>
      <c r="AE222" s="2598"/>
      <c r="AF222" s="2598"/>
      <c r="AG222" s="2598"/>
      <c r="AH222" s="827"/>
      <c r="AI222" s="827"/>
      <c r="AJ222" s="827"/>
      <c r="AK222" s="610"/>
    </row>
    <row r="223" spans="1:37">
      <c r="A223" s="605"/>
      <c r="B223" s="2599" t="s">
        <v>1587</v>
      </c>
      <c r="C223" s="2599"/>
      <c r="D223" s="2599"/>
      <c r="E223" s="2599"/>
      <c r="F223" s="2599"/>
      <c r="G223" s="2599"/>
      <c r="I223" s="2600" t="s">
        <v>1608</v>
      </c>
      <c r="J223" s="2600"/>
      <c r="K223" s="2600"/>
      <c r="L223" s="1008"/>
      <c r="N223" s="2451" t="s">
        <v>1603</v>
      </c>
      <c r="O223" s="2451"/>
      <c r="P223" s="2451"/>
      <c r="Q223" s="2451"/>
      <c r="R223" s="2451"/>
      <c r="T223" s="2451" t="s">
        <v>1604</v>
      </c>
      <c r="U223" s="2451"/>
      <c r="V223" s="2451"/>
      <c r="W223" s="2451"/>
      <c r="X223" s="2451"/>
      <c r="Y223" s="2451"/>
      <c r="Z223" s="850"/>
      <c r="AA223" s="489"/>
      <c r="AB223" s="2466" t="s">
        <v>1605</v>
      </c>
      <c r="AC223" s="2466"/>
      <c r="AD223" s="2466"/>
      <c r="AE223" s="2466"/>
      <c r="AF223" s="2466"/>
      <c r="AG223" s="2466"/>
      <c r="AH223" s="827"/>
      <c r="AI223" s="827"/>
      <c r="AJ223" s="827"/>
      <c r="AK223" s="610"/>
    </row>
    <row r="224" spans="1:37">
      <c r="A224" s="605"/>
      <c r="B224" s="2467" t="s">
        <v>1184</v>
      </c>
      <c r="C224" s="2467"/>
      <c r="D224" s="2467"/>
      <c r="E224" s="2467"/>
      <c r="F224" s="2467"/>
      <c r="G224" s="2467"/>
      <c r="H224" s="852"/>
      <c r="I224" s="2420"/>
      <c r="J224" s="2420"/>
      <c r="K224" s="2420"/>
      <c r="L224" s="1008"/>
      <c r="N224" s="2418"/>
      <c r="O224" s="2418"/>
      <c r="P224" s="2418"/>
      <c r="Q224" s="2418"/>
      <c r="R224" s="2418"/>
      <c r="T224" s="2417"/>
      <c r="U224" s="2417"/>
      <c r="V224" s="2417"/>
      <c r="W224" s="2417"/>
      <c r="X224" s="2417"/>
      <c r="Y224" s="2417"/>
      <c r="Z224" s="851"/>
      <c r="AA224" s="851"/>
      <c r="AB224" s="2415">
        <f t="shared" ref="AB224:AB233" si="0">MAX(($T224-$N224)*$I224*12,0)</f>
        <v>0</v>
      </c>
      <c r="AC224" s="2415"/>
      <c r="AD224" s="2415"/>
      <c r="AE224" s="2415"/>
      <c r="AF224" s="2415"/>
      <c r="AG224" s="2415"/>
      <c r="AH224" s="827"/>
      <c r="AI224" s="827"/>
      <c r="AJ224" s="827"/>
      <c r="AK224" s="610"/>
    </row>
    <row r="225" spans="1:37">
      <c r="A225" s="605"/>
      <c r="B225" s="2467" t="s">
        <v>1184</v>
      </c>
      <c r="C225" s="2467"/>
      <c r="D225" s="2467"/>
      <c r="E225" s="2467"/>
      <c r="F225" s="2467"/>
      <c r="G225" s="2467"/>
      <c r="I225" s="2420"/>
      <c r="J225" s="2420"/>
      <c r="K225" s="2420"/>
      <c r="L225" s="1008"/>
      <c r="N225" s="2418"/>
      <c r="O225" s="2418"/>
      <c r="P225" s="2418"/>
      <c r="Q225" s="2418"/>
      <c r="R225" s="2418"/>
      <c r="T225" s="2417"/>
      <c r="U225" s="2417"/>
      <c r="V225" s="2417"/>
      <c r="W225" s="2417"/>
      <c r="X225" s="2417"/>
      <c r="Y225" s="2417"/>
      <c r="Z225" s="851"/>
      <c r="AA225" s="851"/>
      <c r="AB225" s="2415">
        <f t="shared" si="0"/>
        <v>0</v>
      </c>
      <c r="AC225" s="2415"/>
      <c r="AD225" s="2415"/>
      <c r="AE225" s="2415"/>
      <c r="AF225" s="2415"/>
      <c r="AG225" s="2415"/>
      <c r="AH225" s="827"/>
      <c r="AI225" s="827"/>
      <c r="AJ225" s="827"/>
      <c r="AK225" s="610"/>
    </row>
    <row r="226" spans="1:37">
      <c r="A226" s="605"/>
      <c r="B226" s="2467" t="s">
        <v>1184</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1184</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1184</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1184</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1184</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1184</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1184</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1184</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5">
        <f>SUM(AB224:AB233)</f>
        <v>0</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0</v>
      </c>
      <c r="AC250" s="2415"/>
      <c r="AD250" s="2415"/>
      <c r="AE250" s="2415"/>
      <c r="AF250" s="2415"/>
      <c r="AG250" s="2415"/>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0</v>
      </c>
      <c r="AC252" s="2587"/>
      <c r="AD252" s="2587"/>
      <c r="AE252" s="2587"/>
      <c r="AF252" s="2587"/>
      <c r="AG252" s="2587"/>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0</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0</v>
      </c>
      <c r="AC260" s="2580"/>
      <c r="AD260" s="2580"/>
      <c r="AE260" s="2580"/>
      <c r="AF260" s="2580"/>
      <c r="AG260" s="2581"/>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10500000</v>
      </c>
      <c r="AH268" s="2429"/>
      <c r="AI268" s="2429"/>
      <c r="AJ268" s="2429"/>
      <c r="AK268" s="2429"/>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115036414</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0.09</v>
      </c>
      <c r="AH270" s="2575"/>
      <c r="AI270" s="2575"/>
      <c r="AJ270" s="2575"/>
      <c r="AK270" s="2575"/>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4">
        <f>IFERROR(IF(AG270=0,0,IF((AG270*100)&gt;8,8,(AG270*100))),0)</f>
        <v>8</v>
      </c>
      <c r="AL273" s="2564"/>
      <c r="AM273" s="2565"/>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4" customHeight="1">
      <c r="A278" s="550"/>
      <c r="B278" s="596"/>
      <c r="C278" s="2446" t="s">
        <v>545</v>
      </c>
      <c r="D278" s="2446"/>
      <c r="E278" s="547"/>
      <c r="F278" s="2398" t="s">
        <v>2024</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1363</v>
      </c>
      <c r="AH278" s="2573"/>
      <c r="AI278" s="2573"/>
      <c r="AJ278" s="2573"/>
      <c r="AK278" s="550"/>
      <c r="AL278" s="550"/>
      <c r="AM278" s="550"/>
      <c r="AO278" s="550"/>
    </row>
    <row r="279" spans="1:52" ht="14"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4"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4"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4">
        <f>IF($C$278="yes",10,0)</f>
        <v>10</v>
      </c>
      <c r="AL285" s="2564"/>
      <c r="AM285" s="2565"/>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1382</v>
      </c>
      <c r="B292" s="1641"/>
      <c r="C292" s="2397" t="s">
        <v>591</v>
      </c>
      <c r="D292" s="2446"/>
      <c r="E292" s="547"/>
      <c r="F292" s="2566" t="s">
        <v>1383</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2017</v>
      </c>
      <c r="AH292" s="2569"/>
      <c r="AI292" s="2569"/>
      <c r="AJ292" s="2569"/>
      <c r="AK292" s="2569"/>
      <c r="AL292" s="550"/>
      <c r="AM292" s="550"/>
      <c r="AN292" s="73"/>
      <c r="AO292" s="14"/>
      <c r="AP292" s="30"/>
      <c r="AS292" s="570"/>
      <c r="AT292" s="570"/>
      <c r="AU292" s="570"/>
      <c r="AV292" s="32"/>
      <c r="AW292" s="32"/>
    </row>
    <row r="293" spans="1:49" ht="13">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4" t="s">
        <v>2025</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1384</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1385</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1386</v>
      </c>
      <c r="B302" s="1641"/>
      <c r="C302" s="2446" t="s">
        <v>545</v>
      </c>
      <c r="D302" s="2446"/>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8" t="s">
        <v>2019</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41" t="s">
        <v>1389</v>
      </c>
      <c r="B310" s="1641"/>
      <c r="C310" s="2446" t="s">
        <v>591</v>
      </c>
      <c r="D310" s="2446"/>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24" t="s">
        <v>2026</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1184</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1184</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t="13"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t="13"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t="13"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t="13"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7" t="s">
        <v>1184</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7" t="s">
        <v>1184</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1" t="s">
        <v>1392</v>
      </c>
      <c r="B333" s="1641"/>
      <c r="C333" s="2446" t="s">
        <v>591</v>
      </c>
      <c r="D333" s="2446"/>
      <c r="E333" s="547"/>
      <c r="F333" s="2545" t="s">
        <v>2027</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2">
        <f>IF(NOT(OR(Application!M355="Yes",Application!M356="Yes")),0,AP295)</f>
        <v>9</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5" t="s">
        <v>1314</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1454</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5"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2092</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2207</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1455</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2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9"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0</v>
      </c>
      <c r="AS357" s="539" t="s">
        <v>1456</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12</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7</v>
      </c>
      <c r="AS359" s="539" t="s">
        <v>1457</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0</v>
      </c>
      <c r="AS360" s="2407">
        <f>IF(AND(AQ366&gt;0,AQ375&gt;0),(AQ366+AQ375)/2,0)</f>
        <v>8.5</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581</v>
      </c>
      <c r="AP361" s="696">
        <f>IF(C407="Yes",5,0)</f>
        <v>0</v>
      </c>
      <c r="AS361" s="539" t="s">
        <v>1878</v>
      </c>
    </row>
    <row r="362" spans="1:46" s="550" customFormat="1" ht="12.75" customHeight="1">
      <c r="A362" s="603"/>
      <c r="B362" s="611"/>
      <c r="C362" s="2535" t="s">
        <v>2231</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407">
        <f>IF(AQ366=0,AQ375,AQ366)</f>
        <v>12</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5</v>
      </c>
    </row>
    <row r="365" spans="1:46" s="550" customFormat="1" ht="11.9"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5"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12</v>
      </c>
      <c r="AQ366" s="2444">
        <f>IF(AP366&gt;0,AP366,0)</f>
        <v>12</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1" t="s">
        <v>1458</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456</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461</v>
      </c>
      <c r="AP370" s="696">
        <f>IF(C449="Yes",5,0)</f>
        <v>5</v>
      </c>
    </row>
    <row r="371" spans="1:81" s="550" customFormat="1" ht="68.150000000000006"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2">
        <f>Application!DU802-U374</f>
        <v>553</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5</v>
      </c>
      <c r="AQ375" s="2444">
        <f>IF(AP375&gt;0,AP375,0)</f>
        <v>5</v>
      </c>
      <c r="AR375" s="2444"/>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5" t="s">
        <v>1460</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591</v>
      </c>
      <c r="D381" s="2446"/>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1462</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5" t="s">
        <v>1463</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591</v>
      </c>
      <c r="D389" s="2446"/>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1462</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5" t="s">
        <v>1465</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545</v>
      </c>
      <c r="D397" s="2446"/>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1467</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591</v>
      </c>
      <c r="D399" s="2446"/>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1462</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5" t="s">
        <v>1471</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591</v>
      </c>
      <c r="D407" s="2446"/>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1462</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591</v>
      </c>
      <c r="D409" s="2446"/>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1474</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591</v>
      </c>
      <c r="D412" s="2446"/>
      <c r="E412" s="715" t="s">
        <v>1475</v>
      </c>
      <c r="F412" s="2435" t="s">
        <v>1476</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1462</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5" t="s">
        <v>1478</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ht="13">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545</v>
      </c>
      <c r="D421" s="2446"/>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1462</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591</v>
      </c>
      <c r="D423" s="2446"/>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1474</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5" t="s">
        <v>1482</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5"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591</v>
      </c>
      <c r="D430" s="2446"/>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1462</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35" t="s">
        <v>1485</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591</v>
      </c>
      <c r="D442" s="2446"/>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1462</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5" t="s">
        <v>1488</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545</v>
      </c>
      <c r="D449" s="2446"/>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1462</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591</v>
      </c>
      <c r="D453" s="2562"/>
      <c r="E453" s="715" t="s">
        <v>1497</v>
      </c>
      <c r="F453" s="2435" t="s">
        <v>1498</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1462</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75"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591</v>
      </c>
      <c r="D457" s="2446"/>
      <c r="E457" s="715" t="s">
        <v>1503</v>
      </c>
      <c r="F457" s="2435" t="s">
        <v>1504</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1462</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5" t="s">
        <v>1507</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591</v>
      </c>
      <c r="D466" s="2446"/>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1462</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2">
        <f>IF(Application!D214="N/A",AS358,AS360)</f>
        <v>12</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7" t="s">
        <v>1511</v>
      </c>
      <c r="AF472" s="2447"/>
      <c r="AG472" s="2447"/>
      <c r="AH472" s="2447"/>
      <c r="AI472" s="2447"/>
      <c r="AJ472" s="2447"/>
      <c r="AK472" s="2447"/>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4" t="s">
        <v>591</v>
      </c>
      <c r="D478" s="2455"/>
      <c r="E478" s="761" t="s">
        <v>507</v>
      </c>
      <c r="F478" s="2532" t="s">
        <v>1517</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0" t="s">
        <v>591</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1" t="s">
        <v>545</v>
      </c>
      <c r="D482" s="2462"/>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0" t="s">
        <v>591</v>
      </c>
      <c r="W485" s="2440"/>
      <c r="X485" s="2440"/>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0" t="s">
        <v>591</v>
      </c>
      <c r="W487" s="2440"/>
      <c r="X487" s="2440"/>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0" t="s">
        <v>591</v>
      </c>
      <c r="W492" s="2440"/>
      <c r="X492" s="2440"/>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9"/>
      <c r="E495" s="245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0" t="s">
        <v>591</v>
      </c>
      <c r="W496" s="2440"/>
      <c r="X496" s="2440"/>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0" t="s">
        <v>591</v>
      </c>
      <c r="W498" s="2440"/>
      <c r="X498" s="2440"/>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591</v>
      </c>
      <c r="D501" s="2455"/>
      <c r="E501" s="761" t="s">
        <v>507</v>
      </c>
      <c r="F501" s="2532" t="s">
        <v>1517</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591</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591</v>
      </c>
      <c r="D505" s="2455"/>
      <c r="E505" s="761" t="s">
        <v>757</v>
      </c>
      <c r="F505" s="2456" t="s">
        <v>1539</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8" t="s">
        <v>591</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4" t="s">
        <v>591</v>
      </c>
      <c r="D510" s="245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4"/>
      <c r="D512" s="245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591</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591</v>
      </c>
      <c r="D515" s="2527"/>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591</v>
      </c>
      <c r="D519" s="2527"/>
      <c r="F519" s="795" t="s">
        <v>1547</v>
      </c>
      <c r="G519" s="2436" t="s">
        <v>1548</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591</v>
      </c>
      <c r="D523" s="2529"/>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591</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1560</v>
      </c>
      <c r="AF538" s="2465"/>
      <c r="AG538" s="2465"/>
      <c r="AH538" s="2465"/>
      <c r="AI538" s="2465"/>
      <c r="AJ538" s="2465"/>
      <c r="AK538" s="2465"/>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545</v>
      </c>
      <c r="D541" s="2446"/>
      <c r="E541" s="551"/>
      <c r="F541" s="2468" t="s">
        <v>1561</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591</v>
      </c>
      <c r="D544" s="2446"/>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1563</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1564</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152227396</v>
      </c>
      <c r="AQ550" s="2423"/>
      <c r="AR550" s="2423"/>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104870357</v>
      </c>
      <c r="AG551" s="2429"/>
      <c r="AH551" s="2429"/>
      <c r="AI551" s="2429"/>
      <c r="AJ551" s="2429"/>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207029258.56</v>
      </c>
      <c r="AG552" s="2430"/>
      <c r="AH552" s="2430"/>
      <c r="AI552" s="2430"/>
      <c r="AJ552" s="2430"/>
      <c r="AK552" s="595"/>
      <c r="AL552" s="595"/>
      <c r="AM552" s="595"/>
      <c r="AN552" s="597"/>
      <c r="AP552" s="2423">
        <f>Application!AJ1045</f>
        <v>24356383.359999999</v>
      </c>
      <c r="AQ552" s="2423"/>
      <c r="AR552" s="2423"/>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0.49</v>
      </c>
      <c r="AG553" s="2431"/>
      <c r="AH553" s="2431"/>
      <c r="AI553" s="2431"/>
      <c r="AJ553" s="2431"/>
      <c r="AK553" s="595"/>
      <c r="AL553" s="595"/>
      <c r="AM553" s="595"/>
      <c r="AN553" s="597"/>
      <c r="AP553" s="2419">
        <f>Application!AJ1049</f>
        <v>30445479.200000003</v>
      </c>
      <c r="AQ553" s="2419"/>
      <c r="AR553" s="2419"/>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0.36000000000000004</v>
      </c>
      <c r="AQ554" s="2438"/>
      <c r="AR554" s="2438"/>
      <c r="AS554" s="550" t="s">
        <v>2171</v>
      </c>
    </row>
    <row r="555" spans="1:49" s="550" customFormat="1" ht="12.75" customHeight="1">
      <c r="A555" s="624"/>
      <c r="B555" s="2505" t="s">
        <v>2031</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152227396</v>
      </c>
      <c r="AQ556" s="2439"/>
      <c r="AR556" s="2439"/>
      <c r="AS556" s="550" t="s">
        <v>2173</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207029258.56</v>
      </c>
      <c r="AQ557" s="2423"/>
      <c r="AR557" s="2423"/>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4">
        <f>IFERROR(IF(AND(C541="N/A",C544="N/A"),0,IF(AF553=0,0,IF((AF553*100)&gt;12,12,(AF553*100)))),0)</f>
        <v>12</v>
      </c>
      <c r="AL559" s="2514"/>
      <c r="AM559" s="2515"/>
      <c r="AN559" s="597"/>
      <c r="AP559" s="2408">
        <f>AP556+(AP550*AP554)</f>
        <v>207029258.56</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1314</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2022</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1338</v>
      </c>
      <c r="AG578" s="2525"/>
      <c r="AH578" s="2525"/>
      <c r="AI578" s="2525"/>
      <c r="AJ578" s="2525"/>
      <c r="AK578" s="2525"/>
      <c r="AL578" s="2525"/>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1396</v>
      </c>
      <c r="AG585" s="2525"/>
      <c r="AH585" s="2525"/>
      <c r="AI585" s="2525"/>
      <c r="AJ585" s="2525"/>
      <c r="AK585" s="2525"/>
      <c r="AL585" s="2525"/>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1378</v>
      </c>
      <c r="AG591" s="2525"/>
      <c r="AH591" s="2525"/>
      <c r="AI591" s="2525"/>
      <c r="AJ591" s="2525"/>
      <c r="AK591" s="2525"/>
      <c r="AL591" s="2525"/>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1399</v>
      </c>
      <c r="AG597" s="2525"/>
      <c r="AH597" s="2525"/>
      <c r="AI597" s="2525"/>
      <c r="AJ597" s="2525"/>
      <c r="AK597" s="2525"/>
      <c r="AL597" s="2525"/>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1" t="s">
        <v>1184</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1352</v>
      </c>
      <c r="AG603" s="2525"/>
      <c r="AH603" s="2525"/>
      <c r="AI603" s="2525"/>
      <c r="AJ603" s="2525"/>
      <c r="AK603" s="2525"/>
      <c r="AL603" s="2525"/>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9" t="s">
        <v>509</v>
      </c>
      <c r="I606" s="2449"/>
      <c r="J606" s="936"/>
      <c r="K606" s="936"/>
      <c r="L606" s="936"/>
      <c r="N606" s="22"/>
      <c r="O606" s="22"/>
      <c r="P606" s="22"/>
      <c r="Q606" s="1151" t="s">
        <v>2176</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40" t="s">
        <v>591</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7" t="s">
        <v>591</v>
      </c>
      <c r="C616" s="2397"/>
      <c r="D616" s="642"/>
      <c r="E616" s="2425" t="s">
        <v>1403</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2">
        <f>VLOOKUP($H$606,$AO$586:$AP$591,2,FALSE)+IF(R606=AO594,0,VLOOKUP($I$614,$AO$613:$AP$615,2,FALSE))</f>
        <v>6</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9" t="s">
        <v>1694</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1352</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7" t="s">
        <v>591</v>
      </c>
      <c r="Y634" s="239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1408</v>
      </c>
      <c r="AG636" s="2525"/>
      <c r="AH636" s="2525"/>
      <c r="AI636" s="2525"/>
      <c r="AJ636" s="2525"/>
      <c r="AK636" s="2525"/>
      <c r="AL636" s="252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9" t="s">
        <v>591</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2">
        <f>VLOOKUP($H$638,$AO$605:$AP$607,2,FALSE)</f>
        <v>0</v>
      </c>
      <c r="AK640" s="2434"/>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5" t="s">
        <v>2097</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1352</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1408</v>
      </c>
      <c r="AG647" s="2525"/>
      <c r="AH647" s="2525"/>
      <c r="AI647" s="2525"/>
      <c r="AJ647" s="2525"/>
      <c r="AK647" s="2525"/>
      <c r="AL647" s="2525"/>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9" t="s">
        <v>591</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2">
        <f>VLOOKUP(H650,AT605:AU607,2,FALSE)</f>
        <v>0</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5" t="s">
        <v>1418</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1378</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5" t="s">
        <v>1419</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1399</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5" t="s">
        <v>1420</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1352</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591</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5" t="s">
        <v>1421</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1399</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5" t="s">
        <v>1422</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1352</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5" t="s">
        <v>1423</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1408</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5" t="s">
        <v>1424</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1425</v>
      </c>
      <c r="AG681" s="2525"/>
      <c r="AH681" s="2525"/>
      <c r="AI681" s="2525"/>
      <c r="AJ681" s="2525"/>
      <c r="AK681" s="2525"/>
      <c r="AL681" s="2525"/>
      <c r="AM681" s="596"/>
      <c r="AN681" s="597"/>
      <c r="AO681" s="611" t="s">
        <v>687</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9" t="s">
        <v>687</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2">
        <f>VLOOKUP($H$685,$AO$633:$AP$640,2,FALSE)</f>
        <v>5</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213</v>
      </c>
    </row>
    <row r="691" spans="1:51" s="550" customFormat="1" ht="12.75" customHeight="1">
      <c r="A691" s="679"/>
      <c r="B691" s="536"/>
      <c r="C691" s="948"/>
      <c r="D691" s="663" t="s">
        <v>687</v>
      </c>
      <c r="E691" s="2395" t="s">
        <v>2189</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1352</v>
      </c>
      <c r="AG691" s="2525"/>
      <c r="AH691" s="2525"/>
      <c r="AI691" s="2525"/>
      <c r="AJ691" s="2525"/>
      <c r="AK691" s="2525"/>
      <c r="AL691" s="2525"/>
      <c r="AN691" s="597"/>
      <c r="AW691" s="22" t="s">
        <v>2184</v>
      </c>
      <c r="AX691" s="550">
        <f>Application!DE753</f>
        <v>84</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2185</v>
      </c>
      <c r="AX692" s="550">
        <f>Application!DJ753</f>
        <v>43</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5" t="s">
        <v>2133</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1352</v>
      </c>
      <c r="AG694" s="2525"/>
      <c r="AH694" s="2525"/>
      <c r="AI694" s="2525"/>
      <c r="AJ694" s="2525"/>
      <c r="AK694" s="2525"/>
      <c r="AL694" s="2525"/>
      <c r="AN694" s="597"/>
      <c r="AW694" s="22" t="s">
        <v>2187</v>
      </c>
      <c r="AX694" s="550">
        <f>AX691+AX692+AX693</f>
        <v>127</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1</v>
      </c>
      <c r="AP695" s="2439"/>
      <c r="AW695" s="22" t="s">
        <v>2188</v>
      </c>
      <c r="AX695" s="550">
        <f>IFERROR(AX694/AX690,0)</f>
        <v>0.59624413145539901</v>
      </c>
      <c r="AY695" s="550">
        <f>IFERROR(AX694/(AX690-AX689),0)</f>
        <v>0.59624413145539901</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5" t="s">
        <v>2134</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1408</v>
      </c>
      <c r="AG699" s="2525"/>
      <c r="AH699" s="2525"/>
      <c r="AI699" s="2525"/>
      <c r="AJ699" s="2525"/>
      <c r="AK699" s="2525"/>
      <c r="AL699" s="2525"/>
      <c r="AN699" s="597"/>
      <c r="AO699" s="611" t="s">
        <v>509</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3.25"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5" t="s">
        <v>1693</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9" t="s">
        <v>509</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2">
        <f>VLOOKUP($H$709,$AO$703:$AP$706,2,FALSE)</f>
        <v>3</v>
      </c>
      <c r="AK711" s="2434"/>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7" t="s">
        <v>1695</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1352</v>
      </c>
      <c r="AG715" s="2525"/>
      <c r="AH715" s="2525"/>
      <c r="AI715" s="2525"/>
      <c r="AJ715" s="2525"/>
      <c r="AK715" s="2525"/>
      <c r="AL715" s="2525"/>
      <c r="AM715" s="550"/>
      <c r="AN715" s="684"/>
      <c r="AP715" s="570" t="s">
        <v>1432</v>
      </c>
    </row>
    <row r="716" spans="1:43" s="570" customFormat="1" ht="11.9"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8" t="s">
        <v>1435</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1408</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49" t="s">
        <v>591</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25" t="s">
        <v>1696</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1352</v>
      </c>
      <c r="AG729" s="2525"/>
      <c r="AH729" s="2525"/>
      <c r="AI729" s="2525"/>
      <c r="AJ729" s="2525"/>
      <c r="AK729" s="2525"/>
      <c r="AL729" s="2525"/>
      <c r="AM729" s="550"/>
      <c r="AN729" s="684"/>
      <c r="AT729" s="14"/>
      <c r="AU729" s="14"/>
      <c r="AV729" s="14"/>
      <c r="AW729" s="14"/>
      <c r="AX729" s="14"/>
      <c r="AY729" s="14"/>
      <c r="AZ729" s="14"/>
    </row>
    <row r="730" spans="1:81" s="570" customFormat="1" ht="13">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5" t="s">
        <v>1439</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1408</v>
      </c>
      <c r="AG732" s="2525"/>
      <c r="AH732" s="2525"/>
      <c r="AI732" s="2525"/>
      <c r="AJ732" s="2525"/>
      <c r="AK732" s="2525"/>
      <c r="AL732" s="2525"/>
      <c r="AM732" s="550"/>
      <c r="AN732" s="684"/>
      <c r="AT732" s="14"/>
      <c r="AU732" s="14"/>
      <c r="AV732" s="14"/>
      <c r="AW732" s="14"/>
      <c r="AX732" s="14"/>
      <c r="AY732" s="14"/>
      <c r="AZ732" s="14"/>
    </row>
    <row r="733" spans="1:81" s="570" customFormat="1" ht="13">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9" t="s">
        <v>591</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25" t="s">
        <v>1442</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1352</v>
      </c>
      <c r="AG741" s="2525"/>
      <c r="AH741" s="2525"/>
      <c r="AI741" s="2525"/>
      <c r="AJ741" s="2525"/>
      <c r="AK741" s="2525"/>
      <c r="AL741" s="2525"/>
      <c r="AM741" s="550"/>
      <c r="AN741" s="684"/>
      <c r="AT741" s="14"/>
      <c r="AU741" s="14"/>
      <c r="AV741" s="14"/>
      <c r="AW741" s="14"/>
      <c r="AX741" s="14"/>
      <c r="AY741" s="14"/>
      <c r="AZ741" s="14"/>
    </row>
    <row r="742" spans="1:81" s="570" customFormat="1" ht="13">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25" t="s">
        <v>1443</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1408</v>
      </c>
      <c r="AG746" s="2525"/>
      <c r="AH746" s="2525"/>
      <c r="AI746" s="2525"/>
      <c r="AJ746" s="2525"/>
      <c r="AK746" s="2525"/>
      <c r="AL746" s="2525"/>
      <c r="AM746" s="550"/>
      <c r="AN746" s="684"/>
      <c r="AO746" s="30"/>
      <c r="AP746" s="14"/>
    </row>
    <row r="747" spans="1:81" s="570" customFormat="1" ht="13">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9" t="s">
        <v>591</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2">
        <f>VLOOKUP($H$751,$AO$680:$AP$682,2,FALSE)</f>
        <v>0</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25" t="s">
        <v>1445</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1408</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25" t="s">
        <v>1446</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1425</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9" t="s">
        <v>687</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2">
        <f>VLOOKUP($H$763,$AO$697:$AP$699,2,FALSE)</f>
        <v>2</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4" customHeight="1">
      <c r="A769" s="550"/>
      <c r="B769" s="616"/>
      <c r="C769" s="940"/>
      <c r="D769" s="663" t="s">
        <v>687</v>
      </c>
      <c r="E769" s="2425" t="s">
        <v>1692</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1408</v>
      </c>
      <c r="AG769" s="2525"/>
      <c r="AH769" s="2525"/>
      <c r="AI769" s="2525"/>
      <c r="AJ769" s="2525"/>
      <c r="AK769" s="2525"/>
      <c r="AL769" s="2525"/>
      <c r="AM769" s="613"/>
      <c r="AN769" s="684"/>
      <c r="AO769" s="550" t="s">
        <v>591</v>
      </c>
      <c r="AP769" s="673">
        <v>0</v>
      </c>
    </row>
    <row r="770" spans="1:81" s="570" customFormat="1" ht="14"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1697</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1352</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9" t="s">
        <v>591</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2">
        <f>VLOOKUP($H$779,$AO$769:$AP$771,2,FALSE)</f>
        <v>0</v>
      </c>
      <c r="AK781" s="2434"/>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4" customHeight="1">
      <c r="A785" s="550"/>
      <c r="B785" s="616"/>
      <c r="C785" s="940"/>
      <c r="D785" s="663" t="s">
        <v>687</v>
      </c>
      <c r="E785" s="2425" t="s">
        <v>2032</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1352</v>
      </c>
      <c r="AG785" s="2525"/>
      <c r="AH785" s="2525"/>
      <c r="AI785" s="2525"/>
      <c r="AJ785" s="2525"/>
      <c r="AK785" s="2525"/>
      <c r="AL785" s="2525"/>
      <c r="AM785" s="613"/>
      <c r="AN785" s="684"/>
      <c r="AO785" s="611" t="s">
        <v>545</v>
      </c>
      <c r="AP785" s="550">
        <v>3</v>
      </c>
      <c r="AT785" s="674"/>
      <c r="AU785" s="674"/>
      <c r="AV785" s="674"/>
      <c r="AW785" s="674"/>
      <c r="AX785" s="674"/>
      <c r="AY785" s="674"/>
      <c r="AZ785" s="674"/>
    </row>
    <row r="786" spans="1:81" s="570" customFormat="1" ht="14"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449" t="s">
        <v>591</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1568</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ht="13">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9" t="s">
        <v>1569</v>
      </c>
      <c r="U802" s="2520"/>
      <c r="V802" s="2520"/>
      <c r="W802" s="2520"/>
      <c r="X802" s="2520"/>
      <c r="Y802" s="2521"/>
      <c r="Z802" s="2519" t="s">
        <v>1570</v>
      </c>
      <c r="AA802" s="2520"/>
      <c r="AB802" s="2520"/>
      <c r="AC802" s="2520"/>
      <c r="AD802" s="2520"/>
      <c r="AE802" s="2521"/>
      <c r="AF802" s="2519" t="s">
        <v>1571</v>
      </c>
      <c r="AG802" s="2520"/>
      <c r="AH802" s="2520"/>
      <c r="AI802" s="2520"/>
      <c r="AJ802" s="2520"/>
      <c r="AK802" s="2521"/>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ht="13">
      <c r="A804" s="819" t="s">
        <v>757</v>
      </c>
      <c r="B804" s="2476" t="s">
        <v>1304</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ht="13">
      <c r="A805" s="819" t="s">
        <v>1541</v>
      </c>
      <c r="B805" s="2476" t="s">
        <v>1313</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ht="13">
      <c r="A806" s="819" t="s">
        <v>1550</v>
      </c>
      <c r="B806" s="2476" t="s">
        <v>1323</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ht="13">
      <c r="A807" s="819" t="s">
        <v>1572</v>
      </c>
      <c r="B807" s="2476" t="s">
        <v>1333</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ht="13">
      <c r="A808" s="820" t="s">
        <v>1573</v>
      </c>
      <c r="B808" s="2476" t="s">
        <v>1574</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ht="13">
      <c r="A809" s="535"/>
      <c r="B809" s="601"/>
      <c r="C809" s="2482" t="s">
        <v>1575</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ht="13">
      <c r="A810" s="600"/>
      <c r="B810" s="601"/>
      <c r="C810" s="2482" t="s">
        <v>1576</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ht="13">
      <c r="A811" s="820" t="s">
        <v>1361</v>
      </c>
      <c r="B811" s="2476" t="s">
        <v>1577</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ht="13">
      <c r="A812" s="819" t="s">
        <v>1370</v>
      </c>
      <c r="B812" s="2476" t="s">
        <v>1371</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t="13" hidden="1">
      <c r="A813" s="820" t="s">
        <v>589</v>
      </c>
      <c r="B813" s="2476" t="s">
        <v>1578</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476" t="s">
        <v>1579</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476" t="s">
        <v>1381</v>
      </c>
      <c r="C815" s="2476"/>
      <c r="D815" s="2476"/>
      <c r="E815" s="2476"/>
      <c r="F815" s="2476"/>
      <c r="G815" s="2476"/>
      <c r="H815" s="2476"/>
      <c r="I815" s="2476"/>
      <c r="J815" s="2476"/>
      <c r="K815" s="2476"/>
      <c r="L815" s="2476"/>
      <c r="M815" s="2476"/>
      <c r="N815" s="2476"/>
      <c r="O815" s="2476"/>
      <c r="P815" s="2476"/>
      <c r="Q815" s="2476"/>
      <c r="R815" s="2476"/>
      <c r="S815" s="2477"/>
      <c r="T815" s="2478">
        <f>AK338</f>
        <v>9</v>
      </c>
      <c r="U815" s="2478"/>
      <c r="V815" s="2478"/>
      <c r="W815" s="2478"/>
      <c r="X815" s="2478"/>
      <c r="Y815" s="2478"/>
      <c r="Z815" s="2487">
        <v>10</v>
      </c>
      <c r="AA815" s="2488"/>
      <c r="AB815" s="2488"/>
      <c r="AC815" s="2488"/>
      <c r="AD815" s="2488"/>
      <c r="AE815" s="2489"/>
      <c r="AF815" s="2487">
        <f>IF(T815&gt;Z815,Z815,T815)</f>
        <v>9</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4">
        <f>AK338</f>
        <v>9</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476" t="s">
        <v>845</v>
      </c>
      <c r="C817" s="2476"/>
      <c r="D817" s="2476"/>
      <c r="E817" s="2476"/>
      <c r="F817" s="2476"/>
      <c r="G817" s="2476"/>
      <c r="H817" s="2476"/>
      <c r="I817" s="2476"/>
      <c r="J817" s="2476"/>
      <c r="K817" s="2476"/>
      <c r="L817" s="2476"/>
      <c r="M817" s="2476"/>
      <c r="N817" s="2476"/>
      <c r="O817" s="2476"/>
      <c r="P817" s="2476"/>
      <c r="Q817" s="2476"/>
      <c r="R817" s="2476"/>
      <c r="S817" s="2477"/>
      <c r="T817" s="2478">
        <f>AK469</f>
        <v>12</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476" t="s">
        <v>1559</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6" t="s">
        <v>1581</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90" t="s">
        <v>1582</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1583</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2" t="s">
        <v>1584</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119</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20" ma:contentTypeDescription="Create a new document." ma:contentTypeScope="" ma:versionID="3482f8a1327742e19a7388ac1a41ef1f">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015445ec46049fdd05a9b74b7838eb9a"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2E189D-E0DF-4DC8-A974-2AAFD4494856}">
  <ds:schemaRefs>
    <ds:schemaRef ds:uri="http://schemas.microsoft.com/office/2006/metadata/properties"/>
    <ds:schemaRef ds:uri="http://schemas.microsoft.com/office/infopath/2007/PartnerControls"/>
    <ds:schemaRef ds:uri="5cafa1ab-b877-495b-8f46-4ca1cff03e11"/>
    <ds:schemaRef ds:uri="9595dc79-52d3-4820-afd5-a3f4a4ca2acc"/>
  </ds:schemaRefs>
</ds:datastoreItem>
</file>

<file path=customXml/itemProps2.xml><?xml version="1.0" encoding="utf-8"?>
<ds:datastoreItem xmlns:ds="http://schemas.openxmlformats.org/officeDocument/2006/customXml" ds:itemID="{B5412B98-E743-4E06-AE3A-4E41E60F9C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FA6A9D-EBE6-4440-BDAA-9D5387DFAB6D}">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Natasha Shatzkin</cp:lastModifiedBy>
  <cp:lastPrinted>2025-09-05T07:40:58Z</cp:lastPrinted>
  <dcterms:created xsi:type="dcterms:W3CDTF">2007-12-27T18:26:28Z</dcterms:created>
  <dcterms:modified xsi:type="dcterms:W3CDTF">2025-09-05T09:28:50Z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